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9CFE08E3-D7F3-4ACF-A289-5DF39A7660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uditor Check Register (Date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8" i="1" l="1"/>
  <c r="E309" i="1"/>
  <c r="E182" i="1"/>
  <c r="E170" i="1"/>
  <c r="E125" i="1"/>
  <c r="E8368" i="1"/>
  <c r="E8351" i="1"/>
  <c r="E8299" i="1"/>
  <c r="E8287" i="1"/>
  <c r="E8286" i="1"/>
  <c r="E8183" i="1"/>
  <c r="E8153" i="1"/>
  <c r="E8134" i="1"/>
  <c r="E8132" i="1"/>
  <c r="E8127" i="1"/>
  <c r="E8117" i="1"/>
  <c r="E8044" i="1"/>
  <c r="E8032" i="1"/>
  <c r="E8041" i="1"/>
  <c r="E8035" i="1"/>
  <c r="E8040" i="1"/>
  <c r="E8031" i="1"/>
  <c r="E7881" i="1"/>
  <c r="E8516" i="1"/>
  <c r="E8528" i="1"/>
  <c r="E8539" i="1"/>
  <c r="E8508" i="1"/>
  <c r="E8488" i="1"/>
  <c r="E8423" i="1"/>
  <c r="E8327" i="1"/>
  <c r="E8326" i="1"/>
  <c r="E8261" i="1"/>
  <c r="E8219" i="1"/>
  <c r="E8191" i="1"/>
  <c r="E8188" i="1"/>
  <c r="E8148" i="1"/>
  <c r="E8146" i="1"/>
  <c r="E7984" i="1"/>
  <c r="E7916" i="1"/>
  <c r="F8544" i="1" l="1"/>
  <c r="E7850" i="1"/>
  <c r="E7800" i="1"/>
  <c r="E7701" i="1"/>
  <c r="E7691" i="1"/>
  <c r="E7678" i="1"/>
  <c r="E7676" i="1"/>
  <c r="E7665" i="1"/>
  <c r="E7641" i="1"/>
  <c r="E7596" i="1"/>
  <c r="E7590" i="1"/>
  <c r="E7589" i="1"/>
  <c r="E7580" i="1"/>
  <c r="E7579" i="1"/>
  <c r="E7566" i="1"/>
  <c r="F7857" i="1" l="1"/>
  <c r="E7553" i="1"/>
  <c r="E7501" i="1"/>
  <c r="E7481" i="1"/>
  <c r="E7473" i="1"/>
  <c r="E7472" i="1"/>
  <c r="E7470" i="1"/>
  <c r="E7456" i="1"/>
  <c r="E7435" i="1"/>
  <c r="E7433" i="1"/>
  <c r="E7431" i="1"/>
  <c r="E7424" i="1"/>
  <c r="E7423" i="1"/>
  <c r="E7414" i="1"/>
  <c r="E7352" i="1"/>
  <c r="E7331" i="1"/>
  <c r="E7328" i="1"/>
  <c r="E7306" i="1"/>
  <c r="E7303" i="1"/>
  <c r="E7302" i="1"/>
  <c r="E7300" i="1"/>
  <c r="E7290" i="1"/>
  <c r="E7281" i="1"/>
  <c r="E7274" i="1"/>
  <c r="E7269" i="1"/>
  <c r="E7267" i="1"/>
  <c r="E7265" i="1"/>
  <c r="E7264" i="1"/>
  <c r="E7253" i="1"/>
  <c r="E7240" i="1"/>
  <c r="E7236" i="1"/>
  <c r="E7222" i="1"/>
  <c r="E7216" i="1"/>
  <c r="E7214" i="1"/>
  <c r="E7213" i="1"/>
  <c r="E7206" i="1"/>
  <c r="E7205" i="1"/>
  <c r="E7202" i="1"/>
  <c r="E7194" i="1"/>
  <c r="E7181" i="1"/>
  <c r="E7174" i="1"/>
  <c r="E7157" i="1"/>
  <c r="E7144" i="1"/>
  <c r="E7141" i="1"/>
  <c r="E7134" i="1"/>
  <c r="E7122" i="1"/>
  <c r="E7086" i="1"/>
  <c r="E7076" i="1"/>
  <c r="F7558" i="1" l="1"/>
  <c r="E7040" i="1"/>
  <c r="E7026" i="1"/>
  <c r="E7007" i="1"/>
  <c r="E6993" i="1"/>
  <c r="E6934" i="1"/>
  <c r="E6927" i="1"/>
  <c r="E6920" i="1"/>
  <c r="E6912" i="1"/>
  <c r="E6897" i="1"/>
  <c r="E6892" i="1"/>
  <c r="E6857" i="1"/>
  <c r="E6856" i="1"/>
  <c r="E6854" i="1"/>
  <c r="E6853" i="1"/>
  <c r="E6850" i="1"/>
  <c r="E6848" i="1"/>
  <c r="E6843" i="1"/>
  <c r="E6835" i="1"/>
  <c r="E6834" i="1"/>
  <c r="E6830" i="1"/>
  <c r="E6821" i="1"/>
  <c r="E6818" i="1"/>
  <c r="E6816" i="1"/>
  <c r="E6813" i="1"/>
  <c r="E6805" i="1"/>
  <c r="E6802" i="1"/>
  <c r="E6800" i="1"/>
  <c r="E6792" i="1"/>
  <c r="E6790" i="1"/>
  <c r="E6786" i="1"/>
  <c r="E6785" i="1"/>
  <c r="E6748" i="1"/>
  <c r="E6739" i="1"/>
  <c r="E6737" i="1"/>
  <c r="E6726" i="1"/>
  <c r="E6711" i="1"/>
  <c r="E6705" i="1"/>
  <c r="E6695" i="1"/>
  <c r="E6689" i="1"/>
  <c r="E6683" i="1"/>
  <c r="E6675" i="1"/>
  <c r="E6667" i="1"/>
  <c r="E6666" i="1"/>
  <c r="E6629" i="1"/>
  <c r="E6598" i="1"/>
  <c r="E6565" i="1"/>
  <c r="E6555" i="1"/>
  <c r="E6553" i="1"/>
  <c r="E6550" i="1"/>
  <c r="E6548" i="1"/>
  <c r="E6544" i="1"/>
  <c r="E6535" i="1"/>
  <c r="E6528" i="1"/>
  <c r="E6524" i="1"/>
  <c r="E6523" i="1"/>
  <c r="E6521" i="1"/>
  <c r="E6517" i="1"/>
  <c r="E6477" i="1"/>
  <c r="E6469" i="1"/>
  <c r="E6455" i="1"/>
  <c r="E6424" i="1"/>
  <c r="E6414" i="1"/>
  <c r="E6401" i="1"/>
  <c r="E6399" i="1"/>
  <c r="E6393" i="1"/>
  <c r="E6383" i="1"/>
  <c r="E6347" i="1"/>
  <c r="E6346" i="1"/>
  <c r="E6345" i="1"/>
  <c r="E6337" i="1"/>
  <c r="E6330" i="1"/>
  <c r="E6327" i="1"/>
  <c r="E6316" i="1"/>
  <c r="E6264" i="1"/>
  <c r="F7049" i="1" l="1"/>
  <c r="E6249" i="1"/>
  <c r="E6228" i="1"/>
  <c r="E6224" i="1"/>
  <c r="E6220" i="1"/>
  <c r="E6218" i="1"/>
  <c r="E6217" i="1"/>
  <c r="E6216" i="1"/>
  <c r="E6189" i="1"/>
  <c r="E6184" i="1"/>
  <c r="E6161" i="1"/>
  <c r="E6158" i="1"/>
  <c r="E6120" i="1"/>
  <c r="E6118" i="1"/>
  <c r="E6112" i="1"/>
  <c r="E6099" i="1"/>
  <c r="E6098" i="1"/>
  <c r="E6097" i="1"/>
  <c r="E6091" i="1"/>
  <c r="E6087" i="1"/>
  <c r="E6055" i="1"/>
  <c r="E6041" i="1"/>
  <c r="E6034" i="1"/>
  <c r="E6030" i="1"/>
  <c r="E6028" i="1"/>
  <c r="E6010" i="1"/>
  <c r="E6009" i="1"/>
  <c r="E5995" i="1"/>
  <c r="E5986" i="1"/>
  <c r="E5980" i="1"/>
  <c r="E5977" i="1"/>
  <c r="E5972" i="1"/>
  <c r="E5971" i="1"/>
  <c r="E5968" i="1"/>
  <c r="E5964" i="1"/>
  <c r="E5963" i="1"/>
  <c r="E5958" i="1"/>
  <c r="E5957" i="1"/>
  <c r="E5953" i="1"/>
  <c r="E5950" i="1"/>
  <c r="E5946" i="1"/>
  <c r="E5945" i="1"/>
  <c r="E5944" i="1"/>
  <c r="E5943" i="1"/>
  <c r="E5942" i="1"/>
  <c r="E5928" i="1"/>
  <c r="E5897" i="1"/>
  <c r="E5870" i="1"/>
  <c r="E5868" i="1"/>
  <c r="E5860" i="1"/>
  <c r="E5828" i="1"/>
  <c r="E5827" i="1"/>
  <c r="E5811" i="1"/>
  <c r="E5787" i="1"/>
  <c r="E5774" i="1"/>
  <c r="E5753" i="1"/>
  <c r="E5751" i="1"/>
  <c r="E5744" i="1"/>
  <c r="E5697" i="1"/>
  <c r="E5693" i="1"/>
  <c r="E5664" i="1"/>
  <c r="E5662" i="1"/>
  <c r="E5660" i="1"/>
  <c r="E5657" i="1"/>
  <c r="E5638" i="1"/>
  <c r="E5634" i="1"/>
  <c r="E5633" i="1"/>
  <c r="E5606" i="1"/>
  <c r="E5593" i="1"/>
  <c r="E5584" i="1"/>
  <c r="E5579" i="1"/>
  <c r="E5573" i="1"/>
  <c r="E5567" i="1"/>
  <c r="E5554" i="1"/>
  <c r="E5541" i="1"/>
  <c r="E5519" i="1"/>
  <c r="E5517" i="1"/>
  <c r="E5498" i="1"/>
  <c r="E5495" i="1"/>
  <c r="F6262" i="1" l="1"/>
  <c r="E4734" i="1"/>
  <c r="E4730" i="1"/>
  <c r="E4727" i="1"/>
  <c r="E4726" i="1"/>
  <c r="E5482" i="1"/>
  <c r="E5478" i="1"/>
  <c r="E5458" i="1"/>
  <c r="E5434" i="1"/>
  <c r="E5421" i="1"/>
  <c r="E5402" i="1"/>
  <c r="E5398" i="1"/>
  <c r="E5391" i="1"/>
  <c r="E5390" i="1"/>
  <c r="E5385" i="1"/>
  <c r="E5383" i="1"/>
  <c r="E5371" i="1"/>
  <c r="E5368" i="1"/>
  <c r="E5367" i="1"/>
  <c r="E5366" i="1"/>
  <c r="E5365" i="1"/>
  <c r="E5364" i="1"/>
  <c r="E5363" i="1"/>
  <c r="E5362" i="1"/>
  <c r="E5358" i="1"/>
  <c r="E5355" i="1"/>
  <c r="E5354" i="1"/>
  <c r="E5347" i="1"/>
  <c r="E5344" i="1"/>
  <c r="E5327" i="1"/>
  <c r="E5326" i="1"/>
  <c r="E5306" i="1"/>
  <c r="E5304" i="1"/>
  <c r="E5301" i="1"/>
  <c r="E5291" i="1"/>
  <c r="E5288" i="1"/>
  <c r="E5284" i="1"/>
  <c r="E5282" i="1"/>
  <c r="E5281" i="1"/>
  <c r="E5276" i="1"/>
  <c r="E5275" i="1"/>
  <c r="E5274" i="1"/>
  <c r="E5273" i="1"/>
  <c r="E5270" i="1"/>
  <c r="E5267" i="1"/>
  <c r="E5266" i="1"/>
  <c r="E5264" i="1"/>
  <c r="E5251" i="1"/>
  <c r="E5243" i="1"/>
  <c r="E5240" i="1"/>
  <c r="E5239" i="1"/>
  <c r="E5202" i="1"/>
  <c r="E5167" i="1"/>
  <c r="E5116" i="1"/>
  <c r="E5111" i="1"/>
  <c r="E5097" i="1"/>
  <c r="E5095" i="1"/>
  <c r="E5093" i="1"/>
  <c r="E5088" i="1"/>
  <c r="E5082" i="1"/>
  <c r="E5067" i="1"/>
  <c r="E5060" i="1"/>
  <c r="E4991" i="1"/>
  <c r="E4941" i="1"/>
  <c r="E4935" i="1"/>
  <c r="E4934" i="1"/>
  <c r="E4924" i="1"/>
  <c r="E4909" i="1"/>
  <c r="E4903" i="1"/>
  <c r="E4890" i="1"/>
  <c r="E4888" i="1"/>
  <c r="E4887" i="1"/>
  <c r="E4878" i="1"/>
  <c r="E4850" i="1"/>
  <c r="E4848" i="1"/>
  <c r="E4839" i="1"/>
  <c r="E4826" i="1"/>
  <c r="E4814" i="1"/>
  <c r="E4789" i="1"/>
  <c r="E4744" i="1"/>
  <c r="E4719" i="1"/>
  <c r="F5489" i="1" l="1"/>
  <c r="E4634" i="1"/>
  <c r="E4496" i="1"/>
  <c r="E4486" i="1"/>
  <c r="E4227" i="1"/>
  <c r="E4220" i="1"/>
  <c r="E4230" i="1"/>
  <c r="E4160" i="1"/>
  <c r="E4154" i="1"/>
  <c r="E4153" i="1"/>
  <c r="E4152" i="1"/>
  <c r="E4126" i="1"/>
  <c r="E4080" i="1"/>
  <c r="E4079" i="1"/>
  <c r="E4075" i="1"/>
  <c r="E4061" i="1"/>
  <c r="E4070" i="1"/>
  <c r="E4057" i="1"/>
  <c r="E4056" i="1"/>
  <c r="E4055" i="1"/>
  <c r="E4020" i="1"/>
  <c r="E4019" i="1"/>
  <c r="E4012" i="1"/>
  <c r="E4000" i="1"/>
  <c r="E3975" i="1"/>
  <c r="E3932" i="1"/>
  <c r="E3931" i="1"/>
  <c r="E3914" i="1"/>
  <c r="E3881" i="1"/>
  <c r="E3875" i="1"/>
  <c r="E3874" i="1"/>
  <c r="E3745" i="1"/>
  <c r="E3737" i="1"/>
  <c r="E3708" i="1"/>
  <c r="E3707" i="1"/>
  <c r="E4594" i="1"/>
  <c r="E4587" i="1"/>
  <c r="E4695" i="1"/>
  <c r="E3659" i="1"/>
  <c r="E3653" i="1"/>
  <c r="E3650" i="1"/>
  <c r="E3649" i="1"/>
  <c r="E3590" i="1"/>
  <c r="E3578" i="1"/>
  <c r="E3576" i="1"/>
  <c r="E3539" i="1"/>
  <c r="E3529" i="1"/>
  <c r="E3495" i="1"/>
  <c r="E3493" i="1"/>
  <c r="E3491" i="1"/>
  <c r="E3466" i="1"/>
  <c r="E3453" i="1"/>
  <c r="E3171" i="1"/>
  <c r="E3135" i="1"/>
  <c r="E3128" i="1"/>
  <c r="E3113" i="1"/>
  <c r="E3112" i="1"/>
  <c r="E3106" i="1"/>
  <c r="E3095" i="1"/>
  <c r="E3093" i="1"/>
  <c r="E3088" i="1"/>
  <c r="E3083" i="1"/>
  <c r="E3079" i="1"/>
  <c r="E3070" i="1"/>
  <c r="E3067" i="1"/>
  <c r="E3062" i="1"/>
  <c r="E2984" i="1"/>
  <c r="E2977" i="1"/>
  <c r="E2972" i="1"/>
  <c r="E2968" i="1"/>
  <c r="E2961" i="1"/>
  <c r="E2950" i="1"/>
  <c r="E2920" i="1"/>
  <c r="E2905" i="1"/>
  <c r="E2902" i="1"/>
  <c r="E2895" i="1"/>
  <c r="E2894" i="1"/>
  <c r="E2893" i="1"/>
  <c r="E2891" i="1"/>
  <c r="E2890" i="1"/>
  <c r="E2873" i="1"/>
  <c r="E2850" i="1"/>
  <c r="E2845" i="1"/>
  <c r="E2814" i="1"/>
  <c r="F4712" i="1" l="1"/>
  <c r="F3673" i="1"/>
  <c r="E2760" i="1"/>
  <c r="E2753" i="1"/>
  <c r="E2746" i="1"/>
  <c r="E2745" i="1"/>
  <c r="E2740" i="1"/>
  <c r="E2735" i="1"/>
  <c r="E2726" i="1"/>
  <c r="E2710" i="1"/>
  <c r="E2697" i="1"/>
  <c r="E2694" i="1"/>
  <c r="E2689" i="1"/>
  <c r="E2677" i="1"/>
  <c r="E2670" i="1"/>
  <c r="E2668" i="1"/>
  <c r="E2665" i="1"/>
  <c r="E2662" i="1"/>
  <c r="E2653" i="1"/>
  <c r="E2650" i="1"/>
  <c r="E2649" i="1"/>
  <c r="E2639" i="1"/>
  <c r="E2609" i="1"/>
  <c r="E2600" i="1"/>
  <c r="E2584" i="1"/>
  <c r="E2557" i="1"/>
  <c r="E2556" i="1"/>
  <c r="E2554" i="1"/>
  <c r="E2553" i="1"/>
  <c r="E2543" i="1"/>
  <c r="E2520" i="1"/>
  <c r="E2519" i="1"/>
  <c r="E2510" i="1"/>
  <c r="E2509" i="1"/>
  <c r="E2497" i="1"/>
  <c r="E2496" i="1"/>
  <c r="E2472" i="1"/>
  <c r="E2470" i="1"/>
  <c r="E2463" i="1"/>
  <c r="E2454" i="1"/>
  <c r="E2442" i="1"/>
  <c r="E2440" i="1"/>
  <c r="E2433" i="1"/>
  <c r="E2432" i="1"/>
  <c r="E2395" i="1"/>
  <c r="E2374" i="1"/>
  <c r="E2359" i="1"/>
  <c r="E2358" i="1"/>
  <c r="E2343" i="1"/>
  <c r="E2338" i="1"/>
  <c r="E2331" i="1"/>
  <c r="E2327" i="1"/>
  <c r="E2304" i="1"/>
  <c r="E2283" i="1"/>
  <c r="E2274" i="1"/>
  <c r="E2271" i="1"/>
  <c r="E2269" i="1"/>
  <c r="E2244" i="1"/>
  <c r="E2243" i="1"/>
  <c r="E2232" i="1"/>
  <c r="E2223" i="1"/>
  <c r="E2220" i="1"/>
  <c r="F2797" i="1" l="1"/>
  <c r="E2148" i="1"/>
  <c r="E2142" i="1"/>
  <c r="E2137" i="1"/>
  <c r="E2133" i="1"/>
  <c r="E2132" i="1"/>
  <c r="E2130" i="1"/>
  <c r="E2124" i="1"/>
  <c r="E2118" i="1"/>
  <c r="E2107" i="1"/>
  <c r="E2089" i="1"/>
  <c r="E2085" i="1"/>
  <c r="E2082" i="1"/>
  <c r="E2077" i="1"/>
  <c r="E2074" i="1"/>
  <c r="E2073" i="1"/>
  <c r="E2070" i="1"/>
  <c r="E2068" i="1"/>
  <c r="E2053" i="1"/>
  <c r="E2040" i="1"/>
  <c r="E2039" i="1"/>
  <c r="E2030" i="1"/>
  <c r="E2029" i="1"/>
  <c r="E2028" i="1"/>
  <c r="E2027" i="1"/>
  <c r="E2026" i="1"/>
  <c r="E1988" i="1"/>
  <c r="E1968" i="1"/>
  <c r="E1908" i="1"/>
  <c r="E1906" i="1"/>
  <c r="E1905" i="1"/>
  <c r="E1904" i="1"/>
  <c r="E1834" i="1"/>
  <c r="E1832" i="1"/>
  <c r="E1824" i="1"/>
  <c r="E1794" i="1"/>
  <c r="E1793" i="1"/>
  <c r="E1766" i="1"/>
  <c r="E1752" i="1"/>
  <c r="E1738" i="1"/>
  <c r="E1733" i="1"/>
  <c r="E1732" i="1"/>
  <c r="E1699" i="1"/>
  <c r="E1693" i="1"/>
  <c r="E1692" i="1"/>
  <c r="E1691" i="1"/>
  <c r="E1681" i="1"/>
  <c r="E1679" i="1"/>
  <c r="E1667" i="1"/>
  <c r="E1666" i="1"/>
  <c r="E1662" i="1"/>
  <c r="E1643" i="1"/>
  <c r="E1604" i="1"/>
  <c r="E1589" i="1"/>
  <c r="E1585" i="1"/>
  <c r="E1505" i="1"/>
  <c r="E1498" i="1"/>
  <c r="E1480" i="1"/>
  <c r="E1474" i="1"/>
  <c r="E1471" i="1"/>
  <c r="E1463" i="1"/>
  <c r="E1461" i="1"/>
  <c r="E1443" i="1"/>
  <c r="E1436" i="1"/>
  <c r="E1435" i="1"/>
  <c r="E1434" i="1"/>
  <c r="E1433" i="1"/>
  <c r="E1432" i="1"/>
  <c r="E1430" i="1"/>
  <c r="E1429" i="1"/>
  <c r="E1420" i="1"/>
  <c r="E1394" i="1"/>
  <c r="E1376" i="1"/>
  <c r="E1359" i="1"/>
  <c r="E1354" i="1"/>
  <c r="E1352" i="1"/>
  <c r="E1351" i="1"/>
  <c r="E1350" i="1"/>
  <c r="E1348" i="1"/>
  <c r="E1346" i="1"/>
  <c r="E1343" i="1"/>
  <c r="E1326" i="1"/>
  <c r="E1322" i="1"/>
  <c r="E1309" i="1"/>
  <c r="E1308" i="1"/>
  <c r="F2160" i="1" l="1"/>
  <c r="E1302" i="1"/>
  <c r="E1247" i="1"/>
  <c r="E1242" i="1"/>
  <c r="E1238" i="1"/>
  <c r="E1237" i="1"/>
  <c r="E1223" i="1"/>
  <c r="E1219" i="1"/>
  <c r="E1203" i="1"/>
  <c r="E1190" i="1"/>
  <c r="E1183" i="1"/>
  <c r="E1182" i="1"/>
  <c r="E1181" i="1"/>
  <c r="E1179" i="1"/>
  <c r="E1170" i="1"/>
  <c r="E1169" i="1"/>
  <c r="E1157" i="1"/>
  <c r="E1151" i="1"/>
  <c r="E1148" i="1"/>
  <c r="E1144" i="1"/>
  <c r="E1142" i="1"/>
  <c r="E1138" i="1"/>
  <c r="E1125" i="1"/>
  <c r="E1116" i="1"/>
  <c r="E1114" i="1"/>
  <c r="E1107" i="1"/>
  <c r="E1100" i="1"/>
  <c r="E1096" i="1"/>
  <c r="E1093" i="1"/>
  <c r="E1083" i="1"/>
  <c r="E1075" i="1"/>
  <c r="E1071" i="1"/>
  <c r="E1040" i="1"/>
  <c r="E1026" i="1"/>
  <c r="E1020" i="1"/>
  <c r="E995" i="1"/>
  <c r="E982" i="1"/>
  <c r="E950" i="1"/>
  <c r="E920" i="1"/>
  <c r="E903" i="1"/>
  <c r="E881" i="1"/>
  <c r="E874" i="1"/>
  <c r="E871" i="1"/>
  <c r="E860" i="1"/>
  <c r="E828" i="1"/>
  <c r="E827" i="1"/>
  <c r="E825" i="1"/>
  <c r="E815" i="1"/>
  <c r="E812" i="1"/>
  <c r="E792" i="1"/>
  <c r="E778" i="1"/>
  <c r="E756" i="1"/>
  <c r="E723" i="1"/>
  <c r="E706" i="1"/>
  <c r="E690" i="1"/>
  <c r="E687" i="1"/>
  <c r="E677" i="1"/>
  <c r="E673" i="1"/>
  <c r="E592" i="1"/>
  <c r="E576" i="1"/>
  <c r="E569" i="1"/>
  <c r="E517" i="1"/>
  <c r="F1306" i="1" l="1"/>
  <c r="E171" i="1"/>
  <c r="E56" i="1" l="1"/>
  <c r="E478" i="1"/>
  <c r="E444" i="1"/>
  <c r="E422" i="1"/>
  <c r="E420" i="1"/>
  <c r="E390" i="1"/>
  <c r="E283" i="1"/>
  <c r="E261" i="1"/>
  <c r="E128" i="1"/>
  <c r="E117" i="1"/>
  <c r="E116" i="1"/>
  <c r="E96" i="1"/>
  <c r="F484" i="1" l="1"/>
  <c r="F8545" i="1" s="1"/>
</calcChain>
</file>

<file path=xl/sharedStrings.xml><?xml version="1.0" encoding="utf-8"?>
<sst xmlns="http://schemas.openxmlformats.org/spreadsheetml/2006/main" count="17080" uniqueCount="7504">
  <si>
    <t>CHECK</t>
  </si>
  <si>
    <t>INVOICE</t>
  </si>
  <si>
    <t>DATE</t>
  </si>
  <si>
    <t>NUMBER</t>
  </si>
  <si>
    <t>VENDOR</t>
  </si>
  <si>
    <t>DESCRIPTION</t>
  </si>
  <si>
    <t>AMOUNT</t>
  </si>
  <si>
    <t>CICI'S PIZZA</t>
  </si>
  <si>
    <t>West - Lunch for staff</t>
  </si>
  <si>
    <t>FREDA LERMA</t>
  </si>
  <si>
    <t>JANET BASS</t>
  </si>
  <si>
    <t>OFFICE DEPOT</t>
  </si>
  <si>
    <t>ORIENTAL TRADING COMPANY</t>
  </si>
  <si>
    <t>PRESSMAN PRINTING, INC.</t>
  </si>
  <si>
    <t>RIVAL SIGN COMPANY</t>
  </si>
  <si>
    <t>Stadium Signs</t>
  </si>
  <si>
    <t>SCHOLASTIC BOOK FAIRS</t>
  </si>
  <si>
    <t>TEXAS ASSOC OF STUDENT COUNCILS</t>
  </si>
  <si>
    <t>BHS Stuco membership fees</t>
  </si>
  <si>
    <t>YEP PRODUCTIONS</t>
  </si>
  <si>
    <t>North- Grit T-shirts</t>
  </si>
  <si>
    <t>ALBARO CARRILLO</t>
  </si>
  <si>
    <t>AT&amp;T</t>
  </si>
  <si>
    <t>Monthly Telephone Service PRI</t>
  </si>
  <si>
    <t>Monthly Telephone Service</t>
  </si>
  <si>
    <t>AZLE ISD</t>
  </si>
  <si>
    <t>BOSWELL HIGH SCHOOL</t>
  </si>
  <si>
    <t>Brewer High School JV Golf</t>
  </si>
  <si>
    <t>BURLESON HIGH SCHOOL</t>
  </si>
  <si>
    <t>CHRISTINA HURST</t>
  </si>
  <si>
    <t>CLAIMS ADMINISTRATIVE SERVICES</t>
  </si>
  <si>
    <t>COCA-COLA SOUTHWEST BEVERAGES</t>
  </si>
  <si>
    <t>DRINKS FOR BMS KITCHEN</t>
  </si>
  <si>
    <t>COWTOWN BUS CHARTERS</t>
  </si>
  <si>
    <t>BHS Charter Buses for Band</t>
  </si>
  <si>
    <t>DOUGLAS MACK</t>
  </si>
  <si>
    <t>Refund for Lunch Account</t>
  </si>
  <si>
    <t>EDUCATIONAL PURCHASING COOP OF NORTH TEXAS</t>
  </si>
  <si>
    <t>2018-2019 Annual Membership</t>
  </si>
  <si>
    <t>ERIN VIECK</t>
  </si>
  <si>
    <t>HARRIS RATINGS WEEKLY</t>
  </si>
  <si>
    <t>HEALTH SPECIAL RISK INC</t>
  </si>
  <si>
    <t>Student/Athletic Insurance</t>
  </si>
  <si>
    <t>JASON ERVIN</t>
  </si>
  <si>
    <t>JASON'S DELI</t>
  </si>
  <si>
    <t>LUBBOCK I.S.D.</t>
  </si>
  <si>
    <t>MANSFIELD HIGH SCHOOL</t>
  </si>
  <si>
    <t>MARK'S PLUMBING PARTS</t>
  </si>
  <si>
    <t>MARTIN EAGLE OIL COMPANY INC</t>
  </si>
  <si>
    <t>PITSCO EDUCATION</t>
  </si>
  <si>
    <t>PRESTIGE WORLDWIDE SERVICES</t>
  </si>
  <si>
    <t>PROSTAR SERVICES INC</t>
  </si>
  <si>
    <t>Coffee Products for Admin</t>
  </si>
  <si>
    <t>SAM HOUSTON HIGH SCHOOL</t>
  </si>
  <si>
    <t>SIMONE FAVICCHIO</t>
  </si>
  <si>
    <t>TASA - TEXAS ASSOCIATION OF</t>
  </si>
  <si>
    <t>FRANK MOLINAR</t>
  </si>
  <si>
    <t>TARRANT APPRAISAL DISTRICT</t>
  </si>
  <si>
    <t>TEXAS POLITICAL SUBDIVISIONS</t>
  </si>
  <si>
    <t>UNIVERSITY INTERSCHOLASTC</t>
  </si>
  <si>
    <t>WHITNEY HIGH SCHOOL</t>
  </si>
  <si>
    <t>WILLIAMS, KRISTY</t>
  </si>
  <si>
    <t>JOSHUA CULBERTSON</t>
  </si>
  <si>
    <t>KEY INSTALLATIONS</t>
  </si>
  <si>
    <t>ADVENTURES IN ADVERTISING CORPORATION</t>
  </si>
  <si>
    <t>BHS class of 2019 shirts</t>
  </si>
  <si>
    <t>APPLE COMPUTER INC</t>
  </si>
  <si>
    <t>BSN SPORTS</t>
  </si>
  <si>
    <t>DELL MARKETING L.P.</t>
  </si>
  <si>
    <t>ECHO EDUCATION SERVICES</t>
  </si>
  <si>
    <t>EDUCATION IN ACTION</t>
  </si>
  <si>
    <t>GODLEY ISD</t>
  </si>
  <si>
    <t>GOPHER SPORT</t>
  </si>
  <si>
    <t>GRAPHICS STORE</t>
  </si>
  <si>
    <t>MATTHEWS OFFICE CITY</t>
  </si>
  <si>
    <t>NORTH TEXAS TOLLWAY AUTHORITY</t>
  </si>
  <si>
    <t>Toll Bill for cheer traveling</t>
  </si>
  <si>
    <t>PETTY CASH</t>
  </si>
  <si>
    <t>To replenish Petty cash</t>
  </si>
  <si>
    <t>petty cash replacement</t>
  </si>
  <si>
    <t>READY REFRESH</t>
  </si>
  <si>
    <t>SCARBOROUGH SPECIALTIES INC</t>
  </si>
  <si>
    <t>BHS Band shorts</t>
  </si>
  <si>
    <t>BHS Band t-shirts</t>
  </si>
  <si>
    <t>BHS Band Dri-fit t-shirts</t>
  </si>
  <si>
    <t>BHS band polos</t>
  </si>
  <si>
    <t>SOFTWEAR EMBROIDERY INC</t>
  </si>
  <si>
    <t>BHS Class of 2019 Flag</t>
  </si>
  <si>
    <t>THE CHICKEN PLACE INC</t>
  </si>
  <si>
    <t>Hall of Fame Banquet Dinner</t>
  </si>
  <si>
    <t>TMEA REGION 30 BAND DIVISION</t>
  </si>
  <si>
    <t>Jazz entry fee</t>
  </si>
  <si>
    <t>VARSITY SPIRIT FASHIONS</t>
  </si>
  <si>
    <t>VERNIER SOFTWARE AND TECHNOLOGY</t>
  </si>
  <si>
    <t>VISTAR CORPORATION</t>
  </si>
  <si>
    <t>ALL AMERICAN HIGH SCHOOL FILM FESTIVAL</t>
  </si>
  <si>
    <t>AMANDA SANCHEZ</t>
  </si>
  <si>
    <t>AZLE COMMUNICATIONS</t>
  </si>
  <si>
    <t>2 WAY RADIOS WITH CHARGERS</t>
  </si>
  <si>
    <t>BHS 6 replacement batteries</t>
  </si>
  <si>
    <t>B &amp; H FOTO &amp; ELECTRONICS CORP</t>
  </si>
  <si>
    <t>Stadiun Tv Digital Converter</t>
  </si>
  <si>
    <t>BAKER DISTRIBUTING COMPANY</t>
  </si>
  <si>
    <t>BIRDVILLE HIGH SCHOOL</t>
  </si>
  <si>
    <t>Brewer golf entry fee</t>
  </si>
  <si>
    <t>CENTENNIAL HIGH SCHOOL</t>
  </si>
  <si>
    <t>CITY OF WHITE SETTLEMENT-WATER</t>
  </si>
  <si>
    <t>CITY CLEANERS COMPANY</t>
  </si>
  <si>
    <t>CYNTHIA BRENNAN</t>
  </si>
  <si>
    <t>DANIEL REEVES COLE</t>
  </si>
  <si>
    <t>DIRECT ENERGY BUSINESS</t>
  </si>
  <si>
    <t>DONNIE FOSTER</t>
  </si>
  <si>
    <t>EMPLOYERS UNITY LLC</t>
  </si>
  <si>
    <t>EQUITY CENTER</t>
  </si>
  <si>
    <t>ESC REGION XI</t>
  </si>
  <si>
    <t>FERNANDO MOLINAR</t>
  </si>
  <si>
    <t>FRANK BLAUSTEIN</t>
  </si>
  <si>
    <t>WSPD security for football</t>
  </si>
  <si>
    <t>FRONTLINE TECHNOLOGIES GROUP LLC</t>
  </si>
  <si>
    <t>eStar-Special Education</t>
  </si>
  <si>
    <t>GLEN LOWRY</t>
  </si>
  <si>
    <t>GLYNLYON, INC</t>
  </si>
  <si>
    <t>GODLEY HIGH SCHOOL</t>
  </si>
  <si>
    <t>GOLDSTAR TRANSIT INC</t>
  </si>
  <si>
    <t>HIGGINBOTHAM &amp; ASSOCIATES, INC</t>
  </si>
  <si>
    <t>HOME DEPOT CREDIT SERVICES</t>
  </si>
  <si>
    <t>PROPANE TO COOK HOT DOG FOR</t>
  </si>
  <si>
    <t>HOOD COUNTY NEWS, INC</t>
  </si>
  <si>
    <t>BHS Newpaper</t>
  </si>
  <si>
    <t>HUDL</t>
  </si>
  <si>
    <t>JOHN BRADLEY</t>
  </si>
  <si>
    <t>KELLER CENTRAL HIGH SCHOOL</t>
  </si>
  <si>
    <t>Brewer girls basketball entry</t>
  </si>
  <si>
    <t>LEGAL DIGEST</t>
  </si>
  <si>
    <t>LUCAS HEARING AND BALANCE CENTER, PLLC</t>
  </si>
  <si>
    <t>MARCUS HENRY</t>
  </si>
  <si>
    <t>Athletic office supplies</t>
  </si>
  <si>
    <t>West - General supplies</t>
  </si>
  <si>
    <t>COLORED PAPER FOR BMS</t>
  </si>
  <si>
    <t>COPY PAPER FOR BMS</t>
  </si>
  <si>
    <t>Supplies for Police Dept</t>
  </si>
  <si>
    <t>copy paper</t>
  </si>
  <si>
    <t>MCDAVID AUTOMOTIVE</t>
  </si>
  <si>
    <t>STATE INSPECTION FOR VEHICLE</t>
  </si>
  <si>
    <t>METRO GOLF CARS, INC.</t>
  </si>
  <si>
    <t>MELISSA BROWN</t>
  </si>
  <si>
    <t>MORSCO SUPPLY LLC</t>
  </si>
  <si>
    <t>NORTH TEXAS COLORGUARD ASSOCIATION</t>
  </si>
  <si>
    <t>PITNEY BOWES GLOBAL FINANCIAL SERVICES LLC</t>
  </si>
  <si>
    <t>PROJECT LEAD THE WAY, INC</t>
  </si>
  <si>
    <t>BHS Coffee service</t>
  </si>
  <si>
    <t>RANDY ARMSTRONG</t>
  </si>
  <si>
    <t>RAYMOND PATTERSON</t>
  </si>
  <si>
    <t>Drinking Water for Admin Bldg</t>
  </si>
  <si>
    <t>RESPONSIVE LEARNING</t>
  </si>
  <si>
    <t>1684 T-TESS Cube Orientation</t>
  </si>
  <si>
    <t>SHAWN L ELLIOTT</t>
  </si>
  <si>
    <t>Football security - WSPD</t>
  </si>
  <si>
    <t>SHERWIN WILLIAMS</t>
  </si>
  <si>
    <t>W/O #13812- PAINTING STADIUM</t>
  </si>
  <si>
    <t>SKYWARD</t>
  </si>
  <si>
    <t>SOLUTION TREE INC</t>
  </si>
  <si>
    <t>TARRANT COUNTY AUDITOR</t>
  </si>
  <si>
    <t>JJAEP Discretionary Billing</t>
  </si>
  <si>
    <t>TASB, INC</t>
  </si>
  <si>
    <t>Annual Subscription Renewal</t>
  </si>
  <si>
    <t>TASBO</t>
  </si>
  <si>
    <t>TEXAS ASSOCIATION FOR THE IMPROVEMENT OF READ</t>
  </si>
  <si>
    <t>TEXAS DECA</t>
  </si>
  <si>
    <t>TEXAS MADE CONSTRUCTION</t>
  </si>
  <si>
    <t>TEXAS SKYWARD USER GROUP</t>
  </si>
  <si>
    <t>TIM DUNCAN</t>
  </si>
  <si>
    <t>TMEA REGION 2</t>
  </si>
  <si>
    <t>Band Director Membership fees</t>
  </si>
  <si>
    <t>TRINITY ARMORED SECURITY INC</t>
  </si>
  <si>
    <t>Trinity Armored Car Service</t>
  </si>
  <si>
    <t>UIL MUSIC REGION 30</t>
  </si>
  <si>
    <t>BHS UIL entry fee for Band</t>
  </si>
  <si>
    <t>UNMANNED SAFETY INSTITUTE INC</t>
  </si>
  <si>
    <t>UNITED REFRIGERATION,  INC.</t>
  </si>
  <si>
    <t>W/O #13708- A/C REPAIR IN GYM</t>
  </si>
  <si>
    <t>VERIZON WIRELESS</t>
  </si>
  <si>
    <t>2018-2109 Wireless Services</t>
  </si>
  <si>
    <t>WEATHERFORD HIGH SCHOOL</t>
  </si>
  <si>
    <t>WESTSIDE YMCA</t>
  </si>
  <si>
    <t>OES, INC</t>
  </si>
  <si>
    <t>NEW MARQUEE FOR ADMIN</t>
  </si>
  <si>
    <t>NEW SCOREBOARD FOR BMS</t>
  </si>
  <si>
    <t>ADDISON COFFEE ROASTERS</t>
  </si>
  <si>
    <t>AMAZON.COM CORPORATE ACCT/SYNCB</t>
  </si>
  <si>
    <t>Press Box Supplies</t>
  </si>
  <si>
    <t>GENERAL SUPPLIES FOR BMS BAND</t>
  </si>
  <si>
    <t>COLOR RIBBON FOR ID PRINTER</t>
  </si>
  <si>
    <t>portable a/c for ticket booth</t>
  </si>
  <si>
    <t>BHS Coffee House supplies</t>
  </si>
  <si>
    <t>BREWER SOFTBALL BOOSTER CLUB</t>
  </si>
  <si>
    <t>Softball sold Scoreboard Ad</t>
  </si>
  <si>
    <t>CORNISH MEDICAL</t>
  </si>
  <si>
    <t>EDUCATIONAL THEATRE</t>
  </si>
  <si>
    <t>GAVREL OUTSTANDING DESIGNS &amp; SCREEN PRINTING</t>
  </si>
  <si>
    <t>Fall baseball shirts</t>
  </si>
  <si>
    <t>GUSTAVO RICO</t>
  </si>
  <si>
    <t>refund PSAT test- BHS</t>
  </si>
  <si>
    <t>LAURA QUIROZ</t>
  </si>
  <si>
    <t>REFUND FOR BAND FEE</t>
  </si>
  <si>
    <t>PARTY WAREHOUSE</t>
  </si>
  <si>
    <t>BHS Leis for Hawaiian day</t>
  </si>
  <si>
    <t>Hope Day- Supplies</t>
  </si>
  <si>
    <t>FAA staff shirts and signage</t>
  </si>
  <si>
    <t>FAA staff shirts</t>
  </si>
  <si>
    <t>Hall of Fame Plaques</t>
  </si>
  <si>
    <t>SCRIPPS NATIONAL SPELLING BEE</t>
  </si>
  <si>
    <t>registration for Spelling Bee</t>
  </si>
  <si>
    <t>SPARKLETTS AND SIERRA SPRINGS</t>
  </si>
  <si>
    <t>Sparkletts--water</t>
  </si>
  <si>
    <t>STATE FAIR OF TEXAS</t>
  </si>
  <si>
    <t>Entry fee for Ag products</t>
  </si>
  <si>
    <t>SWEET PIPES INC</t>
  </si>
  <si>
    <t>RECORDERS FOR MUSIC</t>
  </si>
  <si>
    <t>TARVER TROPHIES</t>
  </si>
  <si>
    <t>Medals and trophies for BMS</t>
  </si>
  <si>
    <t>THE UNIVERSITY OF TEXAS OF THE PERMIAN</t>
  </si>
  <si>
    <t>WAL-MART BUSINESS</t>
  </si>
  <si>
    <t>T-SHIRTS FOR BMS BAND</t>
  </si>
  <si>
    <t>North- Student spirit shirts</t>
  </si>
  <si>
    <t>KSA EVENTS</t>
  </si>
  <si>
    <t>AIR CONDITIONING SUPPLY</t>
  </si>
  <si>
    <t>ALAMO INSURANCE GROUP, INC.</t>
  </si>
  <si>
    <t>Office Supplies</t>
  </si>
  <si>
    <t>North-steaming ahead grant</t>
  </si>
  <si>
    <t>Copy Paper</t>
  </si>
  <si>
    <t>West - Supplies for house</t>
  </si>
  <si>
    <t>West - Supplies for teachers</t>
  </si>
  <si>
    <t>AMERICAN CERAMIC SUPPLY COMPANY</t>
  </si>
  <si>
    <t>BHS Art Supplies</t>
  </si>
  <si>
    <t>AMERICAN GLASS &amp; MIRROR</t>
  </si>
  <si>
    <t>W/O #13406- EMERGENCY WINDOW</t>
  </si>
  <si>
    <t>ASCD</t>
  </si>
  <si>
    <t>ATMOS ENERGY</t>
  </si>
  <si>
    <t>BENJAMIN WORRELL</t>
  </si>
  <si>
    <t>Band Contracted service</t>
  </si>
  <si>
    <t>CALEB HUNTER</t>
  </si>
  <si>
    <t>Band contracted service</t>
  </si>
  <si>
    <t>CED</t>
  </si>
  <si>
    <t>CHILD NUTRITION</t>
  </si>
  <si>
    <t>CHISHOLM TRAIL BOYS BASKETBALL</t>
  </si>
  <si>
    <t>Brewer entry fee</t>
  </si>
  <si>
    <t>CITY OF FORT WORTH-WATER</t>
  </si>
  <si>
    <t>CLEBURNE HIGH SCHOOL</t>
  </si>
  <si>
    <t>CYBERSOFT TECHNOLOGIES, INC</t>
  </si>
  <si>
    <t>PrimeroEdge - Annual Support</t>
  </si>
  <si>
    <t>DATA MANAGEMENT, INC</t>
  </si>
  <si>
    <t>TEMPORARY ID BOOKLETS FOR BMS</t>
  </si>
  <si>
    <t>Dell Laptop Repair Parts</t>
  </si>
  <si>
    <t>EXPLORE LEARNING, LLC</t>
  </si>
  <si>
    <t>learning software</t>
  </si>
  <si>
    <t>FTW SAFETY AND INDUSTRIAL SUPPLIES</t>
  </si>
  <si>
    <t>GERMBLAST</t>
  </si>
  <si>
    <t>PE EQUIPMENT</t>
  </si>
  <si>
    <t>HAGAR RESTAURANT SERVICE</t>
  </si>
  <si>
    <t>Wash arm end caps - Tannahill</t>
  </si>
  <si>
    <t>Repairs to MS Steamers</t>
  </si>
  <si>
    <t>HAROLD JAMES, INC.</t>
  </si>
  <si>
    <t>HAYLEY CHRISTINE GRUBBS</t>
  </si>
  <si>
    <t>HERITAGE FOOD SERVICE EQUIPMENT, INC.</t>
  </si>
  <si>
    <t>HOUGHTON MIFFLIN HARCOURT PUBLISHING COMPANY</t>
  </si>
  <si>
    <t>ION WAVE TECHNOLOGIES</t>
  </si>
  <si>
    <t>ISTATION</t>
  </si>
  <si>
    <t>IXL LEARNING</t>
  </si>
  <si>
    <t>J.W. PEPPER &amp; SON</t>
  </si>
  <si>
    <t>BHS Band supplies</t>
  </si>
  <si>
    <t>JAROD MCCARTY</t>
  </si>
  <si>
    <t>JD'S TRANSPORT</t>
  </si>
  <si>
    <t>ICE- FOR ATHLETICS DEPT @ BHS</t>
  </si>
  <si>
    <t>JOURNEY HOUSE TRAVEL INCORPORATED</t>
  </si>
  <si>
    <t>KANDY AYDELOTTE</t>
  </si>
  <si>
    <t>KIMBALL MIDWEST</t>
  </si>
  <si>
    <t>RE-STOCK ITEMS FOR OPERATIONS</t>
  </si>
  <si>
    <t>BHS Paper</t>
  </si>
  <si>
    <t>Business Office Supplies</t>
  </si>
  <si>
    <t>supplies for front desk</t>
  </si>
  <si>
    <t>Copy paper</t>
  </si>
  <si>
    <t>MIDLOTHIAN HIGH SCHOOL</t>
  </si>
  <si>
    <t>MOORE RECYCLING LLC</t>
  </si>
  <si>
    <t>MOTOR MAINTENANCE, INC.</t>
  </si>
  <si>
    <t>NATIONAL RESTAURANT ASSOC EDUATIONAL FOUNDATI</t>
  </si>
  <si>
    <t>BHS food handler exams</t>
  </si>
  <si>
    <t>NATIONAL WRESTLING COACHES ASSOCIATION</t>
  </si>
  <si>
    <t>OPC access cost/NWCA</t>
  </si>
  <si>
    <t>Tolls used for volleyball</t>
  </si>
  <si>
    <t>art supplies</t>
  </si>
  <si>
    <t>PASCHAL HIGH SCHOOL</t>
  </si>
  <si>
    <t>PEROT MUSEUM OF NATURE AND SCIENCE</t>
  </si>
  <si>
    <t>North- Teach truck Visit Oct</t>
  </si>
  <si>
    <t>Mad Scientist Night- Perot</t>
  </si>
  <si>
    <t>PIONEER ATHLETICS</t>
  </si>
  <si>
    <t>POSITIVE PROOF, INC</t>
  </si>
  <si>
    <t>BHS Positive Proof supplies</t>
  </si>
  <si>
    <t>R. CRAIG STEPHENS</t>
  </si>
  <si>
    <t>Produce - August</t>
  </si>
  <si>
    <t>Water - CN Office</t>
  </si>
  <si>
    <t>REGION VII EDUCATION SERVICE CENTER</t>
  </si>
  <si>
    <t>RIVER OAKS PRINTING, INC.</t>
  </si>
  <si>
    <t>signs for front of school</t>
  </si>
  <si>
    <t>SCHOLASTIC TESTING SERVICE, INC.</t>
  </si>
  <si>
    <t>Torrance Test for TIS</t>
  </si>
  <si>
    <t>SCHOOLDUDE.COM</t>
  </si>
  <si>
    <t>SHERMAN HIGH SCHOOL</t>
  </si>
  <si>
    <t>SIEMENS BUILDING TECHNOLOGIES,INC</t>
  </si>
  <si>
    <t>SIMBA INDUSTRIES</t>
  </si>
  <si>
    <t>SOUTH HILLS HIGH SCHOOL</t>
  </si>
  <si>
    <t>STAT-CAST</t>
  </si>
  <si>
    <t>STUDENT CONDUCTOR, INC</t>
  </si>
  <si>
    <t>THERMAL RECEIPT ROLLS AND 10</t>
  </si>
  <si>
    <t>SUCCESS AIR</t>
  </si>
  <si>
    <t>W/O #13774- DEODORIZING</t>
  </si>
  <si>
    <t>SUNNYVALE BAND BOOSTER CLUB</t>
  </si>
  <si>
    <t>SUPERIOR PEDIATRIC CARE INC</t>
  </si>
  <si>
    <t>SYSCO FOOD SERVICES OF DALLAS, INC</t>
  </si>
  <si>
    <t>TABC</t>
  </si>
  <si>
    <t>TASB, INC.</t>
  </si>
  <si>
    <t>TASSP</t>
  </si>
  <si>
    <t>TCA</t>
  </si>
  <si>
    <t>TEPSA</t>
  </si>
  <si>
    <t>THYSSENKRUPP ELEVATOR CORP.</t>
  </si>
  <si>
    <t>TRANE U. S. INC</t>
  </si>
  <si>
    <t>UPT CONTAINERS, LLC</t>
  </si>
  <si>
    <t>WALSH GALLEGOS TREVINO RUSSO &amp; KYLE P.C.</t>
  </si>
  <si>
    <t>Legal Services</t>
  </si>
  <si>
    <t>WESTERN HILLS HIGH SCHOOL</t>
  </si>
  <si>
    <t>WESTLAND RANCH</t>
  </si>
  <si>
    <t>YOUTH EDUCATION IN THE ARTS INC</t>
  </si>
  <si>
    <t>BHS Drill team duffel bags</t>
  </si>
  <si>
    <t>ANDERSON'S IT'S ELEMENTARY</t>
  </si>
  <si>
    <t>NORTH- PIZZA FOR WATCH DOGS</t>
  </si>
  <si>
    <t>BHS  Cici's pizza for AV club</t>
  </si>
  <si>
    <t>NORTHWEST PLASTIC ENGRAVERS</t>
  </si>
  <si>
    <t>PEPWEAR, LLC</t>
  </si>
  <si>
    <t>Replenish Petty Cash</t>
  </si>
  <si>
    <t>2018/2019 PETTY CASH START UP</t>
  </si>
  <si>
    <t>Marketing Banners</t>
  </si>
  <si>
    <t>TAHPERD ANNUAL CONVENTION</t>
  </si>
  <si>
    <t>walkie repairs</t>
  </si>
  <si>
    <t>BACKGROUNDSCHECKS.COM</t>
  </si>
  <si>
    <t>CASTLEBERRY HIGH SCHOOL</t>
  </si>
  <si>
    <t>Volleyball entry fee</t>
  </si>
  <si>
    <t>CATHY KOKE</t>
  </si>
  <si>
    <t>BHS meals for New York Trip</t>
  </si>
  <si>
    <t>CENTER FOR TEACHING FOR BILITERACY, LLC</t>
  </si>
  <si>
    <t>CESD</t>
  </si>
  <si>
    <t>CXTEC</t>
  </si>
  <si>
    <t>PHONES FOR DISTRICT USE</t>
  </si>
  <si>
    <t>DAVID PEARCE OFFICE FURNITURE</t>
  </si>
  <si>
    <t>Office Guest Chairs</t>
  </si>
  <si>
    <t>DENISE DRUESEDOW</t>
  </si>
  <si>
    <t>DICK BLICK</t>
  </si>
  <si>
    <t>ART SUPPLIES FOR BMS ART</t>
  </si>
  <si>
    <t>DK HANEY ROOFING, INC.</t>
  </si>
  <si>
    <t>EDUCATION ADVANCED, INC.</t>
  </si>
  <si>
    <t>Test Hound 2018-2019 School</t>
  </si>
  <si>
    <t>FANTASY OF LIGHTS BASKETBALL TOURNAMENT</t>
  </si>
  <si>
    <t>FLINN SCIENTIFIC, INC.</t>
  </si>
  <si>
    <t>FORT WORTH CONVENTION CENTER</t>
  </si>
  <si>
    <t>GODLEY BAND BOOSTER CLUB</t>
  </si>
  <si>
    <t>HEARTSAFE AMERICA, INC</t>
  </si>
  <si>
    <t>HOBBY LOBBY STORES</t>
  </si>
  <si>
    <t>TEXAS TECH UNIVERSITY</t>
  </si>
  <si>
    <t>BHS Choir Supplies</t>
  </si>
  <si>
    <t>JAGUARS ATHLETIC BOOSTER CLUB</t>
  </si>
  <si>
    <t>JOE HALL</t>
  </si>
  <si>
    <t>W/O #14018- GAS LINE REPAIRS</t>
  </si>
  <si>
    <t>Payment for Cheer</t>
  </si>
  <si>
    <t>KENNEDALE HIGH SCHOOL</t>
  </si>
  <si>
    <t>TANNAHILL -  ARATKRAFT PAPER</t>
  </si>
  <si>
    <t>copy paper September</t>
  </si>
  <si>
    <t>NEARPOD</t>
  </si>
  <si>
    <t>Toll Charges</t>
  </si>
  <si>
    <t>NOTARY PUBLIC UNDERWRITERS</t>
  </si>
  <si>
    <t>PATHWAY COMMUNICATIONS LTD</t>
  </si>
  <si>
    <t>NEW SPEAKERS FOR BMS LIBRARY</t>
  </si>
  <si>
    <t>Field trip deposit-   Perot</t>
  </si>
  <si>
    <t>Water for Tech Office</t>
  </si>
  <si>
    <t>SCHOLASTIC, INC</t>
  </si>
  <si>
    <t>TANNAHILL-  SCOPE MAGAZINES</t>
  </si>
  <si>
    <t>TSPRA</t>
  </si>
  <si>
    <t>UNIBIND INC</t>
  </si>
  <si>
    <t>SteelCrystal Binding Supplies</t>
  </si>
  <si>
    <t>VICTOR JONES</t>
  </si>
  <si>
    <t>WASTE CONNECTIONS OF TEXAS</t>
  </si>
  <si>
    <t>WEAVER TECHNOLOGIES LLC</t>
  </si>
  <si>
    <t>DATA DOMAIN BACKUP SOLUTION</t>
  </si>
  <si>
    <t>WHY TRY, LLC</t>
  </si>
  <si>
    <t>XEROX CORPORATION</t>
  </si>
  <si>
    <t>ROBBINS-BITTERS, CONNIE</t>
  </si>
  <si>
    <t>GANNINGER, AMY</t>
  </si>
  <si>
    <t>JONES, AJA</t>
  </si>
  <si>
    <t>BHS Theater Supplies</t>
  </si>
  <si>
    <t>SIMPKINS, PAULA</t>
  </si>
  <si>
    <t>GCA SERVICES GROUP</t>
  </si>
  <si>
    <t>HOLLAND, ERNEST</t>
  </si>
  <si>
    <t>ATHLETIC.NET</t>
  </si>
  <si>
    <t>CRESTLINE</t>
  </si>
  <si>
    <t>RON WRIGHT, TAX ASSESSOR COLLECTOR</t>
  </si>
  <si>
    <t>District Vehicle Registration</t>
  </si>
  <si>
    <t>MORPHO TRUST USA, LLC</t>
  </si>
  <si>
    <t>CHICK-FIL-A</t>
  </si>
  <si>
    <t xml:space="preserve">Refund PSAT test </t>
  </si>
  <si>
    <t>SPECIMEN MIRRORS - BMS BAND</t>
  </si>
  <si>
    <t xml:space="preserve">Refund for laptop payment </t>
  </si>
  <si>
    <t xml:space="preserve">Cross country entry fee </t>
  </si>
  <si>
    <t xml:space="preserve">Laptop Refund </t>
  </si>
  <si>
    <t xml:space="preserve">17 weekly releases of NEWSLETTER </t>
  </si>
  <si>
    <t xml:space="preserve">GATE CHANGE FOR VARSITY FOOTBALL GAME </t>
  </si>
  <si>
    <t>Marketing Banners - Grace BAPTIST</t>
  </si>
  <si>
    <t xml:space="preserve">TASC memebersip renewal </t>
  </si>
  <si>
    <t>West - Supplies</t>
  </si>
  <si>
    <t>CREDIT</t>
  </si>
  <si>
    <t>authorization codes for FINGERPRINTING</t>
  </si>
  <si>
    <t>Reimbusement for 171 TECH ED TESTING</t>
  </si>
  <si>
    <t>BLUE HAZE AFTER SCHOOL - SPORTS AND TUTORING</t>
  </si>
  <si>
    <t>PETTY CASH REIMBURSEMENT- OPER</t>
  </si>
  <si>
    <t>W/O #13813- STOCK ITEMS FOR OPERATIONS</t>
  </si>
  <si>
    <t xml:space="preserve">NEW NOTARY APPLICATION </t>
  </si>
  <si>
    <t>BLUE HAZE AFTER SCHOOL -SPORTS ANS TUTORING</t>
  </si>
  <si>
    <t xml:space="preserve">WATER SERVICE </t>
  </si>
  <si>
    <t xml:space="preserve">PROPANE TO COOK HOT DOG </t>
  </si>
  <si>
    <t xml:space="preserve">REFUND FOR LAPTOP PAYMENT </t>
  </si>
  <si>
    <t xml:space="preserve">TANNAHILL- SUPPLIES </t>
  </si>
  <si>
    <t xml:space="preserve">GENERAL TEACHING SUPPLIES </t>
  </si>
  <si>
    <t xml:space="preserve">UTPB Bill for STUDENT </t>
  </si>
  <si>
    <t xml:space="preserve">groceries for PRIDE AND DREAM </t>
  </si>
  <si>
    <t xml:space="preserve">BHS Items for SCHOOL STORE </t>
  </si>
  <si>
    <t xml:space="preserve">Classroom SUPPLIES </t>
  </si>
  <si>
    <t xml:space="preserve">BHS Printer cartridges </t>
  </si>
  <si>
    <t xml:space="preserve">West - Supplies </t>
  </si>
  <si>
    <t xml:space="preserve">TANNAHILL- IPAD STANDS </t>
  </si>
  <si>
    <t xml:space="preserve">WEST - Reading material </t>
  </si>
  <si>
    <t xml:space="preserve">GAS SERVICE </t>
  </si>
  <si>
    <t>W/O #13857- REPLACE WORN TOOLS</t>
  </si>
  <si>
    <t>Stationary Bike for athlete REHAB</t>
  </si>
  <si>
    <t>W/O #12954- EMERGENCY TOOL RENTAL</t>
  </si>
  <si>
    <t xml:space="preserve">RECYCLING SERVICE </t>
  </si>
  <si>
    <t xml:space="preserve">SPECIAL PROGRAM: SUPPLIES </t>
  </si>
  <si>
    <t>SPECIAL PROGRAM: SUPPLIES</t>
  </si>
  <si>
    <t xml:space="preserve">W/O #13640- REPLACE LIGHTS </t>
  </si>
  <si>
    <t>W/O #13709- A/C REPAIR IN NW GYM</t>
  </si>
  <si>
    <t>COOKING AND ART SUPPLIES FOR BMS</t>
  </si>
  <si>
    <t xml:space="preserve">BHS Honeycomb SLIDERS </t>
  </si>
  <si>
    <t>T-SHIRTS CHOIR FUNDRAISER</t>
  </si>
  <si>
    <t xml:space="preserve">TANNAHILL-  RIBBONS </t>
  </si>
  <si>
    <t xml:space="preserve">COLOR GUARD UNIFORMS </t>
  </si>
  <si>
    <t xml:space="preserve">CHEER CAMP CLOTHES </t>
  </si>
  <si>
    <t xml:space="preserve">Background searches </t>
  </si>
  <si>
    <t xml:space="preserve">Water Services </t>
  </si>
  <si>
    <t>W/O #13872- LEAK REPAIR</t>
  </si>
  <si>
    <t xml:space="preserve">supplies for architecture </t>
  </si>
  <si>
    <t>Start up money for school Store</t>
  </si>
  <si>
    <t xml:space="preserve">FCLC SUPPLIES </t>
  </si>
  <si>
    <t>Parking violations Forms</t>
  </si>
  <si>
    <t>BMS SPRING BOOK FAIR Final Invoice</t>
  </si>
  <si>
    <t>7-5a District Fees for 2018-19 Down Payment</t>
  </si>
  <si>
    <t xml:space="preserve">2018-2019 Workers' COMP INS </t>
  </si>
  <si>
    <t>Leadership Meeing Breakfast</t>
  </si>
  <si>
    <t>Brewer High School volleyball Fee</t>
  </si>
  <si>
    <t>Maintenance Supplies</t>
  </si>
  <si>
    <t>Fuel</t>
  </si>
  <si>
    <t xml:space="preserve">Renewal  </t>
  </si>
  <si>
    <t>Mowing</t>
  </si>
  <si>
    <t>Membership Fees</t>
  </si>
  <si>
    <t>Quarterly Allocation Payment</t>
  </si>
  <si>
    <t>2018-2019 Property &amp; Casualty Insurance</t>
  </si>
  <si>
    <t>UIL membership application Fee</t>
  </si>
  <si>
    <t>BHS Cheer teaching/coaching Contract Servcie</t>
  </si>
  <si>
    <t>Workshop Fees</t>
  </si>
  <si>
    <t>Install new BHS Scoreboard</t>
  </si>
  <si>
    <t>DEPOSIT FOR 5TH GRADE FIELD TRIP</t>
  </si>
  <si>
    <t>Deposit for 4th Grade Field Trip</t>
  </si>
  <si>
    <t>Refund of entry fees - athletics</t>
  </si>
  <si>
    <t>PE SUPPLIES</t>
  </si>
  <si>
    <t>Supplies ofr Sr Celebration</t>
  </si>
  <si>
    <t>FAA Lunch for Campus Planning</t>
  </si>
  <si>
    <t>Supplies</t>
  </si>
  <si>
    <t>Water Service</t>
  </si>
  <si>
    <t>Cheer Uniforms</t>
  </si>
  <si>
    <t>BHS Science Supplies</t>
  </si>
  <si>
    <t>BHS Supplies</t>
  </si>
  <si>
    <t>Expense for Board Conference</t>
  </si>
  <si>
    <t xml:space="preserve">White and Blue Table Cloths </t>
  </si>
  <si>
    <t xml:space="preserve">Consultant </t>
  </si>
  <si>
    <t>Radio Crew for Football</t>
  </si>
  <si>
    <t>Computers</t>
  </si>
  <si>
    <t>Printer Cartridges</t>
  </si>
  <si>
    <t>Electricity</t>
  </si>
  <si>
    <t>Unemployment Compensation Annual Fees</t>
  </si>
  <si>
    <t>Safety Conference Fees</t>
  </si>
  <si>
    <t>Expenses for Board Conference</t>
  </si>
  <si>
    <t>Professional learning Software Renewal</t>
  </si>
  <si>
    <t>Curriculum Software renewal</t>
  </si>
  <si>
    <t>Entry fee for Band Contest</t>
  </si>
  <si>
    <t>Student Transportation Contract Services</t>
  </si>
  <si>
    <t>White Fleet Maintenance</t>
  </si>
  <si>
    <t>Exra Curricular Bus Charges</t>
  </si>
  <si>
    <t>Bond renewal for Police Officer</t>
  </si>
  <si>
    <t>HUDL online video program Fee</t>
  </si>
  <si>
    <t>Renewal for School Digest Magazine</t>
  </si>
  <si>
    <t>Audiology Contract Services</t>
  </si>
  <si>
    <t>RISE Office Supplies</t>
  </si>
  <si>
    <t xml:space="preserve">BHS Entry fee </t>
  </si>
  <si>
    <t>Quarterly payment for mailing equipment</t>
  </si>
  <si>
    <t>BHS Project Lead the Way Program</t>
  </si>
  <si>
    <t>Software Renewal</t>
  </si>
  <si>
    <t>Conference Registration Fee</t>
  </si>
  <si>
    <t>Election Fees</t>
  </si>
  <si>
    <t>Policy On line internet Renewal</t>
  </si>
  <si>
    <t>BHS Unmanned Safety Institute Registration Fee</t>
  </si>
  <si>
    <t>Brewer girls basketball entry fee</t>
  </si>
  <si>
    <t>BHS Honeycomb Supplies</t>
  </si>
  <si>
    <t>Shirts for MOMS MINI CAMP</t>
  </si>
  <si>
    <t xml:space="preserve">Shirts   </t>
  </si>
  <si>
    <t>Medical Supplies</t>
  </si>
  <si>
    <t>BHS Thespian Fees</t>
  </si>
  <si>
    <t>BHS Cheer pep rally supplies</t>
  </si>
  <si>
    <t>Supplies for PAW Pantry</t>
  </si>
  <si>
    <t>BHS Stuco Supplies</t>
  </si>
  <si>
    <t>GRANDPARENTS NIGHT SUPPLIES</t>
  </si>
  <si>
    <t>BHS Cheer Deposit for Disney Trip</t>
  </si>
  <si>
    <t xml:space="preserve">POLAROID CAMERA AND FILM </t>
  </si>
  <si>
    <t>Supplies for Staff</t>
  </si>
  <si>
    <t>Renewal</t>
  </si>
  <si>
    <t>Long Distance Service</t>
  </si>
  <si>
    <t>WAN Service</t>
  </si>
  <si>
    <t>Internet Service for the District</t>
  </si>
  <si>
    <t xml:space="preserve">FCLC Snacks </t>
  </si>
  <si>
    <t>Brewer cross country entry fee</t>
  </si>
  <si>
    <t>Football Radio Crew</t>
  </si>
  <si>
    <t>BHS Thespian Honor Society Fees</t>
  </si>
  <si>
    <t>WO# 13919 -  cabinets</t>
  </si>
  <si>
    <t>District Wide Contract Services</t>
  </si>
  <si>
    <t>Child Nutrition Equipment Repair</t>
  </si>
  <si>
    <t>Color guard Contract Services</t>
  </si>
  <si>
    <t>Testing Supplies</t>
  </si>
  <si>
    <t>Annual Software Subscription Fee</t>
  </si>
  <si>
    <t>Istation software Renewal</t>
  </si>
  <si>
    <t>BHS IXL math program Renewal Fee</t>
  </si>
  <si>
    <t>Hotel for Board Conference</t>
  </si>
  <si>
    <t>Contract Services for Sp Ed</t>
  </si>
  <si>
    <t xml:space="preserve">General supplies </t>
  </si>
  <si>
    <t>Brewer cross country  fee</t>
  </si>
  <si>
    <t>Paint to Mark Misc District Sites</t>
  </si>
  <si>
    <t>Purchasing COOP FEE</t>
  </si>
  <si>
    <t>Envelopes</t>
  </si>
  <si>
    <t>Code of Conduct Printing</t>
  </si>
  <si>
    <t>Accountability Banners for Schools</t>
  </si>
  <si>
    <t>Software Renewal for Operations Dept.</t>
  </si>
  <si>
    <t>Settleup on Football Gate</t>
  </si>
  <si>
    <t>Fire Alarm Repairs</t>
  </si>
  <si>
    <t>Brewer cross country entry Fee</t>
  </si>
  <si>
    <t>Band entry fee for Marching Contest</t>
  </si>
  <si>
    <t>SP Programs Contract Services</t>
  </si>
  <si>
    <t>Sysco food order for August</t>
  </si>
  <si>
    <t>Non Food Order for August</t>
  </si>
  <si>
    <t>August - Warehouse Fees</t>
  </si>
  <si>
    <t>Membership and clinic fees</t>
  </si>
  <si>
    <t>Membership Renewal Fees</t>
  </si>
  <si>
    <t>Elevator Maint Agreement</t>
  </si>
  <si>
    <t>Repair Equipment</t>
  </si>
  <si>
    <t>OUTDOOR STORAGE  CONTAINER</t>
  </si>
  <si>
    <t>Special Program Supplies</t>
  </si>
  <si>
    <t>entry fee</t>
  </si>
  <si>
    <t>Petting Zoo for Mad Scientist Night</t>
  </si>
  <si>
    <t>Marching Competition entry fee</t>
  </si>
  <si>
    <t xml:space="preserve">BHS drill team JACKETS </t>
  </si>
  <si>
    <t xml:space="preserve">BHS Class of 2019 HATS </t>
  </si>
  <si>
    <t xml:space="preserve">West - SUPPLIES </t>
  </si>
  <si>
    <t>Soft Drink Order</t>
  </si>
  <si>
    <t>Brewer boys basketball entry fee</t>
  </si>
  <si>
    <t>Science Supplies</t>
  </si>
  <si>
    <t>BHs Graduation venue deposit</t>
  </si>
  <si>
    <t>Security for 9.14.18 football game</t>
  </si>
  <si>
    <t>Marching contest entry fee</t>
  </si>
  <si>
    <t>Replacement pads</t>
  </si>
  <si>
    <t>BHS FCCLA 8 course</t>
  </si>
  <si>
    <t>Brewer girls basketball entry Fee</t>
  </si>
  <si>
    <t>Hotel for Conference</t>
  </si>
  <si>
    <t>Brewer boys basketball entry Fee</t>
  </si>
  <si>
    <t>Printing Services</t>
  </si>
  <si>
    <t>Reminder Stickers for Mad SCIENCE NIGHT</t>
  </si>
  <si>
    <t>Spanish Code of Conduct Printing</t>
  </si>
  <si>
    <t>Dues</t>
  </si>
  <si>
    <t>Trash Service</t>
  </si>
  <si>
    <t>Training Fee</t>
  </si>
  <si>
    <t>Reimb for Supplies Purchased</t>
  </si>
  <si>
    <t>Meal Money for Past District Cross Country</t>
  </si>
  <si>
    <t>Cross Country Supplies</t>
  </si>
  <si>
    <t>Meal for students helping W/ FB Scrimmage</t>
  </si>
  <si>
    <t>Custoidal Services</t>
  </si>
  <si>
    <t xml:space="preserve">Book Fair Start up Money  </t>
  </si>
  <si>
    <t>VOIDED</t>
  </si>
  <si>
    <t xml:space="preserve"> </t>
  </si>
  <si>
    <t>Copier Lease</t>
  </si>
  <si>
    <t>Meal for School Board Meeting</t>
  </si>
  <si>
    <t>TIS- REG FOR TAHPERD</t>
  </si>
  <si>
    <t>BHS working LUNCH - SPED</t>
  </si>
  <si>
    <t>Fuel for Transportation Services</t>
  </si>
  <si>
    <t>Beverages</t>
  </si>
  <si>
    <t>Year-to-Date Check Register for 2018-2019</t>
  </si>
  <si>
    <t>BHS Sr celebration 2019</t>
  </si>
  <si>
    <t>BHS Drill team Sweatshirts</t>
  </si>
  <si>
    <t>BHS Pizza for game</t>
  </si>
  <si>
    <t xml:space="preserve">BHS order for school store </t>
  </si>
  <si>
    <t xml:space="preserve">North - Parts and toner </t>
  </si>
  <si>
    <t>GABRIELLE SEALS</t>
  </si>
  <si>
    <t xml:space="preserve">Start up money for coffee house </t>
  </si>
  <si>
    <t>Cross country hotel rooms.</t>
  </si>
  <si>
    <t>KINLEY GANNINGER</t>
  </si>
  <si>
    <t>Cross country meet worker</t>
  </si>
  <si>
    <t>LAKESHORE LEARNING MATERIAL</t>
  </si>
  <si>
    <t xml:space="preserve">North- Stem supplies for kinder </t>
  </si>
  <si>
    <t>MARY POPPINS BALLOONS &amp; FLOWER</t>
  </si>
  <si>
    <t xml:space="preserve">Plant for Memorial </t>
  </si>
  <si>
    <t>TIS- PRINTER</t>
  </si>
  <si>
    <t>MIDAMERICA PRODUCTIONS</t>
  </si>
  <si>
    <t>remaining balance on New York</t>
  </si>
  <si>
    <t>North-  Magnetic name tags</t>
  </si>
  <si>
    <t>North- Toty Name Tags</t>
  </si>
  <si>
    <t>North- Fall festival Prizes</t>
  </si>
  <si>
    <t>Teach truck visit</t>
  </si>
  <si>
    <t>Replenish Petty cash</t>
  </si>
  <si>
    <t xml:space="preserve">TANNAHILL- WATER SERVICE </t>
  </si>
  <si>
    <t>ROSA'S CAFE</t>
  </si>
  <si>
    <t>West - Lunch for STAFF</t>
  </si>
  <si>
    <t>SAM'S CLUB</t>
  </si>
  <si>
    <t xml:space="preserve">KINDER BOO HOO BREAKFAST </t>
  </si>
  <si>
    <t>BHE cookies</t>
  </si>
  <si>
    <t>Teacher Snacks</t>
  </si>
  <si>
    <t>Concession Stand Supplies</t>
  </si>
  <si>
    <t>Grandparents Night Supplies</t>
  </si>
  <si>
    <t>Cake for staff mtg</t>
  </si>
  <si>
    <t>BHS items for School Store</t>
  </si>
  <si>
    <t>SKY PIRATES</t>
  </si>
  <si>
    <t>West - Bounce houses for West</t>
  </si>
  <si>
    <t>Shirts</t>
  </si>
  <si>
    <t>TEXAN GRADUATION SUPPLY</t>
  </si>
  <si>
    <t>BHS Cheer letter jackets</t>
  </si>
  <si>
    <t>WEX BANK</t>
  </si>
  <si>
    <t xml:space="preserve">Fuel for Cross Country </t>
  </si>
  <si>
    <t>North- Student and Staff Grit Shirts</t>
  </si>
  <si>
    <t>North- Staff Shirts</t>
  </si>
  <si>
    <t>Hall of Fame 2018 Awards</t>
  </si>
  <si>
    <t>Meal money for cross country</t>
  </si>
  <si>
    <t>JENKINS, MIRANDA</t>
  </si>
  <si>
    <t xml:space="preserve">CTS Community Access </t>
  </si>
  <si>
    <t>WILLIAMS, ANDREW</t>
  </si>
  <si>
    <t>Meal Money For Band Competition</t>
  </si>
  <si>
    <t>ADT</t>
  </si>
  <si>
    <t>Distric-Wide Alarm Monitoring</t>
  </si>
  <si>
    <t>WSISD LOGO Table Cloths</t>
  </si>
  <si>
    <t>A/C REPAIR IN DIR OFFICE</t>
  </si>
  <si>
    <t>A/C REPAIR IN PRIDE ROOM</t>
  </si>
  <si>
    <t>Renewal Fee</t>
  </si>
  <si>
    <t>CAROLINA BIOLOGICAL SUPPLY CO.</t>
  </si>
  <si>
    <t>CLASSROOM SUPPLIES FOR BMS</t>
  </si>
  <si>
    <t>CDW GOVERNMENT, INC.</t>
  </si>
  <si>
    <t>JAMF APPLE MOBILE DEVICE MGMT</t>
  </si>
  <si>
    <t xml:space="preserve">credit </t>
  </si>
  <si>
    <t>BHS Calculators</t>
  </si>
  <si>
    <t xml:space="preserve">BHS Printer </t>
  </si>
  <si>
    <t xml:space="preserve">Printer Cartridges </t>
  </si>
  <si>
    <t xml:space="preserve">Printer  </t>
  </si>
  <si>
    <t>Replacement Bulbs</t>
  </si>
  <si>
    <t>West - Supplies for classroom</t>
  </si>
  <si>
    <t>Printer</t>
  </si>
  <si>
    <t xml:space="preserve">BMS-EPSON PROJECTOR </t>
  </si>
  <si>
    <t>CINTAS FIRST AID AND SAFETY</t>
  </si>
  <si>
    <t xml:space="preserve">RESTOCK FIRST AID CABINET </t>
  </si>
  <si>
    <t>COACH COMM., LLC</t>
  </si>
  <si>
    <t>headset, antenna, misc.</t>
  </si>
  <si>
    <t>Headsets</t>
  </si>
  <si>
    <t xml:space="preserve">Soft drinks and water </t>
  </si>
  <si>
    <t xml:space="preserve">Desks for District Wide </t>
  </si>
  <si>
    <t xml:space="preserve">Software Renewal </t>
  </si>
  <si>
    <t>DEPARTMENT OF INFORMATION RES.</t>
  </si>
  <si>
    <t>Long Distance Telephone</t>
  </si>
  <si>
    <t>DORIAN BUSINESS SYSTEMS INC</t>
  </si>
  <si>
    <t>BHS CHARMS annual payment</t>
  </si>
  <si>
    <t>ECOLAB</t>
  </si>
  <si>
    <t>Chemicals for Child Nutrition</t>
  </si>
  <si>
    <t>2018-2109 MRPC Co-Op Fees</t>
  </si>
  <si>
    <t>FLAGHOUSE, INC.</t>
  </si>
  <si>
    <t>FRED J. MILLER, INC.</t>
  </si>
  <si>
    <t>BHS Band Supplies</t>
  </si>
  <si>
    <t>Tables</t>
  </si>
  <si>
    <t>GALL'S</t>
  </si>
  <si>
    <t xml:space="preserve">Supplies and uniforms </t>
  </si>
  <si>
    <t>GUERRERO, JESSE</t>
  </si>
  <si>
    <t>reimbuse for License</t>
  </si>
  <si>
    <t>HENDERSON JUNIOR HIGH</t>
  </si>
  <si>
    <t>BMS-QUAD COUNTY FEES FOR 2018-19</t>
  </si>
  <si>
    <t>HERBERT L. FLAKE COMPANY, LLC.</t>
  </si>
  <si>
    <t>W/O #14043- LOCKSMITH STOCK</t>
  </si>
  <si>
    <t xml:space="preserve">Bond renewal </t>
  </si>
  <si>
    <t>IMAGINE LEARNAING</t>
  </si>
  <si>
    <t>Math &amp; Language Software Program - NEW</t>
  </si>
  <si>
    <t>BHS Piano books</t>
  </si>
  <si>
    <t>Leadership Team Breakfast</t>
  </si>
  <si>
    <t xml:space="preserve">Hotel for Conference </t>
  </si>
  <si>
    <t>JUNIOR LIBRARY GUILD</t>
  </si>
  <si>
    <t xml:space="preserve">Book subscription receiving </t>
  </si>
  <si>
    <t>KURZ AND COMPANY</t>
  </si>
  <si>
    <t>August - Bread for Child Nutrition</t>
  </si>
  <si>
    <t>LANDMARK NURSERIES, INC.</t>
  </si>
  <si>
    <t>W/O #14053- TREE REPLACEMENTS</t>
  </si>
  <si>
    <t>LEARNING A-Z</t>
  </si>
  <si>
    <t>Software License Renewal</t>
  </si>
  <si>
    <t>LONE STAR COMMUNICATIONS</t>
  </si>
  <si>
    <t>SAPLING POWER SUPPLY FOR TIME</t>
  </si>
  <si>
    <t>LONE STAR LEARNING</t>
  </si>
  <si>
    <t>Teaching Supplies</t>
  </si>
  <si>
    <t>Fuel for Transportation Servces</t>
  </si>
  <si>
    <t>Office Chairs for Child NUTRITION</t>
  </si>
  <si>
    <t>North- colored copy paper</t>
  </si>
  <si>
    <t>North- office supplies</t>
  </si>
  <si>
    <t>Instruction Office Supplies</t>
  </si>
  <si>
    <t>North- Grade Level Supplies</t>
  </si>
  <si>
    <t>West - Supplies for office</t>
  </si>
  <si>
    <t>Supplies for training and PLC</t>
  </si>
  <si>
    <t>North- Laminate</t>
  </si>
  <si>
    <t xml:space="preserve">Office Supplies and Toner </t>
  </si>
  <si>
    <t>BMS-FILE FOLDERS</t>
  </si>
  <si>
    <t>STATE INSPECTION FOR BUS 224</t>
  </si>
  <si>
    <t>MCMILLAN, JAMES EQUIPMENT CO., L.P.</t>
  </si>
  <si>
    <t>W/O #13095- A/C REPAIR BHS GYM</t>
  </si>
  <si>
    <t xml:space="preserve">W/O #13882- RUN PLUMBING </t>
  </si>
  <si>
    <t xml:space="preserve">W/O #13583- REPAIR URINALS </t>
  </si>
  <si>
    <t>NCS PEARSON INC</t>
  </si>
  <si>
    <t>North- Dra k-3 folders</t>
  </si>
  <si>
    <t xml:space="preserve">BMS-NAME BADGES </t>
  </si>
  <si>
    <t>BHS Band Entry Fee</t>
  </si>
  <si>
    <t>Toll charges for Bus #509</t>
  </si>
  <si>
    <t>OAK FARMS DAIRY</t>
  </si>
  <si>
    <t>August - Milk</t>
  </si>
  <si>
    <t>6 Gallons of Elmer's Glue</t>
  </si>
  <si>
    <t xml:space="preserve">NEW DESK FOR BMS AP </t>
  </si>
  <si>
    <t>BHS Office supplies</t>
  </si>
  <si>
    <t>PITNEY BOWES PURCHASE POWER</t>
  </si>
  <si>
    <t>Postage By Phone Meter Refill</t>
  </si>
  <si>
    <t>Positive Proof lablels</t>
  </si>
  <si>
    <t>Tannahill Student Admit Order</t>
  </si>
  <si>
    <t>BHS Cheer Decals</t>
  </si>
  <si>
    <t>W/O #13575- SIGNS FOR BHS</t>
  </si>
  <si>
    <t>ROTO-ROOTER</t>
  </si>
  <si>
    <t>W/O #13666- CLEAR DRAIN</t>
  </si>
  <si>
    <t>W/O #14062- PUMP OUT LIFT</t>
  </si>
  <si>
    <t>Admin Kitchen Supplies</t>
  </si>
  <si>
    <t>Supplies for Superintendent Office</t>
  </si>
  <si>
    <t>Grandparents Day Supplies</t>
  </si>
  <si>
    <t>Supplies for kitchen</t>
  </si>
  <si>
    <t>SCHOOL DISTRICT STRATEGIES,LLC</t>
  </si>
  <si>
    <t>Demographer Quarterly Services</t>
  </si>
  <si>
    <t>Books</t>
  </si>
  <si>
    <t>SCHOOL SPECIALTY</t>
  </si>
  <si>
    <t>BHS paper and laminating film</t>
  </si>
  <si>
    <t>Supplies for Grant</t>
  </si>
  <si>
    <t>Paint</t>
  </si>
  <si>
    <t>credit</t>
  </si>
  <si>
    <t>SHI GOVERNMENT SOLUTIONS, INC</t>
  </si>
  <si>
    <t>Fortinet Software Renewal</t>
  </si>
  <si>
    <t>Supplies for Scoreboard</t>
  </si>
  <si>
    <t>SOUTHWEST NETWORKS, INC.</t>
  </si>
  <si>
    <t>BMS/TIS NETWORK CABLING</t>
  </si>
  <si>
    <t>STARFALL EDUCATION</t>
  </si>
  <si>
    <t xml:space="preserve">Membership renewal </t>
  </si>
  <si>
    <t>BHS Tarver Trophies Name -TOY</t>
  </si>
  <si>
    <t>Conference Registration</t>
  </si>
  <si>
    <t>TEXAS ASSOC. OF SECONDARY SCHOOL PRINCIPALS</t>
  </si>
  <si>
    <t>BHS UIL entry fee for band</t>
  </si>
  <si>
    <t>BHS Cheer Competition Fee</t>
  </si>
  <si>
    <t>30YD ROLL OFF  DUMP &amp; RETURN</t>
  </si>
  <si>
    <t>Trash Servcies</t>
  </si>
  <si>
    <t>Hardware Data Backup Solution</t>
  </si>
  <si>
    <t>WESTAIR GASES AND EQUIPMENT, INC.</t>
  </si>
  <si>
    <t>BHS Ag Equipment</t>
  </si>
  <si>
    <t>WESTERN PAPER COMPANY, INC</t>
  </si>
  <si>
    <t>TANNAHILL- COPIER PAPER</t>
  </si>
  <si>
    <t>BMS-HOUSE SHIRTS</t>
  </si>
  <si>
    <t xml:space="preserve">Custodial Services </t>
  </si>
  <si>
    <t>Extra Custodial Services</t>
  </si>
  <si>
    <t>WEST SIDE CAFE</t>
  </si>
  <si>
    <t>Board Breakfast West Side</t>
  </si>
  <si>
    <t>TOP USA</t>
  </si>
  <si>
    <t>TOP Mouse Pad 2019 - for Admin</t>
  </si>
  <si>
    <t xml:space="preserve">2018 CAST Conference </t>
  </si>
  <si>
    <t>Codes for finger printing</t>
  </si>
  <si>
    <t>JOE'S PASTA &amp; PIZZA</t>
  </si>
  <si>
    <t xml:space="preserve">Working Lunch for Principals </t>
  </si>
  <si>
    <t>Business Working Lunch</t>
  </si>
  <si>
    <t>GINGER BROWN'S OLD TIME RESTAURANT &amp; BAKERY</t>
  </si>
  <si>
    <t>Business Breakfast Meeting</t>
  </si>
  <si>
    <t>Shirts for Senior Celebration</t>
  </si>
  <si>
    <t>EAI EDUCATION</t>
  </si>
  <si>
    <t xml:space="preserve">TIS CHARGING STATION </t>
  </si>
  <si>
    <t>HD SUPPLY FACILITIES MAINTENANCE, LTD</t>
  </si>
  <si>
    <t>Parking tags</t>
  </si>
  <si>
    <t xml:space="preserve">Traffic cones </t>
  </si>
  <si>
    <t>West - Spelling Bee Supplies &amp; Fee</t>
  </si>
  <si>
    <t>SUPERIOR TROPHIES</t>
  </si>
  <si>
    <t>BHS FFA Shirts</t>
  </si>
  <si>
    <t>TOTE UNLIMITED</t>
  </si>
  <si>
    <t>BHS School store supplies</t>
  </si>
  <si>
    <t>WATCH D.O.G.S.</t>
  </si>
  <si>
    <t>WATCHDOG PROGRAM</t>
  </si>
  <si>
    <t>RUSSELL FEED &amp; SUPPLY</t>
  </si>
  <si>
    <t>1611 SPORTS</t>
  </si>
  <si>
    <t xml:space="preserve">Boys Soccer Clothing </t>
  </si>
  <si>
    <t>ACCELERATE LEARNING INC</t>
  </si>
  <si>
    <t>4TH GRADE LASATER</t>
  </si>
  <si>
    <t>Reimbursement for parking</t>
  </si>
  <si>
    <t xml:space="preserve">RE-SET WINDOW IN ROOM #320 </t>
  </si>
  <si>
    <t>PURCHASE IPADS FOR - TICKET ROAR</t>
  </si>
  <si>
    <t>BETSY ROSS FLAG GIRL INC</t>
  </si>
  <si>
    <t xml:space="preserve">W/O #13620- FOR FLAG POLE </t>
  </si>
  <si>
    <t>BITTERS, DAVID</t>
  </si>
  <si>
    <t>Reimburse Confernce Expenses</t>
  </si>
  <si>
    <t>BLUE HAZE ELEMENTARY</t>
  </si>
  <si>
    <t>Met attendance goal for Sept</t>
  </si>
  <si>
    <t xml:space="preserve">Teacher attendance award </t>
  </si>
  <si>
    <t>BRACKETT &amp; ELLIS, P.C.</t>
  </si>
  <si>
    <t xml:space="preserve">LEGAL SERVICES </t>
  </si>
  <si>
    <t>BREWER HIGH SCHOOL</t>
  </si>
  <si>
    <t>BREWER MIDDLE SCHOOL</t>
  </si>
  <si>
    <t xml:space="preserve">Teacher Attendance Award </t>
  </si>
  <si>
    <t>Calculators</t>
  </si>
  <si>
    <t>Scan Badge Cards</t>
  </si>
  <si>
    <t xml:space="preserve">REPLACE BROKEN HAND DRYERS </t>
  </si>
  <si>
    <t>Hot Dogs for Mad Scientist</t>
  </si>
  <si>
    <t>Food For Back to School Rally</t>
  </si>
  <si>
    <t>Blue table cloths-dry Cleaning</t>
  </si>
  <si>
    <t>COLORADO BOXED BEEF CO.</t>
  </si>
  <si>
    <t>August - Commodities</t>
  </si>
  <si>
    <t>COURTNEY STRYBOSCH</t>
  </si>
  <si>
    <t>Reimbursement for ESL Test</t>
  </si>
  <si>
    <t>West - Supplies for ESL</t>
  </si>
  <si>
    <t>DEMCO, INC.</t>
  </si>
  <si>
    <t>Library Books</t>
  </si>
  <si>
    <t>Art Teaching Supplies</t>
  </si>
  <si>
    <t>North- Art Room Supplies</t>
  </si>
  <si>
    <t>DRAMATISTS PLAY SERVICE INC</t>
  </si>
  <si>
    <t>BHS Playscripts for Kentucky CYCLE</t>
  </si>
  <si>
    <t>EDGENUITY, INC</t>
  </si>
  <si>
    <t>ENTERPRISE RENT-A-CAR EAN HOLDINGS LLC</t>
  </si>
  <si>
    <t>Vehicle for Confernce</t>
  </si>
  <si>
    <t>REGISTRATION FEE FOR TRAINING</t>
  </si>
  <si>
    <t>FINE ARTS ACADEMY</t>
  </si>
  <si>
    <t>Best Attendance for Sept 2018</t>
  </si>
  <si>
    <t>White Settlement PD for SECURITY</t>
  </si>
  <si>
    <t>GRAINGER</t>
  </si>
  <si>
    <t xml:space="preserve">W/O #13961- AC REPAIR </t>
  </si>
  <si>
    <t>GRIFFIN ANDREW GANNINGER</t>
  </si>
  <si>
    <t xml:space="preserve">3rd floor pressbox worker </t>
  </si>
  <si>
    <t>Steamer &amp; Filtration for Child Nutrition</t>
  </si>
  <si>
    <t>HOME TEAM MARKETING LLC</t>
  </si>
  <si>
    <t>Ticket Roar Program for Athletic Ticket Sales</t>
  </si>
  <si>
    <t>Online Testing Supplies</t>
  </si>
  <si>
    <t>JESSICA PUPALAIKIS</t>
  </si>
  <si>
    <t xml:space="preserve">ESL Testing Reimbursement </t>
  </si>
  <si>
    <t>BHS Contract service for Cheer</t>
  </si>
  <si>
    <t>KRISTEN WALTERBACH</t>
  </si>
  <si>
    <t>LEARNING FORWARD</t>
  </si>
  <si>
    <t>LIBERTY ELEMENTARY</t>
  </si>
  <si>
    <t>LOWE'S COMPANIES INC.</t>
  </si>
  <si>
    <t>Desk Chair for Office</t>
  </si>
  <si>
    <t xml:space="preserve">Athletic office supplies </t>
  </si>
  <si>
    <t>Teacher Supplies</t>
  </si>
  <si>
    <t>MENTORING MINDS</t>
  </si>
  <si>
    <t>North-Staar Books</t>
  </si>
  <si>
    <t>NORTH ELEMENTARY</t>
  </si>
  <si>
    <t>September - Milk</t>
  </si>
  <si>
    <t>REGION 4 EDUCATION SERVICE CENTER</t>
  </si>
  <si>
    <t xml:space="preserve">BMS-TEKS CHARTS FOR SOCIAL STUDIES </t>
  </si>
  <si>
    <t>SCHICHTEL, KENDRA</t>
  </si>
  <si>
    <t>Reimburse Travel Expenses</t>
  </si>
  <si>
    <t>Scripps National Spelling Bee</t>
  </si>
  <si>
    <t>SHAWN ALLEN ELLIOTT</t>
  </si>
  <si>
    <t>W/O #14207- REPAIR FIRE ALARM</t>
  </si>
  <si>
    <t>Registration Fee for Solution TREE</t>
  </si>
  <si>
    <t>W/O #13774- DEODORIZING SERVICE</t>
  </si>
  <si>
    <t>September - Food</t>
  </si>
  <si>
    <t>September - Non-Food</t>
  </si>
  <si>
    <t>September - Warehouse</t>
  </si>
  <si>
    <t>TANNAHILL INTERMEDIATE SCHOOL</t>
  </si>
  <si>
    <t>North- TEPSA Membership</t>
  </si>
  <si>
    <t>West - CONFERENCE REGISTRATION</t>
  </si>
  <si>
    <t xml:space="preserve">WO# 13893 - Cut tilt wall </t>
  </si>
  <si>
    <t>TEXAS SCOTTISH RITE HOSPITAL FOR CHILDREN</t>
  </si>
  <si>
    <t xml:space="preserve">REGISTRATION </t>
  </si>
  <si>
    <t>REGISTRATION</t>
  </si>
  <si>
    <t>THE TENNIS SHOP</t>
  </si>
  <si>
    <t>W/O #13878- REPLACE TENNIS NETS</t>
  </si>
  <si>
    <t>Wireless Services</t>
  </si>
  <si>
    <t xml:space="preserve">PETTY CASH REIMBURSEMENT </t>
  </si>
  <si>
    <t>PROFESSIONAL SVCS &amp; SUPPORT</t>
  </si>
  <si>
    <t>WEST ELEMENTARY SCHOOL</t>
  </si>
  <si>
    <t>Fuel for Conference Attendance</t>
  </si>
  <si>
    <t>North- supplies and decor new</t>
  </si>
  <si>
    <t>ALDRIEDGE, EMILY</t>
  </si>
  <si>
    <t>BASS, JANET</t>
  </si>
  <si>
    <t>BROWN, AMY</t>
  </si>
  <si>
    <t>DEGNAN, LISA</t>
  </si>
  <si>
    <t>DUKE, KEITH</t>
  </si>
  <si>
    <t>JENKINS, CHRISTOPHER</t>
  </si>
  <si>
    <t>KOKE, CATHY</t>
  </si>
  <si>
    <t>LAPLANTE, CHELSEA</t>
  </si>
  <si>
    <t>LAYTON, JENNIFER</t>
  </si>
  <si>
    <t>LOVE, TERESSA</t>
  </si>
  <si>
    <t>MARTIN, MEGHAN</t>
  </si>
  <si>
    <t>MCCLELLEN, CAITLYN</t>
  </si>
  <si>
    <t>MORRILL, SHELLY</t>
  </si>
  <si>
    <t>NORED, CARLA</t>
  </si>
  <si>
    <t>WRIGHT, RONDA</t>
  </si>
  <si>
    <t>YORK, NANCY</t>
  </si>
  <si>
    <t>Corporate Toll Tag Account</t>
  </si>
  <si>
    <t>FORT WORTH CHAPTER TSCPA</t>
  </si>
  <si>
    <t>Registration Fee for Workshop</t>
  </si>
  <si>
    <t>TXDMV</t>
  </si>
  <si>
    <t>Vehicle Registration Renewal</t>
  </si>
  <si>
    <t>Working lunch for principals</t>
  </si>
  <si>
    <t>TOWELHUB</t>
  </si>
  <si>
    <t>Towels for Athletics</t>
  </si>
  <si>
    <t>MCALISTER'S CATERING</t>
  </si>
  <si>
    <t>Meal of Quarterly Meeting with Principals</t>
  </si>
  <si>
    <t>SALLY BEAUTY</t>
  </si>
  <si>
    <t xml:space="preserve">Supplies for Mad Scientist Night </t>
  </si>
  <si>
    <t>DOLLAR TREE STORES INC</t>
  </si>
  <si>
    <t>Supplies for Mad Scientist night</t>
  </si>
  <si>
    <t>ACADEMY SPORTS &amp; OUTDOORS</t>
  </si>
  <si>
    <t>Canopy for Mad Scientist Night</t>
  </si>
  <si>
    <t>SPREAKER INC</t>
  </si>
  <si>
    <t>Renwal of Program for Technology</t>
  </si>
  <si>
    <t>CHILI'S</t>
  </si>
  <si>
    <t>Business lunch with Board</t>
  </si>
  <si>
    <t>COOPER'S BBQ</t>
  </si>
  <si>
    <t>Dinner Agenda Meeting with Board</t>
  </si>
  <si>
    <t>BILLY OAKS ACRES BBQ</t>
  </si>
  <si>
    <t>BHS Meals for UIL band</t>
  </si>
  <si>
    <t>BHS Cheer supplies for pep Rally</t>
  </si>
  <si>
    <t xml:space="preserve">Supplies for architecture </t>
  </si>
  <si>
    <t xml:space="preserve">W/O #13599- A/C REPAIR </t>
  </si>
  <si>
    <t>FOR MAD SCIENTIST NIGHT @ BMS</t>
  </si>
  <si>
    <t xml:space="preserve">Supplies for Architecture </t>
  </si>
  <si>
    <t>Supplies to expand a quality ARCITECTURE PROGRAM</t>
  </si>
  <si>
    <t>W/O #14043- TOOLS NEEDED FOR LOCKSMITH</t>
  </si>
  <si>
    <t>W/O #12586- A/C REPAIR</t>
  </si>
  <si>
    <t>BREWER BASEBALL BOOSTER CLUB</t>
  </si>
  <si>
    <t>Scoreboard Ad- Premier</t>
  </si>
  <si>
    <t>WATCHD.O.G.'S DINNER</t>
  </si>
  <si>
    <t>BHS Band Pizza</t>
  </si>
  <si>
    <t>Pizza for Watch Dogs</t>
  </si>
  <si>
    <t>North- Paper for ART</t>
  </si>
  <si>
    <t>Field Trip Payment</t>
  </si>
  <si>
    <t>Athletic Worker</t>
  </si>
  <si>
    <t xml:space="preserve">BHS  THEATRE SUPPLIES </t>
  </si>
  <si>
    <t xml:space="preserve">BHS Theater SUPPLIES </t>
  </si>
  <si>
    <t>JADYN LEWIS</t>
  </si>
  <si>
    <t>Refund for Honeycombs Fees</t>
  </si>
  <si>
    <t>KELLY MCDOWELL</t>
  </si>
  <si>
    <t>Football camp refund</t>
  </si>
  <si>
    <t>KIDS WHO CARE INC</t>
  </si>
  <si>
    <t>BHS Theatre tickets for field Trip</t>
  </si>
  <si>
    <t>MARKWARDT MEDIA GROUP</t>
  </si>
  <si>
    <t>BHS DJ for Homecoming dance</t>
  </si>
  <si>
    <t>3rd Grade Supplies</t>
  </si>
  <si>
    <t>BHS STUCO homecoming supplies</t>
  </si>
  <si>
    <t xml:space="preserve">Replenish petty cash </t>
  </si>
  <si>
    <t>Liberty Replenish Petty Cash</t>
  </si>
  <si>
    <t>PIG OUT GROUP</t>
  </si>
  <si>
    <t>BHS CBI field trip</t>
  </si>
  <si>
    <t>Student Parking Permits</t>
  </si>
  <si>
    <t>BHS- SCARBOROUGH SPECS FOR BAND</t>
  </si>
  <si>
    <t>Trophies and medals for BMS</t>
  </si>
  <si>
    <t>TWIN TRAVEL CONCEPTS</t>
  </si>
  <si>
    <t>BHS NY Choir Trip Broadway</t>
  </si>
  <si>
    <t>Cross Country shirts</t>
  </si>
  <si>
    <t>Supplies for Mad Scientist Night</t>
  </si>
  <si>
    <t>SPECIAL PROGRAMS (PRIDE):</t>
  </si>
  <si>
    <t>North- Meals for STEAM Training</t>
  </si>
  <si>
    <t>BHS Remainder of meal cost</t>
  </si>
  <si>
    <t>ANDREW WILLIAMS</t>
  </si>
  <si>
    <t>BHS Band meal money for UIL</t>
  </si>
  <si>
    <t>A &amp; B LAWN &amp; GARDEN</t>
  </si>
  <si>
    <t>MOSQUITO CONTROL SUPPLIES</t>
  </si>
  <si>
    <t>AMY GANNINGER</t>
  </si>
  <si>
    <t>Student Meal money for Cross Country</t>
  </si>
  <si>
    <t>Batteries for ICOM radios</t>
  </si>
  <si>
    <t>Repairs</t>
  </si>
  <si>
    <t>7-5a District Fees for 2018-19</t>
  </si>
  <si>
    <t xml:space="preserve">LEGAL FEES </t>
  </si>
  <si>
    <t>BRANDON ELLIOTT</t>
  </si>
  <si>
    <t>Fill in clothes and shoes for FB</t>
  </si>
  <si>
    <t>Athletic Clothing</t>
  </si>
  <si>
    <t>BWI - DALLAS/FORT WORTH</t>
  </si>
  <si>
    <t>FOR OVER SEEDING</t>
  </si>
  <si>
    <t>BMS TEACHING SUPPLIES FOR ART</t>
  </si>
  <si>
    <t>DRUG FREE SPORT</t>
  </si>
  <si>
    <t>2018-2019 Program Fee</t>
  </si>
  <si>
    <t>FORT WORTH ZOO</t>
  </si>
  <si>
    <t>Field Trip for Third Grade</t>
  </si>
  <si>
    <t>PE supplies</t>
  </si>
  <si>
    <t>GRIDIRON TECHNOLOGIES</t>
  </si>
  <si>
    <t>Shoulder Pads for Football</t>
  </si>
  <si>
    <t>BHS English luncheon</t>
  </si>
  <si>
    <t>HOTEL EXPENSES FOR TASA/TASB</t>
  </si>
  <si>
    <t>TANNAHILL- LIBRARY BOOKS</t>
  </si>
  <si>
    <t>Sp Program Contract Services</t>
  </si>
  <si>
    <t>Contract Services</t>
  </si>
  <si>
    <t>Flowers from the School Board</t>
  </si>
  <si>
    <t>OFFICE SUPPLIES FOR OPERATIONS</t>
  </si>
  <si>
    <t xml:space="preserve">CREDIT </t>
  </si>
  <si>
    <t>Copy Paper for Admin</t>
  </si>
  <si>
    <t xml:space="preserve">W/O #13855- A/C REPAIR </t>
  </si>
  <si>
    <t>MECA SPORTSWEAR</t>
  </si>
  <si>
    <t>BHS Band letter jackets</t>
  </si>
  <si>
    <t>W/O #14197- GEO-SYSTEM WATER</t>
  </si>
  <si>
    <t>NIVER WESTERN WEAR, INC</t>
  </si>
  <si>
    <t>Shirts for CN Employees</t>
  </si>
  <si>
    <t>Toll for CTE Trip</t>
  </si>
  <si>
    <t>Toll fee for travel to Dallas</t>
  </si>
  <si>
    <t>O'REILLY AUTO PARTS</t>
  </si>
  <si>
    <t xml:space="preserve">REPLACEMENT BATTERIES </t>
  </si>
  <si>
    <t>Classroom Supplies</t>
  </si>
  <si>
    <t>Tokens for PBIS students</t>
  </si>
  <si>
    <t>PADILLA POL LLC</t>
  </si>
  <si>
    <t xml:space="preserve">Subscription Renewal </t>
  </si>
  <si>
    <t xml:space="preserve">Field trip balance-   4TH GRADE </t>
  </si>
  <si>
    <t>BHS Life skills trip</t>
  </si>
  <si>
    <t>Intercept Enterprise Annual</t>
  </si>
  <si>
    <t>Coffee Service</t>
  </si>
  <si>
    <t>October - Produce for Child Nutrition</t>
  </si>
  <si>
    <t>RAMTECH BUILDING SYSTEMS, INC</t>
  </si>
  <si>
    <t>Portable Building at BMS</t>
  </si>
  <si>
    <t>Water for the PLC building</t>
  </si>
  <si>
    <t>Drinking water for Student Services Dept</t>
  </si>
  <si>
    <t>RENAISSANCE LEARNING, INC.</t>
  </si>
  <si>
    <t>T-TESS 1648- T_TESS CUBE</t>
  </si>
  <si>
    <t>BMS Nurse office passes</t>
  </si>
  <si>
    <t>SARAH BONSNESS</t>
  </si>
  <si>
    <t>Reimbursement for ESL Testing</t>
  </si>
  <si>
    <t>SARAH VANSANT</t>
  </si>
  <si>
    <t>books</t>
  </si>
  <si>
    <t>Conference Registrations</t>
  </si>
  <si>
    <t>CONTRACTED SERVICES - PT</t>
  </si>
  <si>
    <t>THOMAS TUTT</t>
  </si>
  <si>
    <t>TX HIGH SCHOOL COACHES ASSOC</t>
  </si>
  <si>
    <t xml:space="preserve">Membership  Dues </t>
  </si>
  <si>
    <t>WALLER HIGH SCHOOL</t>
  </si>
  <si>
    <t>Soccer Entry Fee</t>
  </si>
  <si>
    <t>BHS Westair supplies for AG</t>
  </si>
  <si>
    <t>Copier Leases</t>
  </si>
  <si>
    <t>BENWARE, LINDA</t>
  </si>
  <si>
    <t>BLASSINGAME, SHELLY</t>
  </si>
  <si>
    <t>BOWEN, ROGER</t>
  </si>
  <si>
    <t>BURNETT, DEBRA</t>
  </si>
  <si>
    <t>FURROW, DORA</t>
  </si>
  <si>
    <t>HANNAH, MARIA</t>
  </si>
  <si>
    <t>JAMES, DEBRA</t>
  </si>
  <si>
    <t>NORVILLE, REGENIA</t>
  </si>
  <si>
    <t>RODRIGUEZ, AMY</t>
  </si>
  <si>
    <t>Reimb for  Certification Level 2</t>
  </si>
  <si>
    <t>RODRIGUEZ, NANCY</t>
  </si>
  <si>
    <t>SELF, CONNIE</t>
  </si>
  <si>
    <t>WILCOX, LARENCE</t>
  </si>
  <si>
    <t>Reimburse for Travel Expenses</t>
  </si>
  <si>
    <t>WILLIAMS, JEREMY</t>
  </si>
  <si>
    <t>Reimb for  Certification Level 1</t>
  </si>
  <si>
    <t>WORKS, HANNAH</t>
  </si>
  <si>
    <t>Buses for Band Marching Contest</t>
  </si>
  <si>
    <t>North- Kinder STEM Supplies</t>
  </si>
  <si>
    <t>North- positive quotes for TREE</t>
  </si>
  <si>
    <t>BHS Class of 2019 Homecoming Supplies</t>
  </si>
  <si>
    <t>North- 2nd grade class Supplies</t>
  </si>
  <si>
    <t>AREA V FFA ASSOCIATION</t>
  </si>
  <si>
    <t>Membership Dues</t>
  </si>
  <si>
    <t>Area Dues</t>
  </si>
  <si>
    <t>BLUE MOOSE TEES</t>
  </si>
  <si>
    <t>BMS-T-SHIRTS FOR CHOIR</t>
  </si>
  <si>
    <t>Lunches for the district CC Meet</t>
  </si>
  <si>
    <t>BHS Cici's pizza for yearbook meeting</t>
  </si>
  <si>
    <t>BMS-DRINKS</t>
  </si>
  <si>
    <t>CONNIE BITTERS</t>
  </si>
  <si>
    <t>North- Deposit for Banquet</t>
  </si>
  <si>
    <t>COUNTRY MEATS</t>
  </si>
  <si>
    <t>DALLAS MAVERICKS</t>
  </si>
  <si>
    <t>Brewer HS HOSA Field trip</t>
  </si>
  <si>
    <t>DUKE'S DONUTS</t>
  </si>
  <si>
    <t>BMS-DONUTS FOR Perfect Attendance</t>
  </si>
  <si>
    <t>GANDY INK</t>
  </si>
  <si>
    <t>FCLC T-Shirts</t>
  </si>
  <si>
    <t>FAA T-SHIRT REORDER</t>
  </si>
  <si>
    <t xml:space="preserve"> BHS Senior celebration 2022 Shirts</t>
  </si>
  <si>
    <t>North- Makerspace supplies</t>
  </si>
  <si>
    <t>LH CONNECTED</t>
  </si>
  <si>
    <t>Software for running club</t>
  </si>
  <si>
    <t>MERCH HAUS, LLC</t>
  </si>
  <si>
    <t>BMS FACULTY SHIRTS</t>
  </si>
  <si>
    <t>NAHS</t>
  </si>
  <si>
    <t xml:space="preserve">Field Trip Balance  </t>
  </si>
  <si>
    <t>Start Up money for Fall Book fair</t>
  </si>
  <si>
    <t>reimburse petty cash</t>
  </si>
  <si>
    <t>replacement petty cash</t>
  </si>
  <si>
    <t>PRIDE OF TEXAS MUSICAL FESTIVAL</t>
  </si>
  <si>
    <t>TIS-REGISTRATION BAND</t>
  </si>
  <si>
    <t>REALLY GOOD STUFF</t>
  </si>
  <si>
    <t xml:space="preserve">North- test tubes and bottles </t>
  </si>
  <si>
    <t>SCHOOL OUTFITTERS</t>
  </si>
  <si>
    <t>North- toolset for makerspace</t>
  </si>
  <si>
    <t>North- Stem supplies, Grade 2</t>
  </si>
  <si>
    <t>bottled water</t>
  </si>
  <si>
    <t>TEXAS FFA ASSOCIATION</t>
  </si>
  <si>
    <t>2018-2019 Fall Membership</t>
  </si>
  <si>
    <t xml:space="preserve"> BHS Band Supplies</t>
  </si>
  <si>
    <t>BHS Coffee House</t>
  </si>
  <si>
    <t>TIS-  GAMES FOR GRIT HOUSE</t>
  </si>
  <si>
    <t>BHS Items for pep rally</t>
  </si>
  <si>
    <t>Paw Pantry Food</t>
  </si>
  <si>
    <t>Kinder Supplies</t>
  </si>
  <si>
    <t>Staff Lunch Supplies</t>
  </si>
  <si>
    <t>Custodial Supplies</t>
  </si>
  <si>
    <t>North- family reading night Supplies</t>
  </si>
  <si>
    <t>TANNAHILL-  CRAFT items</t>
  </si>
  <si>
    <t>1st Grade Supplies</t>
  </si>
  <si>
    <t>Popsicles for No Tardy Party</t>
  </si>
  <si>
    <t>WALSWORTH PUBLISHING COMPANY</t>
  </si>
  <si>
    <t>Yearbook 2018 payment</t>
  </si>
  <si>
    <t>WATCH DOG shirts</t>
  </si>
  <si>
    <t>BHS  Pals t-shirts</t>
  </si>
  <si>
    <t>Remainder Cross Country Meet</t>
  </si>
  <si>
    <t>WILLIAM GLOVER</t>
  </si>
  <si>
    <t>BHS Cheer Popcorn Fundraiser</t>
  </si>
  <si>
    <t>W/O #13845- PARTS &amp; MATERIALS</t>
  </si>
  <si>
    <t>REPAIR TORO 1200-A WALK</t>
  </si>
  <si>
    <t>ACE MART RESTAURANT SUPPLY</t>
  </si>
  <si>
    <t>Ice Machine for Athletics</t>
  </si>
  <si>
    <t xml:space="preserve">FOR BHS &amp;  WEST SYSTEM REPAIRS </t>
  </si>
  <si>
    <t>DISTRICT- WIDE ALARM</t>
  </si>
  <si>
    <t>AHA! PROCESS, INCORPORATED</t>
  </si>
  <si>
    <t>GT Testing Teacher Materials</t>
  </si>
  <si>
    <t xml:space="preserve">REPLACING SMALL EMPTY BOTTLES </t>
  </si>
  <si>
    <t xml:space="preserve">W/O #14412- HEATER REPAIR </t>
  </si>
  <si>
    <t>W/O #14127- REPLACE GLASS</t>
  </si>
  <si>
    <t>Long District Service</t>
  </si>
  <si>
    <t xml:space="preserve">BMS-BACK UP BATTERIES </t>
  </si>
  <si>
    <t>CTE Supplies</t>
  </si>
  <si>
    <t>Rain Gear for AV Equip</t>
  </si>
  <si>
    <t>BALLARD &amp; TIGHE, PUBLISHERS</t>
  </si>
  <si>
    <t>ESL/Dual Language Student Testing Supplies</t>
  </si>
  <si>
    <t>Cleaning Stadium after Football Games</t>
  </si>
  <si>
    <t>BREWER TRACK/CROSS COUNTRY BOOSTER CLUB</t>
  </si>
  <si>
    <t>CARRIER ENTERPRISE, LLC</t>
  </si>
  <si>
    <t>W/O #13187- A/C REPAIR</t>
  </si>
  <si>
    <t>W/O #14252- A/C REPAIR</t>
  </si>
  <si>
    <t>Printer for Nurse</t>
  </si>
  <si>
    <t>North-Headphones</t>
  </si>
  <si>
    <t xml:space="preserve">BMS-NEW PRINTER </t>
  </si>
  <si>
    <t xml:space="preserve">TANNAHILL  DOCUMENT CAMERAS </t>
  </si>
  <si>
    <t>Badge Printer Cleaning Kit</t>
  </si>
  <si>
    <t xml:space="preserve">TANNAHILL-  PRINTER </t>
  </si>
  <si>
    <t>North- Epson Powerlite</t>
  </si>
  <si>
    <t>W/O #13882- INSTALLING ELECTRICAL</t>
  </si>
  <si>
    <t>lunchLUNCHEON</t>
  </si>
  <si>
    <t>CHISOLM TRAIL HIGH SCHOOL</t>
  </si>
  <si>
    <t xml:space="preserve">Girls Soccer- Entry Fee </t>
  </si>
  <si>
    <t>Pizza for KG</t>
  </si>
  <si>
    <t>Annual electrical safety TESTING</t>
  </si>
  <si>
    <t>Hamper and bag for Athletic Trainer</t>
  </si>
  <si>
    <t>DAEP</t>
  </si>
  <si>
    <t>Met Teacher attendance goal</t>
  </si>
  <si>
    <t>Desktop Computer for Athletic</t>
  </si>
  <si>
    <t>BHS Technology for AP's</t>
  </si>
  <si>
    <t>DIGITAL PRESS PRINTING</t>
  </si>
  <si>
    <t>Business Card for AP</t>
  </si>
  <si>
    <t>Direct Energy charge for 001</t>
  </si>
  <si>
    <t>DISCOUNT SCHOOL SUPPLY</t>
  </si>
  <si>
    <t>Items for Pre K teachers</t>
  </si>
  <si>
    <t>W/O #13974- LEAK REPAIR - BHS</t>
  </si>
  <si>
    <t>Thermolabels for cafeterias</t>
  </si>
  <si>
    <t>Region XI RETN</t>
  </si>
  <si>
    <t>TEKS Resource for District</t>
  </si>
  <si>
    <t>ESC REGION 10</t>
  </si>
  <si>
    <t>Seal of Biliteracy Presentation</t>
  </si>
  <si>
    <t>Pants for Security guards</t>
  </si>
  <si>
    <t>Transportation Services</t>
  </si>
  <si>
    <t>Bus Use</t>
  </si>
  <si>
    <t>BHS PE Supplies</t>
  </si>
  <si>
    <t xml:space="preserve">W/O #14379- A/C REPAIR </t>
  </si>
  <si>
    <t>Service Call - Liberty Dishwasher</t>
  </si>
  <si>
    <t>Service Call - West Dish</t>
  </si>
  <si>
    <t xml:space="preserve">ESL/Dual Language Student Testing </t>
  </si>
  <si>
    <t>IDEAL FIRE &amp; SECURITY</t>
  </si>
  <si>
    <t xml:space="preserve">W/O #14246- EMERGENCY REPAIR </t>
  </si>
  <si>
    <t>Band Supplies</t>
  </si>
  <si>
    <t>Ice Services for Athletics</t>
  </si>
  <si>
    <t>JIMMY JOHN'S GOURMENT SANDWICHES</t>
  </si>
  <si>
    <t>Food for Press Box</t>
  </si>
  <si>
    <t>JOSHUA FERGUSON</t>
  </si>
  <si>
    <t>Airfare &amp; Lodging for BHS Conference</t>
  </si>
  <si>
    <t>Hotel for Conferences</t>
  </si>
  <si>
    <t>KRISTIN BUNDY</t>
  </si>
  <si>
    <t>October - Bread</t>
  </si>
  <si>
    <t>LAKE COUNTRY CHRISTIAN SCHOOL</t>
  </si>
  <si>
    <t>LAKESHORE LEARNING MATERIALS</t>
  </si>
  <si>
    <t>REPAIR PARTS FOR RESTROOMS</t>
  </si>
  <si>
    <t>RESTOCK PLUMBING ITEMS</t>
  </si>
  <si>
    <t>BHS General office supplies</t>
  </si>
  <si>
    <t>Headphones</t>
  </si>
  <si>
    <t>Boxes for Records</t>
  </si>
  <si>
    <t>Supplies for Front Desk</t>
  </si>
  <si>
    <t>Supplies for Superintendent</t>
  </si>
  <si>
    <t>office supplies for nurse</t>
  </si>
  <si>
    <t>W/O #13855- A/C REPAIR</t>
  </si>
  <si>
    <t>MUSEUM OF SCIENCE</t>
  </si>
  <si>
    <t>Instructional Material for Stem Project</t>
  </si>
  <si>
    <t>Tesing Supplies</t>
  </si>
  <si>
    <t>Athletics toll tag fee's</t>
  </si>
  <si>
    <t>Toll Fees</t>
  </si>
  <si>
    <t>ESL/Dual Language Supplies</t>
  </si>
  <si>
    <t xml:space="preserve">BMS-TEACHING SUPPLIES </t>
  </si>
  <si>
    <t>BMS-FOLDERS FOR HISTORY DEPT.</t>
  </si>
  <si>
    <t>Sp Program Office Supplies</t>
  </si>
  <si>
    <t>Items for Pre K instruction:</t>
  </si>
  <si>
    <t>PENSKE TRUCK LEASING CO., L.P.</t>
  </si>
  <si>
    <t>TRUCK RENTAL FOR BAND</t>
  </si>
  <si>
    <t>mowing</t>
  </si>
  <si>
    <t>AUGUST COFFEE SERVICE FOR BMS</t>
  </si>
  <si>
    <t xml:space="preserve">OCTOBER COFFEE SERVICE </t>
  </si>
  <si>
    <t>Printing</t>
  </si>
  <si>
    <t>West Elementary Report Card Printing</t>
  </si>
  <si>
    <t>Signs for Emplopee/teacher</t>
  </si>
  <si>
    <t>Magnetic Letters for Portable</t>
  </si>
  <si>
    <t xml:space="preserve">Sign  </t>
  </si>
  <si>
    <t xml:space="preserve">Laminating Film  </t>
  </si>
  <si>
    <t>BHS art supplies</t>
  </si>
  <si>
    <t>Cum Folders</t>
  </si>
  <si>
    <t>TANNAHILL-  CUMULATIVE FILES</t>
  </si>
  <si>
    <t>office supplies</t>
  </si>
  <si>
    <t>SHELLY BLASSINGAME</t>
  </si>
  <si>
    <t xml:space="preserve">PETTY CASH REIMB- business office </t>
  </si>
  <si>
    <t xml:space="preserve">Paint  </t>
  </si>
  <si>
    <t>Panasonic P2 Memory Card</t>
  </si>
  <si>
    <t>W/O #13857- REPLACE LIGHTS</t>
  </si>
  <si>
    <t>W/O #14462- REPLACE ALL Bad lamps</t>
  </si>
  <si>
    <t>W/O #13882- INSTALL ELECTRICAL</t>
  </si>
  <si>
    <t>North- RTI conf Nov 28-30</t>
  </si>
  <si>
    <t>SOUND PRODUCTIONS</t>
  </si>
  <si>
    <t>Wall Mount Rack, Mixer,Power</t>
  </si>
  <si>
    <t>TASPA</t>
  </si>
  <si>
    <t>Annual Membership Fee</t>
  </si>
  <si>
    <t>TCEA</t>
  </si>
  <si>
    <t>TEXAS GIRLS COACHES ASSOCIATION</t>
  </si>
  <si>
    <t>Girls Volleyball-Membership</t>
  </si>
  <si>
    <t xml:space="preserve">W/O #14208-  (2) ADA RAMPS </t>
  </si>
  <si>
    <t>West - Workshop for Dyslexia</t>
  </si>
  <si>
    <t>West - Conference for teacher</t>
  </si>
  <si>
    <t>THE BANDWAGON MUSIC STORE &amp; REPAIR</t>
  </si>
  <si>
    <t>BHS Band instruments</t>
  </si>
  <si>
    <t>Meal For School Board Meeting</t>
  </si>
  <si>
    <t>THE COLLEGE BOARD</t>
  </si>
  <si>
    <t>THE MARSHALL MEMO</t>
  </si>
  <si>
    <t>Renewal of Program</t>
  </si>
  <si>
    <t>Tennis balls</t>
  </si>
  <si>
    <t>THINKING MAPS</t>
  </si>
  <si>
    <t>Workshop Registration</t>
  </si>
  <si>
    <t>TRIARCO ARTS &amp; CRAFTS</t>
  </si>
  <si>
    <t>UNANIMOUS DESIGN</t>
  </si>
  <si>
    <t>Videoboard Animations</t>
  </si>
  <si>
    <t>UNITED RENTALS, INC.</t>
  </si>
  <si>
    <t>W/O #13882- TO INSTALL UTILITIES</t>
  </si>
  <si>
    <t>UNIVERSAL MELODY</t>
  </si>
  <si>
    <t>BHS Band insturments</t>
  </si>
  <si>
    <t>BHS Westair gases for Ag</t>
  </si>
  <si>
    <t>Blue Haze YMCA After School Program Reimbusement</t>
  </si>
  <si>
    <t>WINFIELD SOLUTIONS, LLC</t>
  </si>
  <si>
    <t>W/O #14243- MOSQUITO LARVAE</t>
  </si>
  <si>
    <t>WILLIAM V. MACGILL &amp; CO.</t>
  </si>
  <si>
    <t>Liberty Fall Nurse office Supplies</t>
  </si>
  <si>
    <t>Tannahill Fall Nurse office Supplies</t>
  </si>
  <si>
    <t>North Fall Nurse Office Supplies</t>
  </si>
  <si>
    <t>FAA Nurse Supplies</t>
  </si>
  <si>
    <t>BHE Nurse Supplies</t>
  </si>
  <si>
    <t xml:space="preserve">BMS Nurse Supplies </t>
  </si>
  <si>
    <t>BHS Nurse Supplies</t>
  </si>
  <si>
    <t>West Nurse Suppleis</t>
  </si>
  <si>
    <t>WOODARD BUILDERS SUPPLY CO.</t>
  </si>
  <si>
    <t>BREWER BEAR PRODUCTION SHIRTS</t>
  </si>
  <si>
    <t>IT BEARS T-Shirts</t>
  </si>
  <si>
    <t>ZACHARY SMITH</t>
  </si>
  <si>
    <t>HOOVER, LISA</t>
  </si>
  <si>
    <t>NITSCHKE, TAMATHA</t>
  </si>
  <si>
    <t>PETERMAN, TODD</t>
  </si>
  <si>
    <t>SANDERS, KELLEY</t>
  </si>
  <si>
    <t>SUMMERHILL, SARAH</t>
  </si>
  <si>
    <t>Stadium supplies</t>
  </si>
  <si>
    <t>Supplies for Ticket Booth</t>
  </si>
  <si>
    <t>BHS Biology Supplies</t>
  </si>
  <si>
    <t>Homecoming Craft Supplies</t>
  </si>
  <si>
    <t>North- Grandparents night ice</t>
  </si>
  <si>
    <t>Teacher/ Employee of the Month</t>
  </si>
  <si>
    <t>80 Bags for Recognition</t>
  </si>
  <si>
    <t>Supplies for Mad Scientist</t>
  </si>
  <si>
    <t>50 frames for Principal</t>
  </si>
  <si>
    <t>Family Resource Center Supplies</t>
  </si>
  <si>
    <t>SPECIAL PROGRAMS CTS</t>
  </si>
  <si>
    <t xml:space="preserve">BMS-COOKING SUPPLIES </t>
  </si>
  <si>
    <t>BHS Culinary supplies</t>
  </si>
  <si>
    <t>ALBERTSONS/SAFEWAY</t>
  </si>
  <si>
    <t>BHS Hoco Flowers</t>
  </si>
  <si>
    <t>BHS Hosa pink out</t>
  </si>
  <si>
    <t>BLUEBONNET FUNDRAISING</t>
  </si>
  <si>
    <t>BHS Choir Trip fundraiser</t>
  </si>
  <si>
    <t>Knee pads</t>
  </si>
  <si>
    <t>CHEERLEADERS OF AMERICA</t>
  </si>
  <si>
    <t>BHS Cheer 2018 TCU</t>
  </si>
  <si>
    <t>BHS Filming crew for Football</t>
  </si>
  <si>
    <t>North- Staff development Food</t>
  </si>
  <si>
    <t>pizza-  perfect attendance Food</t>
  </si>
  <si>
    <t>BHS School Beverages</t>
  </si>
  <si>
    <t>DALLAS THEATER CENTER</t>
  </si>
  <si>
    <t>BHS English Class field trip</t>
  </si>
  <si>
    <t>DALLAS WORLD AQUARIUM</t>
  </si>
  <si>
    <t>3rd grade field trip nov 26</t>
  </si>
  <si>
    <t>EWELL EDUCATIONAL SERVICES</t>
  </si>
  <si>
    <t xml:space="preserve">BHS FFA Scan SHEETS </t>
  </si>
  <si>
    <t>FAMILY CAREER &amp; COMMUNITY LEADERS OF AMERICA</t>
  </si>
  <si>
    <t>BHS FCCLA registration</t>
  </si>
  <si>
    <t>pre-k field trip to zoo</t>
  </si>
  <si>
    <t>Kinder  Mobile zoo visit</t>
  </si>
  <si>
    <t>FAA HOUSE SHIRTS FOR STUDENTS</t>
  </si>
  <si>
    <t xml:space="preserve">TANNAHILL - PE EQUIPMENT </t>
  </si>
  <si>
    <t>LEGOLAND DISCOVERY CENTER</t>
  </si>
  <si>
    <t>Kindergarten field trip</t>
  </si>
  <si>
    <t>MAIN EVENT</t>
  </si>
  <si>
    <t>BHS Field Trip</t>
  </si>
  <si>
    <t>MCCORMICK'S ENTERPRISES INC</t>
  </si>
  <si>
    <t>BHS Servsafe  Supplies</t>
  </si>
  <si>
    <t>NYSTROM EDUCATION</t>
  </si>
  <si>
    <t>TIS- ATLASES FOR 6TH GRADE</t>
  </si>
  <si>
    <t>Veteran's Day Supplies</t>
  </si>
  <si>
    <t>PERMA-BOUND</t>
  </si>
  <si>
    <t xml:space="preserve">BMS-START UP PETTY CASH </t>
  </si>
  <si>
    <t>TANNAHILL- WATER SERVICE</t>
  </si>
  <si>
    <t>West - WATER SERVICE</t>
  </si>
  <si>
    <t>BMS-Concession Supplies</t>
  </si>
  <si>
    <t>North- watch dogs Supplies</t>
  </si>
  <si>
    <t>North- Kinder Supplies</t>
  </si>
  <si>
    <t>TIS - INTRAMURAL CONCESSIONS SUPPLIES</t>
  </si>
  <si>
    <t>Snack Shak Supplies</t>
  </si>
  <si>
    <t>Football team Breakfast Supplies</t>
  </si>
  <si>
    <t>BMS-SNACKS FOR FACULTY</t>
  </si>
  <si>
    <t>BHS Class of 2020 Supplies</t>
  </si>
  <si>
    <t>Fundraiser Final Payment</t>
  </si>
  <si>
    <t xml:space="preserve">Art Supplies  </t>
  </si>
  <si>
    <t>SPORTSWEAR GRAPHICS, INC.</t>
  </si>
  <si>
    <t>West - t shirts</t>
  </si>
  <si>
    <t>House Shirts for Students</t>
  </si>
  <si>
    <t>BHS Lanyards for Id's</t>
  </si>
  <si>
    <t>TEXAS MOTION SPORTS</t>
  </si>
  <si>
    <t>TEXAS THESPIANS</t>
  </si>
  <si>
    <t>BHS Thespian Festival Trip</t>
  </si>
  <si>
    <t>ENTRY FEES FOR BMS BAND</t>
  </si>
  <si>
    <t xml:space="preserve">BHS BAND SUPPLIES </t>
  </si>
  <si>
    <t xml:space="preserve">BHS Cheer Supplies   </t>
  </si>
  <si>
    <t>WORLD CLASS VACATIONS</t>
  </si>
  <si>
    <t>BHS Culinary World Culinary</t>
  </si>
  <si>
    <t>WORLDWIDE SPECIALTY ADVERTISING</t>
  </si>
  <si>
    <t xml:space="preserve">BHS Art work - LAW TSHIRT </t>
  </si>
  <si>
    <t>MONTH</t>
  </si>
  <si>
    <t>TOTALS</t>
  </si>
  <si>
    <t>Popcorn and supplies</t>
  </si>
  <si>
    <t>PLASTIC SLEEVES FOR BMS IDs</t>
  </si>
  <si>
    <t xml:space="preserve">DRY ERASE POCKET SLEEVES </t>
  </si>
  <si>
    <t>Mentos Gyser tube for Mad Scientist Night</t>
  </si>
  <si>
    <t>West - Counselor Supplies</t>
  </si>
  <si>
    <t>Book for Cheer</t>
  </si>
  <si>
    <t>West - ESL materials/supplies</t>
  </si>
  <si>
    <t>G/T supplies</t>
  </si>
  <si>
    <t xml:space="preserve">Supplies to expand a quality ARCHITECTURE </t>
  </si>
  <si>
    <t xml:space="preserve">Supplies  Architecture and CONSTRUCTION </t>
  </si>
  <si>
    <t xml:space="preserve">TANNAHILL-  EARBUDS </t>
  </si>
  <si>
    <t xml:space="preserve">TANNAHILL:  supplies </t>
  </si>
  <si>
    <t>SPECIAL PROGRAMS (BMS): TONER</t>
  </si>
  <si>
    <t xml:space="preserve">2nd grade supplies </t>
  </si>
  <si>
    <t>Supplies 3rd grade</t>
  </si>
  <si>
    <t>ipad chargers</t>
  </si>
  <si>
    <t>chargers for walkies</t>
  </si>
  <si>
    <t>books  4th grade</t>
  </si>
  <si>
    <t>chargers</t>
  </si>
  <si>
    <t>3rd grade supplies</t>
  </si>
  <si>
    <t>supplies  Makerspace</t>
  </si>
  <si>
    <t>COLOR RIBBON FOR BMS ID</t>
  </si>
  <si>
    <t>BMS-COLORED VINYL</t>
  </si>
  <si>
    <t xml:space="preserve">Resources for Teachers </t>
  </si>
  <si>
    <t>Film Cases for Mad Scientist</t>
  </si>
  <si>
    <t>West - Teacher supplies</t>
  </si>
  <si>
    <t xml:space="preserve">West - Supplies for OFFICE </t>
  </si>
  <si>
    <t>West - Supplies needed</t>
  </si>
  <si>
    <t>West - Supplies for staff</t>
  </si>
  <si>
    <t>West - Book for classroom</t>
  </si>
  <si>
    <t>West - Supplies for art</t>
  </si>
  <si>
    <t>West - Instructional supplies</t>
  </si>
  <si>
    <t>north- bot grant</t>
  </si>
  <si>
    <t>north- Grade 4 class supplies</t>
  </si>
  <si>
    <t>North-  Stem challenge cards</t>
  </si>
  <si>
    <t xml:space="preserve">Flash Drives </t>
  </si>
  <si>
    <t>BHS Band equipment</t>
  </si>
  <si>
    <t xml:space="preserve">CASH DRAWER - BMS </t>
  </si>
  <si>
    <t xml:space="preserve">W/O #14205- FOR BOX TRUCKS @ OPERATIONS </t>
  </si>
  <si>
    <t>Keyboard and Mouse for CN</t>
  </si>
  <si>
    <t>ethernet cable</t>
  </si>
  <si>
    <t>SPECIAL PROGRAMS: OT Supplies</t>
  </si>
  <si>
    <t>Running Reflector Belts for CC</t>
  </si>
  <si>
    <t xml:space="preserve">West - Supplies for the OFFICE </t>
  </si>
  <si>
    <t>W/O #13953- REPLACE WORN TOOLS</t>
  </si>
  <si>
    <t>W/O #'s 13021 &amp; 13089- A/C repair</t>
  </si>
  <si>
    <t>BARNES &amp; NOBLE, INC.</t>
  </si>
  <si>
    <t>Books for teachers -  Fair</t>
  </si>
  <si>
    <t>backpacks, polos</t>
  </si>
  <si>
    <t>BHS CTE class supplies</t>
  </si>
  <si>
    <t xml:space="preserve">Scanners and Printer </t>
  </si>
  <si>
    <t xml:space="preserve">BHS Printer Fax </t>
  </si>
  <si>
    <t xml:space="preserve">PRINTER CARTRIDGES </t>
  </si>
  <si>
    <t>West - Supplies for counselor</t>
  </si>
  <si>
    <t xml:space="preserve">TANNAHILL-IPAD STANDS </t>
  </si>
  <si>
    <t xml:space="preserve">WO# 14364 - Electrical finish OUT - BHS </t>
  </si>
  <si>
    <t xml:space="preserve">WO# 14364 - Run power to WATER HEATER </t>
  </si>
  <si>
    <t>CEV MULTIMEDIA</t>
  </si>
  <si>
    <t xml:space="preserve">BHS CTE TEACHER LICENSE RENEWALS </t>
  </si>
  <si>
    <t>CLEAR FORK MATERIALS</t>
  </si>
  <si>
    <t>Material for Playgrounds</t>
  </si>
  <si>
    <t>COOK-FORT WORTH CHILDREN'S</t>
  </si>
  <si>
    <t>Cook Children's school nurse</t>
  </si>
  <si>
    <t xml:space="preserve">Football Radio Crew </t>
  </si>
  <si>
    <t>Office Furniture Athletics</t>
  </si>
  <si>
    <t>BHS laptops for instructional</t>
  </si>
  <si>
    <t>BHS CTE toner</t>
  </si>
  <si>
    <t>toner/ printer supplies</t>
  </si>
  <si>
    <t>BHS front office printer</t>
  </si>
  <si>
    <t xml:space="preserve">North- printer cartridge </t>
  </si>
  <si>
    <t>TANNAHILL- PRINTER CARTRIDGE</t>
  </si>
  <si>
    <t>North- Labels and bookmarks</t>
  </si>
  <si>
    <t xml:space="preserve">Library Supplies </t>
  </si>
  <si>
    <t xml:space="preserve">Business Cards </t>
  </si>
  <si>
    <t xml:space="preserve">BHS Visitor Passes  </t>
  </si>
  <si>
    <t>Enterprise Rent-A-Car for Conference</t>
  </si>
  <si>
    <t>Rental Car for Conference</t>
  </si>
  <si>
    <t>FOLLETT SCHOOL SOLUTIONS</t>
  </si>
  <si>
    <t>Books for BHS staff book</t>
  </si>
  <si>
    <t>WO# 14441 - Replace bad Thermostat</t>
  </si>
  <si>
    <t>HF &amp; C INC</t>
  </si>
  <si>
    <t>BHS CTE ag dept Supplies</t>
  </si>
  <si>
    <t>Air Fare for Conference</t>
  </si>
  <si>
    <t xml:space="preserve">Library books </t>
  </si>
  <si>
    <t>Personnel Law Conference Registration</t>
  </si>
  <si>
    <t>MAINSTAY FARMS</t>
  </si>
  <si>
    <t>Field Trip Fees</t>
  </si>
  <si>
    <t>MATTHEW GARRETT</t>
  </si>
  <si>
    <t>BHS Band design for Marching Contract Services</t>
  </si>
  <si>
    <t>North- paper</t>
  </si>
  <si>
    <t>BHS office supplies</t>
  </si>
  <si>
    <t>paper to copy "take home and KEEP</t>
  </si>
  <si>
    <t>BMS-COPY PAPER</t>
  </si>
  <si>
    <t>TANNAHILL - PRINTER CARTRIDGE</t>
  </si>
  <si>
    <t>Paper and Colored Paper</t>
  </si>
  <si>
    <t>12 Tab Table of Contents</t>
  </si>
  <si>
    <t>TANNAHILL -  ANCHOR CHART</t>
  </si>
  <si>
    <t>BHS Color Guard flags</t>
  </si>
  <si>
    <t>STATE INSPECTION &amp; REPAIRS</t>
  </si>
  <si>
    <t>WO # 14537 - repair lift</t>
  </si>
  <si>
    <t>CREDIT MEMO</t>
  </si>
  <si>
    <t>W/O #14347- REBUILD RPZ IN</t>
  </si>
  <si>
    <t>SPECIAL PROGRAMS: Test Material</t>
  </si>
  <si>
    <t>NOREDINK CORP</t>
  </si>
  <si>
    <t xml:space="preserve">BMS-SOFTWARE LICENSES </t>
  </si>
  <si>
    <t>BMS-FACULTY NAME TAGS</t>
  </si>
  <si>
    <t>toll charges for Suburban</t>
  </si>
  <si>
    <t>toner</t>
  </si>
  <si>
    <t>SPECIAL PROGRAMS: OFFICE</t>
  </si>
  <si>
    <t>Hard Plastic Badge cases</t>
  </si>
  <si>
    <t xml:space="preserve">Supplies for PLC </t>
  </si>
  <si>
    <t>BMS-TONER</t>
  </si>
  <si>
    <t>chart paper</t>
  </si>
  <si>
    <t>North- Pre- K class supplies</t>
  </si>
  <si>
    <t>OVERHEAD DOOR COMPANY OF FORT WORTH</t>
  </si>
  <si>
    <t>Door Repair</t>
  </si>
  <si>
    <t>PASCO BROKERAGE INC</t>
  </si>
  <si>
    <t>Plastic Sleeves and Casters</t>
  </si>
  <si>
    <t>Ice Machine</t>
  </si>
  <si>
    <t>PIONEER VALLEY BOOKS</t>
  </si>
  <si>
    <t>books for 1st grade</t>
  </si>
  <si>
    <t xml:space="preserve">Weekly Mowing </t>
  </si>
  <si>
    <t>BHS Parks coffee for October</t>
  </si>
  <si>
    <t>50 Activity Fund Receipt</t>
  </si>
  <si>
    <t>BMS-POST CARDS</t>
  </si>
  <si>
    <t>TANNAHILL - MEGAPHONES</t>
  </si>
  <si>
    <t>spellig bee enrollment fee</t>
  </si>
  <si>
    <t>North- Spelling Bee</t>
  </si>
  <si>
    <t>PAINTING STADIUM @ BMS</t>
  </si>
  <si>
    <t>PAINTERS SUPPLIES ITEMS</t>
  </si>
  <si>
    <t>WO# 14354 - Paint  for BHS AT</t>
  </si>
  <si>
    <t>Paint for Concession</t>
  </si>
  <si>
    <t xml:space="preserve">Hardware to "expand the use OF TECHNOLOGY </t>
  </si>
  <si>
    <t>Warranty Contract on Fire Alarms</t>
  </si>
  <si>
    <t xml:space="preserve">W/O #13882- INSTALL ELECTRICAL </t>
  </si>
  <si>
    <t>W/O #14462- REPLACE ALL BAD LAMPS</t>
  </si>
  <si>
    <t>STADIUM PRODUCTION ROOM SUPPLIES</t>
  </si>
  <si>
    <t>SOUTHWEST FORD, INC</t>
  </si>
  <si>
    <t>Ford 3/4 Ton 4x4 Pickup for AG Science Program</t>
  </si>
  <si>
    <t>BHS Supplies for Ag Science</t>
  </si>
  <si>
    <t>Program Renewal</t>
  </si>
  <si>
    <t>SUBURBAN NEWSPAPERS, INC.</t>
  </si>
  <si>
    <t>Legal notice for FIRST Rating</t>
  </si>
  <si>
    <t>TAGT CONFERENCE</t>
  </si>
  <si>
    <t xml:space="preserve">Registration for teachers </t>
  </si>
  <si>
    <t>School Counselor Conference</t>
  </si>
  <si>
    <t>TCU/OFFICE OF EXTENDED ED</t>
  </si>
  <si>
    <t>TCU College Advising Corps Conrtract Service</t>
  </si>
  <si>
    <t>TEXAS EDUCATION NEWS</t>
  </si>
  <si>
    <t>ONE-YEAR SUBSCRIPTION</t>
  </si>
  <si>
    <t>Custodial Appreciation Dinner</t>
  </si>
  <si>
    <t>Custodial Appreciation  lunch</t>
  </si>
  <si>
    <t>THE LATINO FAMILY LITERACY PROJECT</t>
  </si>
  <si>
    <t xml:space="preserve">Latino literature used for PARENT INVOLVEMENT </t>
  </si>
  <si>
    <t xml:space="preserve">W/O #14081 &amp; 14082- INSTALL WINDSCREENS </t>
  </si>
  <si>
    <t xml:space="preserve">W/O #13882- TO INSTALL UTILITIES </t>
  </si>
  <si>
    <t>VARSITY SPIRIT</t>
  </si>
  <si>
    <t>BHS Cheer Competition</t>
  </si>
  <si>
    <t>BHS Cheer jackets</t>
  </si>
  <si>
    <t>WHALEY FOODSERVICE, LLC. DBA PARTSXPRESS</t>
  </si>
  <si>
    <t>W/O #14376- KITCHEN</t>
  </si>
  <si>
    <t>BMS cross country tee's</t>
  </si>
  <si>
    <t>ZOHO CORPORATION</t>
  </si>
  <si>
    <t>AD Manager</t>
  </si>
  <si>
    <t>COWTOWN BOWLING PALACE</t>
  </si>
  <si>
    <t xml:space="preserve">TEAM BUILDING ACTIVITY FOR OPERATIONS </t>
  </si>
  <si>
    <t>BOWERS, THOMAS</t>
  </si>
  <si>
    <t>Cross Country Regional Meet Expenses</t>
  </si>
  <si>
    <t>FERGUSON, AMY</t>
  </si>
  <si>
    <t>Teaching for Biliteracy Meals</t>
  </si>
  <si>
    <t>Regional Cross Country Meet Expenses</t>
  </si>
  <si>
    <t>GANNINGER, STEVEN</t>
  </si>
  <si>
    <t>MIRANDA SANCHEZ, CARLA</t>
  </si>
  <si>
    <t>Conference Expenses</t>
  </si>
  <si>
    <t>PUPALAIKIS, JESSICA</t>
  </si>
  <si>
    <t>VALENZUELA, EVA</t>
  </si>
  <si>
    <t>lunch with Molinar-</t>
  </si>
  <si>
    <t>NATIONAL SCHOOL BOARDS ASSOCIATION</t>
  </si>
  <si>
    <t>2019 NSBA- Advocacy Institute</t>
  </si>
  <si>
    <t>National Board Conference Registration</t>
  </si>
  <si>
    <t>Corporate Toll Tag Auto</t>
  </si>
  <si>
    <t>FLOCABULARY</t>
  </si>
  <si>
    <t>Gift Bags Supplies</t>
  </si>
  <si>
    <t>Lunch for HOPE Program</t>
  </si>
  <si>
    <t>Business Department Breakfast</t>
  </si>
  <si>
    <t>Lunch for Board Agenda Meeting</t>
  </si>
  <si>
    <t>HILTON AUSTIN</t>
  </si>
  <si>
    <t>Parking for Conferene</t>
  </si>
  <si>
    <t>ULTIMATE CPE</t>
  </si>
  <si>
    <t>Tax Cuts and Jobs Act Review</t>
  </si>
  <si>
    <t xml:space="preserve">Membership for GIRLS BASKETBALL </t>
  </si>
  <si>
    <t>TEXAS 313 CONSTRUCTION, LLC</t>
  </si>
  <si>
    <t>PIPE FENCE FOR AG BARN</t>
  </si>
  <si>
    <t>BHS Senior roses</t>
  </si>
  <si>
    <t>BHS Faculty lunch</t>
  </si>
  <si>
    <t>CHICK FIL A</t>
  </si>
  <si>
    <t xml:space="preserve">BHS Band food </t>
  </si>
  <si>
    <t>North- Pb crackers and juice</t>
  </si>
  <si>
    <t>BMS-DRINKS FOR FACULTY</t>
  </si>
  <si>
    <t>DANCE SOPHISTICATES INC</t>
  </si>
  <si>
    <t>BHS Color Guard Supplies</t>
  </si>
  <si>
    <t>BHS Color Guard uniforms</t>
  </si>
  <si>
    <t>DECA INC</t>
  </si>
  <si>
    <t>Dues for DECA members</t>
  </si>
  <si>
    <t>BMS- DONUTS FOR OCTOBER</t>
  </si>
  <si>
    <t>FITNESS FINDERS, INC.</t>
  </si>
  <si>
    <t>North- Toe tokens</t>
  </si>
  <si>
    <t>KORBIN CATO</t>
  </si>
  <si>
    <t>Refund for Thespian trip</t>
  </si>
  <si>
    <t>Paint and filters</t>
  </si>
  <si>
    <t>Rose bouqets</t>
  </si>
  <si>
    <t>BMS-3 HOLE PUNCH</t>
  </si>
  <si>
    <t>NATALIE ROACH</t>
  </si>
  <si>
    <t>Refund Austin Trip Payment</t>
  </si>
  <si>
    <t>NEIL ENTERPRISES</t>
  </si>
  <si>
    <t xml:space="preserve">North- Picture HOLDER </t>
  </si>
  <si>
    <t xml:space="preserve">North- Magnetic NAME BADGES </t>
  </si>
  <si>
    <t>OMNI CHEER</t>
  </si>
  <si>
    <t>BMS-Cheer Supplies</t>
  </si>
  <si>
    <t>RISCKY'S</t>
  </si>
  <si>
    <t>TIS-TURKEY AND HAM - LUNCHEON</t>
  </si>
  <si>
    <t>SAN ANTONIO LIVESTOCK EXPOSITION, INC</t>
  </si>
  <si>
    <t xml:space="preserve">Entry Fees, parking pass </t>
  </si>
  <si>
    <t>TIS- BOOK FAIR</t>
  </si>
  <si>
    <t xml:space="preserve"> FAA book FAIR</t>
  </si>
  <si>
    <t>SOUTHWESTERN EXPOSITION &amp; LIVESTOCK SHOW</t>
  </si>
  <si>
    <t>Entry Fees, parking pass</t>
  </si>
  <si>
    <t>running club shirts</t>
  </si>
  <si>
    <t>TERESSA LOVE</t>
  </si>
  <si>
    <t xml:space="preserve">Student reimbursement for VBALL TOURNEY </t>
  </si>
  <si>
    <t>TEXAS PORK PRODUCERS ASSOCIATION</t>
  </si>
  <si>
    <t>Entry fee</t>
  </si>
  <si>
    <t>BHS Cheer choreography</t>
  </si>
  <si>
    <t xml:space="preserve">Gift Cards for turkeys </t>
  </si>
  <si>
    <t>Gift Cards to give families</t>
  </si>
  <si>
    <t>Champions for Kids Tees</t>
  </si>
  <si>
    <t xml:space="preserve">Qty:8-$10.00 Gift Cards for PRINCIPALS </t>
  </si>
  <si>
    <t>RAVE MOTION PICTURES RIDGMAR 13</t>
  </si>
  <si>
    <t>23 $20 Rave Gift Cards for TEACHER OF THE MONTH</t>
  </si>
  <si>
    <t xml:space="preserve">Site supporter </t>
  </si>
  <si>
    <t>TICKETMASTER</t>
  </si>
  <si>
    <t>BHS Broadway tickets for AV</t>
  </si>
  <si>
    <t>Water and Snacks for DPC</t>
  </si>
  <si>
    <t>Food for Family Involvement</t>
  </si>
  <si>
    <t>Food and Water for Press Box</t>
  </si>
  <si>
    <t xml:space="preserve">Office Supplies for Finance </t>
  </si>
  <si>
    <t xml:space="preserve">Snack for Parents </t>
  </si>
  <si>
    <t>Bagged Candy, batteries, file</t>
  </si>
  <si>
    <t>FOR OPERATIONS LUNCHEON</t>
  </si>
  <si>
    <t>Supplies for PLC-Coffee,</t>
  </si>
  <si>
    <t>Coffee Supplies for Tech</t>
  </si>
  <si>
    <t>kitchen supplies, GRIT</t>
  </si>
  <si>
    <t>TANNAHILL -  PARENT TABLES</t>
  </si>
  <si>
    <t>Water for Press Box</t>
  </si>
  <si>
    <t>Candy, Popcorn, Chex Mix for</t>
  </si>
  <si>
    <t>BMS-PIZZA FOR WATCH D.O.G.S.</t>
  </si>
  <si>
    <t>BMS KITCHEN SUPPLIES</t>
  </si>
  <si>
    <t>BMS-SNACKS FOR SPANISH NIGHT</t>
  </si>
  <si>
    <t>Water and Snacks for DL</t>
  </si>
  <si>
    <t>WO# 11511 - Add windows to</t>
  </si>
  <si>
    <t xml:space="preserve">Monthly Phone Service </t>
  </si>
  <si>
    <t xml:space="preserve">Phone service </t>
  </si>
  <si>
    <t>Teacher Attendance for Oct</t>
  </si>
  <si>
    <t>BOCAL MAJORITY BASSOON CAMP</t>
  </si>
  <si>
    <t>Band Instruments</t>
  </si>
  <si>
    <t>MET GOAL AWARD</t>
  </si>
  <si>
    <t xml:space="preserve">Film students shirts </t>
  </si>
  <si>
    <t xml:space="preserve">Band contracted service </t>
  </si>
  <si>
    <t>Technology Equipment</t>
  </si>
  <si>
    <t>Tech Supplies cables, dvd</t>
  </si>
  <si>
    <t>projectors and mounts</t>
  </si>
  <si>
    <t>Breakfast for Staff</t>
  </si>
  <si>
    <t>Healthy Families Rally Food</t>
  </si>
  <si>
    <t>Dry needles for athletic</t>
  </si>
  <si>
    <t>CSI GLOBAL DEPOSITION SERVICES</t>
  </si>
  <si>
    <t>District 3-5A Executive</t>
  </si>
  <si>
    <t>D &amp; D RETAIL L.P.</t>
  </si>
  <si>
    <t>Supplies for Ag Science</t>
  </si>
  <si>
    <t>DEBRA MORGAN</t>
  </si>
  <si>
    <t>BMS-TONER FOR SPED</t>
  </si>
  <si>
    <t>DENTON ISD ATHLETICS</t>
  </si>
  <si>
    <t>re-issue for Playoff game</t>
  </si>
  <si>
    <t>SPECIAL PROGRAMS (FCLC)Supplies</t>
  </si>
  <si>
    <t>DON HARRINGTON DISCOVERY CENTER FOUNDATION IN</t>
  </si>
  <si>
    <t>Science live show 12-17-18</t>
  </si>
  <si>
    <t>HR Summit Registration</t>
  </si>
  <si>
    <t>FILTER SYSTEMS</t>
  </si>
  <si>
    <t>Filters for District</t>
  </si>
  <si>
    <t>FORT WORTH FOOTBALL OFFICIALS</t>
  </si>
  <si>
    <t>Football- UIL Scrimmage fee</t>
  </si>
  <si>
    <t>VEHICLE MAINTENANCE DISTRICT-</t>
  </si>
  <si>
    <t xml:space="preserve">2018-2019 Student TRANSPORTATION </t>
  </si>
  <si>
    <t>WSISD Tech T-Shirts Re-Order</t>
  </si>
  <si>
    <t>Parts for Blue Haze Oven</t>
  </si>
  <si>
    <t>Color guard tech Contract Services</t>
  </si>
  <si>
    <t>HOUSTON ISD-MEDICAID FINANCE</t>
  </si>
  <si>
    <t>Contract Services for SHARS</t>
  </si>
  <si>
    <t>Storage for HUDL account</t>
  </si>
  <si>
    <t>Music for Choir</t>
  </si>
  <si>
    <t>JORDAN ELIZABETH HARRIS FOUNDATION</t>
  </si>
  <si>
    <t>Foundation Light Luncheon</t>
  </si>
  <si>
    <t xml:space="preserve">Contract services  </t>
  </si>
  <si>
    <t>KATHERINE WENTZ</t>
  </si>
  <si>
    <t xml:space="preserve">copy paper  </t>
  </si>
  <si>
    <t>TIS-SUPPLLIES FOR OFFICE</t>
  </si>
  <si>
    <t>North- Copy paper</t>
  </si>
  <si>
    <t>Superintendent Evaluation Supplies</t>
  </si>
  <si>
    <t>BMS-HEADPHONES FOR HISTORY</t>
  </si>
  <si>
    <t>SPECIAL PROGRAMS: PAPER</t>
  </si>
  <si>
    <t>BHS  Social Studies supplies</t>
  </si>
  <si>
    <t xml:space="preserve">office supplies </t>
  </si>
  <si>
    <t>STATE INSPECTIONS FOR VEHICLE</t>
  </si>
  <si>
    <t>North- Reading Books for 3rd</t>
  </si>
  <si>
    <t>MOBY MAX</t>
  </si>
  <si>
    <t>Aprons for Child Nutrition</t>
  </si>
  <si>
    <t>BHS No Red Ink Software</t>
  </si>
  <si>
    <t xml:space="preserve">Toll Fee for BHS Football </t>
  </si>
  <si>
    <t>Toll Fee for BHS Volleyball</t>
  </si>
  <si>
    <t>Toll charges</t>
  </si>
  <si>
    <t>Attendance Award</t>
  </si>
  <si>
    <t xml:space="preserve">OFFICE SUPPLIES </t>
  </si>
  <si>
    <t>OLEN WILLIAMS INC</t>
  </si>
  <si>
    <t>Supplies for Marque</t>
  </si>
  <si>
    <t>1st Gold Medals</t>
  </si>
  <si>
    <t>Repair roll up door</t>
  </si>
  <si>
    <t>Mowing - weekly invoive</t>
  </si>
  <si>
    <t>PRIEFERT MGG. CO. INC.</t>
  </si>
  <si>
    <t>PROFESSIONAL TURF PRODUCTS</t>
  </si>
  <si>
    <t>W/O #13804- RENTAL EQUIPMENT</t>
  </si>
  <si>
    <t>CTE Program Expenses</t>
  </si>
  <si>
    <t>North- Kindergarten supplies</t>
  </si>
  <si>
    <t>Rental of Equipment</t>
  </si>
  <si>
    <t>SADDLEBACK EDUCATIONAL INC</t>
  </si>
  <si>
    <t>Tables for PK</t>
  </si>
  <si>
    <t>TeamViewer</t>
  </si>
  <si>
    <t>PRTG Network Monitor</t>
  </si>
  <si>
    <t>SKILLSUSA TEXAS</t>
  </si>
  <si>
    <t>Fall Leadership conference Fee</t>
  </si>
  <si>
    <t>Maintenance Supplies for New Portable</t>
  </si>
  <si>
    <t>TAYLOR'S RENTAL EQUIPMENT CO.</t>
  </si>
  <si>
    <t>RENTAL OF TENT FOR HOMECOMING</t>
  </si>
  <si>
    <t>TASCO</t>
  </si>
  <si>
    <t>TANNAHILL- MEMBERSHIP RENEWAL</t>
  </si>
  <si>
    <t>TEXAS STEM CONFERENCE</t>
  </si>
  <si>
    <t>STEM Conference Fee</t>
  </si>
  <si>
    <t>BHS Theater travel trip</t>
  </si>
  <si>
    <t xml:space="preserve">EMPLOYEE CHRISTMAS LUNCH FOR OPERATIONS </t>
  </si>
  <si>
    <t>THERAPRO</t>
  </si>
  <si>
    <t xml:space="preserve">BMS- TEACHING SUPPLIES </t>
  </si>
  <si>
    <t xml:space="preserve"> DISTRICT WIDE ELEVATOR MAINT</t>
  </si>
  <si>
    <t>Armored Car Service</t>
  </si>
  <si>
    <t>TSNAP</t>
  </si>
  <si>
    <t>TTCA</t>
  </si>
  <si>
    <t>Registration to Texas Tennis</t>
  </si>
  <si>
    <t>TXTAG</t>
  </si>
  <si>
    <t>Toll fee foe CTE truck</t>
  </si>
  <si>
    <t>Legal Fees</t>
  </si>
  <si>
    <t>W/O #14021- CEU- APPLICATORS</t>
  </si>
  <si>
    <t>GRAY, JULIA</t>
  </si>
  <si>
    <t>OWENS, JANETTE</t>
  </si>
  <si>
    <t>RAMON, CATHERINE</t>
  </si>
  <si>
    <t>CUSTODIAL SERVICE FOR FISCAL</t>
  </si>
  <si>
    <t>W/O #13758- BUILD A CUSTOM RAMP</t>
  </si>
  <si>
    <t>Work Order #: 13882 School:</t>
  </si>
  <si>
    <t xml:space="preserve">Wo# 13882 - Install CONDUIT </t>
  </si>
  <si>
    <t xml:space="preserve">W/O #13822- FOR TRUCK #653 </t>
  </si>
  <si>
    <t>IATDP (INTERNATIONAL ASSOC FOR TRUANCY &amp; DROP</t>
  </si>
  <si>
    <t>Registration for IATDP</t>
  </si>
  <si>
    <t>codes for finger printing</t>
  </si>
  <si>
    <t>TOP PROMOTIONAL PRODUCTS</t>
  </si>
  <si>
    <t>New Employee gifts, 2019-2020</t>
  </si>
  <si>
    <t>UNIVERSITY OF NORTH TEXAS</t>
  </si>
  <si>
    <t>REGISTRATION FOR INVESTMENT</t>
  </si>
  <si>
    <t>Business Breakfast</t>
  </si>
  <si>
    <t>LEGENDS HOSPITALITY LLC</t>
  </si>
  <si>
    <t>BHS DECA field trip</t>
  </si>
  <si>
    <t>Thespian Festival Fees</t>
  </si>
  <si>
    <t>lunch with Molinar- Chilis</t>
  </si>
  <si>
    <t>AGENDA BUSINESS MEETIG LUNCH WITH</t>
  </si>
  <si>
    <t>BHS DECA Field Stirp Sponsors</t>
  </si>
  <si>
    <t>AMIE CHAPMAN</t>
  </si>
  <si>
    <t>BHS Senior Celebration Supplies</t>
  </si>
  <si>
    <t>CHARLOTTE WEBB</t>
  </si>
  <si>
    <t>BHS Food for film crew</t>
  </si>
  <si>
    <t>DESTINATION IMAGINATION, INC</t>
  </si>
  <si>
    <t>BHS NAHS shirts</t>
  </si>
  <si>
    <t>BHSFloral order</t>
  </si>
  <si>
    <t>HOLLY KEPHART</t>
  </si>
  <si>
    <t>BMS-GIFT CARDS FOR DRAWING</t>
  </si>
  <si>
    <t>NATIONAL ENGLISH HONOR SOCIETY</t>
  </si>
  <si>
    <t>Chapter Affiliation Fees</t>
  </si>
  <si>
    <t>BHS cheer Uniforms</t>
  </si>
  <si>
    <t>PARTON'S PIZZA</t>
  </si>
  <si>
    <t>Pizza for teacher luncheon</t>
  </si>
  <si>
    <t>Replenish petty cash</t>
  </si>
  <si>
    <t>Replenish Petty Cash fund</t>
  </si>
  <si>
    <t>BHS Supplies for ART</t>
  </si>
  <si>
    <t>BHE bottled water</t>
  </si>
  <si>
    <t>SUSAN HAMMONDS</t>
  </si>
  <si>
    <t>THE DANCE SHOP</t>
  </si>
  <si>
    <t>BHS Color guard uniforms</t>
  </si>
  <si>
    <t>Entry Fee</t>
  </si>
  <si>
    <t>TIS- BAND UNIFORM SHIRTS</t>
  </si>
  <si>
    <t>TIS- Tshirts for Running Club</t>
  </si>
  <si>
    <t>BHS Theater supplies for show</t>
  </si>
  <si>
    <t xml:space="preserve">BHS Theater supplies </t>
  </si>
  <si>
    <t>BHS Class of 2020 tshirts</t>
  </si>
  <si>
    <t>Football student meals for Playoff</t>
  </si>
  <si>
    <t xml:space="preserve">REPLACE BROKEN CONCRETE </t>
  </si>
  <si>
    <t>THE SECRET CHAMBERS ESCAPE CHALLENGE</t>
  </si>
  <si>
    <t>Teacher Team-Building</t>
  </si>
  <si>
    <t>Band Bus Use</t>
  </si>
  <si>
    <t>BHS Drill Team 10/5/2018</t>
  </si>
  <si>
    <t>806 TECHNOLOGIES</t>
  </si>
  <si>
    <t>Plan 4 Learning full day Training</t>
  </si>
  <si>
    <t>AIM FOR SUCCESS FOUNDATION, INC</t>
  </si>
  <si>
    <t>Speaker</t>
  </si>
  <si>
    <t>Apple TV for FAA</t>
  </si>
  <si>
    <t>Supplies to "Initiate, CTE</t>
  </si>
  <si>
    <t>Tech Luncheon</t>
  </si>
  <si>
    <t>Jerseys for volleyball</t>
  </si>
  <si>
    <t>BYRON NELSON HIGH SCHOOL</t>
  </si>
  <si>
    <t xml:space="preserve">Softball Entry Fee </t>
  </si>
  <si>
    <t>WATER SERVICE</t>
  </si>
  <si>
    <t>Football Radio Crew  11-9-18</t>
  </si>
  <si>
    <t>BMS-TONER FOR LIFE SKILLS</t>
  </si>
  <si>
    <t>North - Yellow Toner</t>
  </si>
  <si>
    <t>Brewer High School Return</t>
  </si>
  <si>
    <t>Football Radio Crew 11-8-18</t>
  </si>
  <si>
    <t>TANNAHILL-REFLEX MATH TEACHER</t>
  </si>
  <si>
    <t>Football radio crew 11-8-18</t>
  </si>
  <si>
    <t xml:space="preserve">White Settlement PD for VARSITY GAME </t>
  </si>
  <si>
    <t>GARRETT ELECTRONICS, INC.</t>
  </si>
  <si>
    <t>THD - metal detectors</t>
  </si>
  <si>
    <t>GET POMS.COM</t>
  </si>
  <si>
    <t>Bhs Cheer poms</t>
  </si>
  <si>
    <t>HARCOURT OUTLINES</t>
  </si>
  <si>
    <t>birthday pencils</t>
  </si>
  <si>
    <t xml:space="preserve">Pump and Motor Assembly </t>
  </si>
  <si>
    <t>MUSIC FOR BMS CHOIR</t>
  </si>
  <si>
    <t>JENNIFER KUETTEL</t>
  </si>
  <si>
    <t xml:space="preserve">Volleyball Playoff </t>
  </si>
  <si>
    <t xml:space="preserve">Various Library Books </t>
  </si>
  <si>
    <t>KEITH RINEHART</t>
  </si>
  <si>
    <t>Volleyball playoff announcer</t>
  </si>
  <si>
    <t>Press box worker for Varsity</t>
  </si>
  <si>
    <t>LEGENDS OF LEARNING, INC.</t>
  </si>
  <si>
    <t>TIS-LICENSING FOR SCIENCE</t>
  </si>
  <si>
    <t>M-PAK, INC.</t>
  </si>
  <si>
    <t xml:space="preserve">PATCHES AND EMBROIDERY </t>
  </si>
  <si>
    <t>WO# 14697 - Change out spouts</t>
  </si>
  <si>
    <t>TIS- SUPPLIES</t>
  </si>
  <si>
    <t>laminating Film</t>
  </si>
  <si>
    <t>Supplies for computer lab</t>
  </si>
  <si>
    <t>TIS.-  PRINTER CARTRIDGE-</t>
  </si>
  <si>
    <t>Office supplies for athletics</t>
  </si>
  <si>
    <t>BMS-PAPER FOR MATH DEPT.</t>
  </si>
  <si>
    <t>BHS Math dept supplies</t>
  </si>
  <si>
    <t>Butcher Paper for Teachers</t>
  </si>
  <si>
    <t>SUPT'S OFFICE SUPPLIES</t>
  </si>
  <si>
    <t>CTE Ag truck Toll</t>
  </si>
  <si>
    <t>Toll Bill</t>
  </si>
  <si>
    <t>NSTA CONFERENCES</t>
  </si>
  <si>
    <t>BHS Conference registration</t>
  </si>
  <si>
    <t>TONER FOR HISTORY DEPT</t>
  </si>
  <si>
    <t>BMS-TEACHING SUPPLIES FOR SPED</t>
  </si>
  <si>
    <t>Cream Copy Paper and Bandaids</t>
  </si>
  <si>
    <t xml:space="preserve">Various library books </t>
  </si>
  <si>
    <t>BHS Positive proof labels</t>
  </si>
  <si>
    <t>October - Produce</t>
  </si>
  <si>
    <t>BHS TEKS charts for Social</t>
  </si>
  <si>
    <t>ROADRUNNER CHARTERS INC</t>
  </si>
  <si>
    <t>CHARTER BUSES FOR PLAYOFF</t>
  </si>
  <si>
    <t>SCHOLASTIC INC</t>
  </si>
  <si>
    <t>North- Book for 1st grade</t>
  </si>
  <si>
    <t>BMS-CLASSROOM STORAGE BASKETS</t>
  </si>
  <si>
    <t>North-  1st grade class supplies</t>
  </si>
  <si>
    <t>BMS-LEARNING CARPET FOR SPED</t>
  </si>
  <si>
    <t>RAM for Macs</t>
  </si>
  <si>
    <t>West - Educational Software</t>
  </si>
  <si>
    <t>Sp Ed Contracted Services</t>
  </si>
  <si>
    <t>October - Warehouse Fees</t>
  </si>
  <si>
    <t>October - Food</t>
  </si>
  <si>
    <t>October - Non-Food</t>
  </si>
  <si>
    <t>BHS Academic letter jackets</t>
  </si>
  <si>
    <t xml:space="preserve">BREAK UP, REMOVE CONCRETE </t>
  </si>
  <si>
    <t xml:space="preserve">REMOVE ALL SIDEWALKS </t>
  </si>
  <si>
    <t>THE PRODUCTIVITY CENTER, INC.</t>
  </si>
  <si>
    <t>TCLEDDS RENEWAL FOR 2018-2019</t>
  </si>
  <si>
    <t>W/O #12862- KITCHEN FREEZER</t>
  </si>
  <si>
    <t>REPAIR WALK IN FREEZER AT BHS</t>
  </si>
  <si>
    <t>Hot Spot for District</t>
  </si>
  <si>
    <t>PETTY CASH REIMBURSEMENT FOR OPERATIONS</t>
  </si>
  <si>
    <t>WARD'S NATURAL SCIENCE</t>
  </si>
  <si>
    <t>BHS Science</t>
  </si>
  <si>
    <t>Trash Services</t>
  </si>
  <si>
    <t xml:space="preserve">GASES &amp; TANK RENTALS </t>
  </si>
  <si>
    <t>TANNAHILL-  COPIER PAER</t>
  </si>
  <si>
    <t xml:space="preserve">GATE MONEY FOR HOSTING PLAYOFF </t>
  </si>
  <si>
    <t>DOLAN, STACEY</t>
  </si>
  <si>
    <t>KINGSBURY, ERIC</t>
  </si>
  <si>
    <t>BHS volleyball buses</t>
  </si>
  <si>
    <t>Band going to Joshua High</t>
  </si>
  <si>
    <t>Cross Country buses</t>
  </si>
  <si>
    <t xml:space="preserve">BMS volleyball buses </t>
  </si>
  <si>
    <t>Buses for golf September -</t>
  </si>
  <si>
    <t>Buses for BHS football</t>
  </si>
  <si>
    <t xml:space="preserve">Girls basketball buses </t>
  </si>
  <si>
    <t>FCC going to liberty to read</t>
  </si>
  <si>
    <t>Additional PO to cover the</t>
  </si>
  <si>
    <t>6 buses for the Chisholm</t>
  </si>
  <si>
    <t xml:space="preserve">Bus for FCCLA to go to the STATE FAIR </t>
  </si>
  <si>
    <t>6 buses for the Azle High</t>
  </si>
  <si>
    <t>BHS Drill Team 10/26/2018</t>
  </si>
  <si>
    <t>Cheer 1 Bus to Azle Stadium</t>
  </si>
  <si>
    <t>SPECIAL PROGRAMS: TRIP COST</t>
  </si>
  <si>
    <t>SPECIAL PROGRAMS (BHS LIFE SKILLS )</t>
  </si>
  <si>
    <t>TIS-REMAINING BALANCE ON TRIP</t>
  </si>
  <si>
    <t xml:space="preserve">TANNAHILL-  TRANSPORTATION </t>
  </si>
  <si>
    <t xml:space="preserve">BMS Football buses </t>
  </si>
  <si>
    <t xml:space="preserve">BMS tennis buses </t>
  </si>
  <si>
    <t>BMS Football buses for Sept -</t>
  </si>
  <si>
    <t>10/19/2018 Theatre Class</t>
  </si>
  <si>
    <t>BHS Band 10/6/2018 Sunnyvale</t>
  </si>
  <si>
    <t>Cheer 1 Bus to Chisholm Trail</t>
  </si>
  <si>
    <t>Cross Country bus request BMS</t>
  </si>
  <si>
    <t xml:space="preserve">Fuel for Conference </t>
  </si>
  <si>
    <t>BHS Gas money for Lee Wilcox</t>
  </si>
  <si>
    <t xml:space="preserve">Gas Card Athletics Cross COUNTRY </t>
  </si>
  <si>
    <t>TAIR - Baylor Reading</t>
  </si>
  <si>
    <t>Cover cost for Band trip</t>
  </si>
  <si>
    <t xml:space="preserve">Purchase pegs for shelves </t>
  </si>
  <si>
    <t xml:space="preserve">Supplies to expand ARCHITECTURE PROGRAM </t>
  </si>
  <si>
    <t xml:space="preserve">WO# 14439 - INSTALL ICE MACHINES </t>
  </si>
  <si>
    <t>HEALTHY FAMILIES RALLY NIGHT</t>
  </si>
  <si>
    <t>W/O #14180- FOR OPERATIONS</t>
  </si>
  <si>
    <t xml:space="preserve">W/O #13882- INSTALL WINDOW BLINDS </t>
  </si>
  <si>
    <t xml:space="preserve">WO# 12374 - REPLACE LIGHTS </t>
  </si>
  <si>
    <t xml:space="preserve">W/O #14055- REPLACE EXHAUST FAN </t>
  </si>
  <si>
    <t xml:space="preserve">W/O #14234- TRUCK STOCK ITEMS </t>
  </si>
  <si>
    <t>W/O #13882- TOOLS FOR INSTALLING ELECTRICAL</t>
  </si>
  <si>
    <t xml:space="preserve">W/O #14305- TOOLS NEEDED FOR NEW EMPLOYEE </t>
  </si>
  <si>
    <t>Band Competition at Saginaw</t>
  </si>
  <si>
    <t xml:space="preserve">BHS Drill team SHIRTS </t>
  </si>
  <si>
    <t>BHS Drill team TANK</t>
  </si>
  <si>
    <t>AJA JONES</t>
  </si>
  <si>
    <t xml:space="preserve">BHS Start up cash for CONCESSIONS </t>
  </si>
  <si>
    <t>BHS Start up money for ticket SALES</t>
  </si>
  <si>
    <t>North- 3rd grade Classroom</t>
  </si>
  <si>
    <t>north- letters and cord wraps</t>
  </si>
  <si>
    <t xml:space="preserve">BMS-NEON GREEN WRISTBANDS </t>
  </si>
  <si>
    <t>BHS Stuco Senior Pep rally</t>
  </si>
  <si>
    <t xml:space="preserve">TANNAHILL -  BOOKS </t>
  </si>
  <si>
    <t>North- 2nd grade class</t>
  </si>
  <si>
    <t>TIS-HEADPHONES- 5TH GRADE</t>
  </si>
  <si>
    <t>ANOTHER BASKET CASE INC</t>
  </si>
  <si>
    <t>Volleyball work out shirts</t>
  </si>
  <si>
    <t>BA STAR LLC</t>
  </si>
  <si>
    <t>BHS Cheer makeup supplies</t>
  </si>
  <si>
    <t xml:space="preserve"> Fall gear for BASEBALL </t>
  </si>
  <si>
    <t xml:space="preserve"> BHS STUCO</t>
  </si>
  <si>
    <t>FAA 4TH GRADE AUSTIN TRIP</t>
  </si>
  <si>
    <t>FAA 5TH GD WACO TRIP BALANCE</t>
  </si>
  <si>
    <t>BHS IEP goals field trip</t>
  </si>
  <si>
    <t>GRAPEVINE GOLF CARS</t>
  </si>
  <si>
    <t>Golf Car for Stadium</t>
  </si>
  <si>
    <t>HAPPY FEET INC</t>
  </si>
  <si>
    <t>BHS Honeycomb uniform</t>
  </si>
  <si>
    <t>BMS-GIFT CARDS FOR FACULTY</t>
  </si>
  <si>
    <t>breakfast for STAFF</t>
  </si>
  <si>
    <t>Cheer Trip Fees</t>
  </si>
  <si>
    <t>MAGIC, ETC.</t>
  </si>
  <si>
    <t>BHS Theater play supplies</t>
  </si>
  <si>
    <t>Reimburse Petty Cash</t>
  </si>
  <si>
    <t xml:space="preserve">BHS Band SHIRTS </t>
  </si>
  <si>
    <t xml:space="preserve">NORTH BOOK FAIR </t>
  </si>
  <si>
    <t>TEXAS RESTAURANT ASSOCIATION</t>
  </si>
  <si>
    <t xml:space="preserve">Prostart Competition fees for CULINARY ARTS </t>
  </si>
  <si>
    <t>BHS School Supplies</t>
  </si>
  <si>
    <t>BHS Homecoming Supplies</t>
  </si>
  <si>
    <t>BMS-BABY SHOWER</t>
  </si>
  <si>
    <t>BHS school store</t>
  </si>
  <si>
    <t>WATCH D.O.G.'S Supplies</t>
  </si>
  <si>
    <t>TANNAHILL- PE Supplies</t>
  </si>
  <si>
    <t>BHS PALS Supplies</t>
  </si>
  <si>
    <t>BHS school store Supplies</t>
  </si>
  <si>
    <t>BHS supplies for STAFF</t>
  </si>
  <si>
    <t>Supplies for Red RIBBON WEEK</t>
  </si>
  <si>
    <t>North Supplies</t>
  </si>
  <si>
    <t>AP Office Suppies</t>
  </si>
  <si>
    <t>BHS GIC fundraiser Supplies</t>
  </si>
  <si>
    <t>BHS Stuco supplies</t>
  </si>
  <si>
    <t xml:space="preserve">BHS supplies </t>
  </si>
  <si>
    <t>TIS- FILE LABELS</t>
  </si>
  <si>
    <t>Snack for Staff</t>
  </si>
  <si>
    <t xml:space="preserve">Staff snack, POSTER FRAMES </t>
  </si>
  <si>
    <t>BHS Coffee House Supplies</t>
  </si>
  <si>
    <t>BHS School store Supplies</t>
  </si>
  <si>
    <t xml:space="preserve">North- perfect ATTENDANCE PARTY </t>
  </si>
  <si>
    <t>North- Smore's</t>
  </si>
  <si>
    <t>Items for Athletic TRAINING</t>
  </si>
  <si>
    <t>FAA WATCHD.O.G.S T-SHIRTS</t>
  </si>
  <si>
    <t>BMS-WORKOUT CLOTHES FOR GIRLS</t>
  </si>
  <si>
    <t>DALLAS STARS HOCKEY CLUB</t>
  </si>
  <si>
    <t xml:space="preserve">BHS Dallas stars fiekd trip - DECA </t>
  </si>
  <si>
    <t>Travel Expense Reimbursement</t>
  </si>
  <si>
    <t>JOHNSON, AMANDA</t>
  </si>
  <si>
    <t>BMS- LUNCH UIL Band 11/30/18</t>
  </si>
  <si>
    <t>District Improvement Plan Software</t>
  </si>
  <si>
    <t>Apple Tv's for DAEP</t>
  </si>
  <si>
    <t>BHS NOC Service</t>
  </si>
  <si>
    <t>Instant Replay Stadium</t>
  </si>
  <si>
    <t xml:space="preserve">Background checks </t>
  </si>
  <si>
    <t>BOB'S TREE SERVICE</t>
  </si>
  <si>
    <t>Trimming Trees in District</t>
  </si>
  <si>
    <t>BRUCE E. WEST</t>
  </si>
  <si>
    <t>Reimburse for emergency purchase</t>
  </si>
  <si>
    <t xml:space="preserve">Supplies for Boys BB </t>
  </si>
  <si>
    <t>Technology Supplies for TIS</t>
  </si>
  <si>
    <t xml:space="preserve">Projector   </t>
  </si>
  <si>
    <t xml:space="preserve">Projector s </t>
  </si>
  <si>
    <t xml:space="preserve">Tech Supplies </t>
  </si>
  <si>
    <t>Toner Cartridges for teachers</t>
  </si>
  <si>
    <t>W/O #13619- REPLACING WALL PACK</t>
  </si>
  <si>
    <t xml:space="preserve">Canned Fuel for Chaffing DISHES </t>
  </si>
  <si>
    <t xml:space="preserve">Water services </t>
  </si>
  <si>
    <t>CLEANER IMAGE</t>
  </si>
  <si>
    <t>Maintenace Supplies</t>
  </si>
  <si>
    <t>CRISIS PREVENTION INSTITUTE</t>
  </si>
  <si>
    <t>SPECIAL PROGRAMS: MEMBERSHIP</t>
  </si>
  <si>
    <t xml:space="preserve">TIS-DELIVERY FEE FOR TABLE </t>
  </si>
  <si>
    <t xml:space="preserve">Table and Chairs </t>
  </si>
  <si>
    <t xml:space="preserve">Laptop Battery </t>
  </si>
  <si>
    <t>BMS-Laptops</t>
  </si>
  <si>
    <t>Brewer Middle School-Return</t>
  </si>
  <si>
    <t>Monthly Direct Energy Service</t>
  </si>
  <si>
    <t>Maintenance Contract Services</t>
  </si>
  <si>
    <t>WO# 14463 - New ice machine</t>
  </si>
  <si>
    <t>CAR RENTAL FOR NEW ORLEANS</t>
  </si>
  <si>
    <t>F.B. MCINTIRE EQUIPMENT CO.</t>
  </si>
  <si>
    <t>W/O #14463- TO INSTALL ICE</t>
  </si>
  <si>
    <t>BHS FCCLA chapter advisor</t>
  </si>
  <si>
    <t>Service Call - Liberty Dish</t>
  </si>
  <si>
    <t>Paging System Repair BHS</t>
  </si>
  <si>
    <t>LOWELL THOMAS FENCE COMPANY</t>
  </si>
  <si>
    <t xml:space="preserve">WO# 14700 - Install fence </t>
  </si>
  <si>
    <t>admission  Mainstay Farms</t>
  </si>
  <si>
    <t xml:space="preserve">Fuel </t>
  </si>
  <si>
    <t>Card Stock Order 8 1/2 X 14</t>
  </si>
  <si>
    <t>BMS-TEACHING SUPPLIES</t>
  </si>
  <si>
    <t>TIS- CALENDARS FOR OFFICE</t>
  </si>
  <si>
    <t>Toner for girls basketball</t>
  </si>
  <si>
    <t>HP PRINTER TONER - SUPT'S</t>
  </si>
  <si>
    <t>EMERGENCY REPAIR - BHE Water</t>
  </si>
  <si>
    <t>WO# 14459 - Repair water pump</t>
  </si>
  <si>
    <t>NATIONAL ATHLETIC TRAINERS ASSOCIATION INC</t>
  </si>
  <si>
    <t>2019 BOC Certification</t>
  </si>
  <si>
    <t>Football trophy for playoff</t>
  </si>
  <si>
    <t xml:space="preserve">Suburban Toll Charges </t>
  </si>
  <si>
    <t>October - Milk</t>
  </si>
  <si>
    <t>BMS-TONER FOR ESL</t>
  </si>
  <si>
    <t>BHS Math Dept Supplies</t>
  </si>
  <si>
    <t>BHS Lote Dept Supplies</t>
  </si>
  <si>
    <t>BMS- VELCRO TO HANG BMS</t>
  </si>
  <si>
    <t>BMS-CALCULATORS FOR SCIENCE</t>
  </si>
  <si>
    <t>BMS-COLORED PAPER</t>
  </si>
  <si>
    <t>OTICON. INC</t>
  </si>
  <si>
    <t>SPECIAL PROGRAMS: HEARING</t>
  </si>
  <si>
    <t>TANNAHILL -  PROJECTORS</t>
  </si>
  <si>
    <t>BMS-CEILING MOUNT PROJECTOR</t>
  </si>
  <si>
    <t>PATTILLO, BROWN &amp; HILL LLP</t>
  </si>
  <si>
    <t>Final Audit Work for 2017-18</t>
  </si>
  <si>
    <t>DISTRICT- WIDE MOWING SERVICE</t>
  </si>
  <si>
    <t>BHS Coffee for staff</t>
  </si>
  <si>
    <t xml:space="preserve">BMS-COFFEE SERVICE </t>
  </si>
  <si>
    <t>Pre k supplies</t>
  </si>
  <si>
    <t>RICHEY ATHLETICS</t>
  </si>
  <si>
    <t>Pole Vault pit system for Track</t>
  </si>
  <si>
    <t>Replace signs</t>
  </si>
  <si>
    <t>Locker Tags for hosted playoff game</t>
  </si>
  <si>
    <t>Playoff Parking Signs</t>
  </si>
  <si>
    <t>W/O #14372-  REPLACE SIGNS @ BHS</t>
  </si>
  <si>
    <t>Calculators for 6th grade</t>
  </si>
  <si>
    <t>1st grade supplies</t>
  </si>
  <si>
    <t>Transceiver Module</t>
  </si>
  <si>
    <t>WO# 14804 - Purchase heaters for Ag Barn</t>
  </si>
  <si>
    <t>SKILLPATH SEMINARS</t>
  </si>
  <si>
    <t>Workshop</t>
  </si>
  <si>
    <t>Legal Notice for E-Rate Proposal</t>
  </si>
  <si>
    <t>SULLIVAN SUPPLY INC</t>
  </si>
  <si>
    <t>BHS Ag equipment</t>
  </si>
  <si>
    <t>TABE</t>
  </si>
  <si>
    <t>Registration for Conference</t>
  </si>
  <si>
    <t>Legal assistance Fund 2019</t>
  </si>
  <si>
    <t>2019 TASB Membership Fee</t>
  </si>
  <si>
    <t>TASBO 2019 ANNUAL CONFERENCE</t>
  </si>
  <si>
    <t xml:space="preserve">Remove Concrete </t>
  </si>
  <si>
    <t>Replace Broken Concrete at BHS</t>
  </si>
  <si>
    <t>TRAIL OF BREADCRUMBS</t>
  </si>
  <si>
    <t>TUNE IN</t>
  </si>
  <si>
    <t>UIL art instruction supplies</t>
  </si>
  <si>
    <t>Rental  of Equipment</t>
  </si>
  <si>
    <t>Repair of Child Nutrition Equipment</t>
  </si>
  <si>
    <t>Drinks for PLC for PD</t>
  </si>
  <si>
    <t>Supplies for Office Activity</t>
  </si>
  <si>
    <t>BHS Science supplies</t>
  </si>
  <si>
    <t xml:space="preserve">FCLC Pumpkin Patch Pumpkins </t>
  </si>
  <si>
    <t>BMS-COOKING SUPPLIES FOR HOME EC</t>
  </si>
  <si>
    <t>Storage box for Pre K</t>
  </si>
  <si>
    <t>Supplies for Healthy Families</t>
  </si>
  <si>
    <t>SPECIAL PROGRAMS (CTS):</t>
  </si>
  <si>
    <t>BHS College Fair refreshments</t>
  </si>
  <si>
    <t>BHS CTE Health Science</t>
  </si>
  <si>
    <t>Food and drink for Parent Meeting</t>
  </si>
  <si>
    <t>80 Bags for Recognition Awards</t>
  </si>
  <si>
    <t>BHS Ag Dept Supplies</t>
  </si>
  <si>
    <t>BEATY, CHRISTIE</t>
  </si>
  <si>
    <t>BREWER, LACEY</t>
  </si>
  <si>
    <t>CHILD, MADELINE</t>
  </si>
  <si>
    <t>DUVALL, LACY</t>
  </si>
  <si>
    <t>HAGOOD, NIKKI</t>
  </si>
  <si>
    <t>HOLLAND, JENNIFER</t>
  </si>
  <si>
    <t>MAITLEN, AMANDA</t>
  </si>
  <si>
    <t>MIELINSKI, BROOKE</t>
  </si>
  <si>
    <t>OJEDA, SANDRA</t>
  </si>
  <si>
    <t>SIERRA, ERIN</t>
  </si>
  <si>
    <t>SMITH, JENIFER</t>
  </si>
  <si>
    <t>SOUZA, JAMEY</t>
  </si>
  <si>
    <t>WO# 14500 - Ice services for BHS</t>
  </si>
  <si>
    <t>TEXAS FCCLA</t>
  </si>
  <si>
    <t>Chapter ID 12477-BHS Texas Conference</t>
  </si>
  <si>
    <t xml:space="preserve">23 $20 Rave Gift Cards for STAFF OF THE MONTH </t>
  </si>
  <si>
    <t>AL'S FORMAL WEAR</t>
  </si>
  <si>
    <t>BMS-TUXEDO SHIRTS FOR BAND</t>
  </si>
  <si>
    <t xml:space="preserve">Football T- SHIRTS </t>
  </si>
  <si>
    <t>CHRISTOPHER LEE COX</t>
  </si>
  <si>
    <t>Worked Parking at Football</t>
  </si>
  <si>
    <t>DANA GODI</t>
  </si>
  <si>
    <t>Refund of band equipment</t>
  </si>
  <si>
    <t>Toner Cartridges</t>
  </si>
  <si>
    <t>BMS-HOODIES FOR BASKETBALL</t>
  </si>
  <si>
    <t>BHS Cheer Supplies</t>
  </si>
  <si>
    <t>North- Backyard Bass Casting Pack</t>
  </si>
  <si>
    <t>HOSA- FUTURE HEALTH PROFESSIONALS</t>
  </si>
  <si>
    <t>State and NationalL dues</t>
  </si>
  <si>
    <t>Worked Parking for Football</t>
  </si>
  <si>
    <t xml:space="preserve">Main event Banquet Rental </t>
  </si>
  <si>
    <t>North- Library Books</t>
  </si>
  <si>
    <t>replenish petty cash</t>
  </si>
  <si>
    <t xml:space="preserve">Drinking Water  </t>
  </si>
  <si>
    <t>REAGAN SHANE ROTHERNBERGER</t>
  </si>
  <si>
    <t>Worked parking for Football</t>
  </si>
  <si>
    <t>Teaching Supplies Credit</t>
  </si>
  <si>
    <t>RIO MAMBO</t>
  </si>
  <si>
    <t>BMS-HOLIDAY LUNCH FOR FACULTY</t>
  </si>
  <si>
    <t xml:space="preserve">BMS-CAKE </t>
  </si>
  <si>
    <t xml:space="preserve">Supplies </t>
  </si>
  <si>
    <t xml:space="preserve">TIS SNACKS FOR AFTER SCHOOL TUTORING </t>
  </si>
  <si>
    <t>Liberty Staff Lunch</t>
  </si>
  <si>
    <t>AR Party Supplies</t>
  </si>
  <si>
    <t xml:space="preserve">BMS-COOKIES </t>
  </si>
  <si>
    <t xml:space="preserve">BMS-LUNCH </t>
  </si>
  <si>
    <t>TIS  FACULTY AND STAFF</t>
  </si>
  <si>
    <t>BMS-CUPCAKES FOR LUNCHEON</t>
  </si>
  <si>
    <t xml:space="preserve">CANDY FOR PARADE </t>
  </si>
  <si>
    <t xml:space="preserve">TIS-  FOOD FOR STAFF </t>
  </si>
  <si>
    <t>BMS-CONCESSION SUPPLIES</t>
  </si>
  <si>
    <t>TANNAHILL- GRIT REWARDS</t>
  </si>
  <si>
    <t xml:space="preserve">BHS School store SUPPLIES </t>
  </si>
  <si>
    <t>Admin Snacks for Store</t>
  </si>
  <si>
    <t>FAA Supplies</t>
  </si>
  <si>
    <t>BHS Student honor Roll Supplies</t>
  </si>
  <si>
    <t>WEST-Drinks/Water for Staff</t>
  </si>
  <si>
    <t>BHS Teacher Lunch Supplies</t>
  </si>
  <si>
    <t>BMS Staff Development Supplies</t>
  </si>
  <si>
    <t>BMS-SCHOLASTIC BOOK FAIR</t>
  </si>
  <si>
    <t>SONIC</t>
  </si>
  <si>
    <t>TIS-WINNERS OF HOLIDAY GAMES</t>
  </si>
  <si>
    <t>SPRING CREEK CATERING COMPANY LTD</t>
  </si>
  <si>
    <t>BHE  luncheon Supplies</t>
  </si>
  <si>
    <t>TUXEDO OUTLET</t>
  </si>
  <si>
    <t>BHS Band shirts</t>
  </si>
  <si>
    <t>BHS NHS shirts</t>
  </si>
  <si>
    <t>Coaches appreal</t>
  </si>
  <si>
    <t>KUETTEL, MASON</t>
  </si>
  <si>
    <t>North- fajita meals for PLC</t>
  </si>
  <si>
    <t>SELF, ASHLEY</t>
  </si>
  <si>
    <t>BHS Cheer Disney trip refund</t>
  </si>
  <si>
    <t>STALLCUP, ALYSON</t>
  </si>
  <si>
    <t>ZAMARRON MALDONADO, MARCOS</t>
  </si>
  <si>
    <t>ALERT SERVICES, INC.</t>
  </si>
  <si>
    <t>Sports Medicine Supplies</t>
  </si>
  <si>
    <t xml:space="preserve">TIS- DIGITAL RADIOS </t>
  </si>
  <si>
    <t>BHS CTE AV supplies</t>
  </si>
  <si>
    <t>BOBBI YOUNGBLOOD</t>
  </si>
  <si>
    <t>Met Student Attendance Goal for Nov</t>
  </si>
  <si>
    <t>bulbs for tech stock</t>
  </si>
  <si>
    <t xml:space="preserve">Drinks </t>
  </si>
  <si>
    <t>DAVID BITTERS</t>
  </si>
  <si>
    <t xml:space="preserve">Business lunch </t>
  </si>
  <si>
    <t>North - Computer Lab Printer</t>
  </si>
  <si>
    <t>Waste Toner Box replacement</t>
  </si>
  <si>
    <t>FCLC Classroom Furniture</t>
  </si>
  <si>
    <t>Drug Testing</t>
  </si>
  <si>
    <t>E &amp; T AMAYA INC</t>
  </si>
  <si>
    <t>SPECIAL PROGRAMS: CONTRACTED SERVICE</t>
  </si>
  <si>
    <t>EAGLE MOUNTAIN-SAGINAW ISD</t>
  </si>
  <si>
    <t>BMS Entry Fee for Basketball</t>
  </si>
  <si>
    <t>Best Attendance Award for Nov</t>
  </si>
  <si>
    <t>FORT WORTH CHAMBER OF COMMERCE</t>
  </si>
  <si>
    <t>Tier Membership Dues Renewal</t>
  </si>
  <si>
    <t xml:space="preserve">Safety Cones and signs </t>
  </si>
  <si>
    <t>Supplies for Entry Doors</t>
  </si>
  <si>
    <t>GAP WIRELESS, INC.</t>
  </si>
  <si>
    <t>BHS Gap Wireless</t>
  </si>
  <si>
    <t>hope squad t-shirts</t>
  </si>
  <si>
    <t>AC REPAIR IN ROOM 326</t>
  </si>
  <si>
    <t>supplies for Prek</t>
  </si>
  <si>
    <t>SPECIAL PROGAMS: TESTING KITS</t>
  </si>
  <si>
    <t>HOWARD DAVID LEWIS</t>
  </si>
  <si>
    <t>Tennis Ball Machine</t>
  </si>
  <si>
    <t>Lodging for Dell student Led Workshop</t>
  </si>
  <si>
    <t>Hotel for TASA Workshop</t>
  </si>
  <si>
    <t>Hotel for RTI Conference</t>
  </si>
  <si>
    <t>Hotel for Campus Visit</t>
  </si>
  <si>
    <t>Hotel for Texas Assessment Conference</t>
  </si>
  <si>
    <t>KARIM AYALA</t>
  </si>
  <si>
    <t>BHS Contracted service for band</t>
  </si>
  <si>
    <t>Student Field Trip</t>
  </si>
  <si>
    <t>MARC SUTTON</t>
  </si>
  <si>
    <t>MARK JONES</t>
  </si>
  <si>
    <t>Reimbursement for Training</t>
  </si>
  <si>
    <t>MARK SANCHEZ</t>
  </si>
  <si>
    <t>Fuel for transporation</t>
  </si>
  <si>
    <t>MATTHEW SIKES</t>
  </si>
  <si>
    <t>BHS Musical Performance Contract Service</t>
  </si>
  <si>
    <t>BMS-TEACHING SUPPLIES FOR 7TH</t>
  </si>
  <si>
    <t xml:space="preserve">TIS-DESK CALENDAR </t>
  </si>
  <si>
    <t>Copy paper for teachers</t>
  </si>
  <si>
    <t>Sp Ed Supplies for North</t>
  </si>
  <si>
    <t>copy paper  December</t>
  </si>
  <si>
    <t>TIS- PRINTER CARTRIDGE</t>
  </si>
  <si>
    <t>BHS band letter jacket</t>
  </si>
  <si>
    <t>METROPLOTIN AREA EMS AUTHORITY</t>
  </si>
  <si>
    <t>Paramedics for FB season</t>
  </si>
  <si>
    <t xml:space="preserve">Dyslexia Software support </t>
  </si>
  <si>
    <t>Ag truck toll fee</t>
  </si>
  <si>
    <t>Tolls for BMS football game</t>
  </si>
  <si>
    <t>TOLL CHARGES FOR BHS BAND</t>
  </si>
  <si>
    <t>Student Attendance goal for Nov</t>
  </si>
  <si>
    <t>PRO-ED</t>
  </si>
  <si>
    <t>Instructional/testing Supplies</t>
  </si>
  <si>
    <t>BMS-COFFEE SERVICE</t>
  </si>
  <si>
    <t>Reimbursement for parking at conference</t>
  </si>
  <si>
    <t>2018-2019 Purchasing Coop Fee</t>
  </si>
  <si>
    <t>ROSEN PUBLISHING GROUP</t>
  </si>
  <si>
    <t>BHS Social Studies dept Supplies</t>
  </si>
  <si>
    <t>voided</t>
  </si>
  <si>
    <t>SPECIAL PROGRAM: TV, TV</t>
  </si>
  <si>
    <t>BMS-BUBBLE GUM FOR SCIENCE</t>
  </si>
  <si>
    <t>Food and water for Press Box</t>
  </si>
  <si>
    <t>Admin Supplies</t>
  </si>
  <si>
    <t>BMS Supplies</t>
  </si>
  <si>
    <t xml:space="preserve">Business Dept Supplies </t>
  </si>
  <si>
    <t>SARAH TEICHLER</t>
  </si>
  <si>
    <t>BHS musical performances Contract supplies</t>
  </si>
  <si>
    <t>W/O #14892- REPLACE BAD FILTER</t>
  </si>
  <si>
    <t>TABLE X GROUP, INC.</t>
  </si>
  <si>
    <t>AT&amp;T Mobility Lease</t>
  </si>
  <si>
    <t>TEACHER PAY TEACHERS</t>
  </si>
  <si>
    <t>BMS-CURRICULUM FOR SCIENCE</t>
  </si>
  <si>
    <t>TEXAS DEPARTMENT OF PROTECTIVE</t>
  </si>
  <si>
    <t>FCLC Licensed Child Care Fee</t>
  </si>
  <si>
    <t>TENNIS OUTLET INC</t>
  </si>
  <si>
    <t>shirts, shorts and caps</t>
  </si>
  <si>
    <t>TEXAS DEPARTMENT OF</t>
  </si>
  <si>
    <t>secure site criminal history</t>
  </si>
  <si>
    <t>TEXAS HEALTH SPORTS MEDICINE</t>
  </si>
  <si>
    <t>Contract Athletic Training</t>
  </si>
  <si>
    <t>Catering - November</t>
  </si>
  <si>
    <t>THSBCA</t>
  </si>
  <si>
    <t>Baseball clinic/member</t>
  </si>
  <si>
    <t>BHS Art supplies</t>
  </si>
  <si>
    <t>FedEx Playoff Packets</t>
  </si>
  <si>
    <t>Voided</t>
  </si>
  <si>
    <t>Misc for classroom / campus</t>
  </si>
  <si>
    <t>TV and Mount for PLC</t>
  </si>
  <si>
    <t>BAKER EDMUNDS, LISA</t>
  </si>
  <si>
    <t>DUNCAN, CYNTHIA</t>
  </si>
  <si>
    <t>EVANS, KEVIN</t>
  </si>
  <si>
    <t>MYERS, ROWDY</t>
  </si>
  <si>
    <t>SUMMERHILL, CANDACE</t>
  </si>
  <si>
    <t>VICENTE, VIRGEN</t>
  </si>
  <si>
    <t>TEXAS DEPARMENT OF MOTOR VEHICLES</t>
  </si>
  <si>
    <t>REGISTRATION FEES FOR 5 VEHICLES</t>
  </si>
  <si>
    <t xml:space="preserve">Registrations for one trailer &amp; 2 VEHICLES </t>
  </si>
  <si>
    <t xml:space="preserve">AGENDA MEETING LUNCH WITH BOARD PRESIDENT </t>
  </si>
  <si>
    <t>BEST BUY #234</t>
  </si>
  <si>
    <t xml:space="preserve">Registration for CONFERENCE </t>
  </si>
  <si>
    <t>BLUETRACK</t>
  </si>
  <si>
    <t>4IMPRINT USA</t>
  </si>
  <si>
    <t>CITY OF FORT WORTH FIRE DEPARTMENT</t>
  </si>
  <si>
    <t>Permit for City of Fort Worth</t>
  </si>
  <si>
    <t>PAPA JOHN'S PIZZA</t>
  </si>
  <si>
    <t>game teal meal in FB playoffs</t>
  </si>
  <si>
    <t>Breakfast with board members</t>
  </si>
  <si>
    <t>EXXONMOBIL</t>
  </si>
  <si>
    <t>Fuel for vehicle</t>
  </si>
  <si>
    <t>BHS Coffee house Supplies</t>
  </si>
  <si>
    <t>BHS Theatre shirts</t>
  </si>
  <si>
    <t>Hooded Jackets</t>
  </si>
  <si>
    <t>ATS PREMIER TOURS &amp; TRAVEL, LLC</t>
  </si>
  <si>
    <t>BHS Honeycomb 1st installment</t>
  </si>
  <si>
    <t>BMS-DONUTS FOR NOVEMBER</t>
  </si>
  <si>
    <t>final payment for field trip</t>
  </si>
  <si>
    <t>BMS-CLASSROOM -Choir Supplies</t>
  </si>
  <si>
    <t>BHS Deca Parking</t>
  </si>
  <si>
    <t>OLIVE GARDEN</t>
  </si>
  <si>
    <t>Olive Garden for Teachers</t>
  </si>
  <si>
    <t>Liberty: Replenish Petty Cash</t>
  </si>
  <si>
    <t>replace petty cash 12-6</t>
  </si>
  <si>
    <t>PULIDO'S</t>
  </si>
  <si>
    <t>Pulido's Catering for Staff</t>
  </si>
  <si>
    <t>FAA 12 DAYS LUNCHEON</t>
  </si>
  <si>
    <t>WEST - Adult House SHIRTS</t>
  </si>
  <si>
    <t>TEXAS PUBLIC SERVICE ASSOCIATION</t>
  </si>
  <si>
    <t>competition registration</t>
  </si>
  <si>
    <t>WINDY GISCH</t>
  </si>
  <si>
    <t>BHS Floral</t>
  </si>
  <si>
    <t>WORTHINGTON DIRECT, INC</t>
  </si>
  <si>
    <t>TIS- STAND UP DESKS</t>
  </si>
  <si>
    <t xml:space="preserve">SPECIAL PROGRAMS: PRIDE COMMUNITY ACCESS </t>
  </si>
  <si>
    <t>POWELL, KELLEY</t>
  </si>
  <si>
    <t xml:space="preserve">Reimbursement for Supplies </t>
  </si>
  <si>
    <t>BHS Sr Celebration Supplies</t>
  </si>
  <si>
    <t>BHS Theater SUPPLIES</t>
  </si>
  <si>
    <t>14TH STREET VETERINARY CLINIC</t>
  </si>
  <si>
    <t>BHS Ag supplies</t>
  </si>
  <si>
    <t xml:space="preserve">Presentation Shirts </t>
  </si>
  <si>
    <t xml:space="preserve">W/O #14745- SEAL DUCT WORK </t>
  </si>
  <si>
    <t>BHS printer cartridges</t>
  </si>
  <si>
    <t>BMS-SPANISH CALENDAR</t>
  </si>
  <si>
    <t>West - Instructional book</t>
  </si>
  <si>
    <t>2nd grade supplies</t>
  </si>
  <si>
    <t>BMS-APRONS FOR LIFE SKILLS</t>
  </si>
  <si>
    <t>W/O #14273- FOR SOCCER -TIS</t>
  </si>
  <si>
    <t>Badge Holder - hard plastic</t>
  </si>
  <si>
    <t>BMS-LANYARDS FOR STUDENT IDs</t>
  </si>
  <si>
    <t>north-  Pre-k class supplies</t>
  </si>
  <si>
    <t>supplies for Makerspace</t>
  </si>
  <si>
    <t>W/O #14435- REPAIR SNAPPER WB</t>
  </si>
  <si>
    <t>4th grade supplies</t>
  </si>
  <si>
    <t>BMS-WIRELESS KEYBOARD AND MOUSE</t>
  </si>
  <si>
    <t>reorder item</t>
  </si>
  <si>
    <t>BMS-LAPTOP SCREEN PROTECTORS</t>
  </si>
  <si>
    <t>Dyslexia and RTI supplies</t>
  </si>
  <si>
    <t>North- Special ed supplies</t>
  </si>
  <si>
    <t>W/O #14518- CUSTOM FABRICATE</t>
  </si>
  <si>
    <t xml:space="preserve">Office Supplies for Child NUTRITION </t>
  </si>
  <si>
    <t>BMS-BOOKS FOR LIBRARY</t>
  </si>
  <si>
    <t>BMS- COLOR RIBBON FOR STUDENT</t>
  </si>
  <si>
    <t>BMS-DIGITAL CLOCK</t>
  </si>
  <si>
    <t xml:space="preserve">BMS-ANTI GLARE PROTECTION </t>
  </si>
  <si>
    <t>BMS-COLOR RIBBON FOR STUDENT</t>
  </si>
  <si>
    <t>North- Roberts class supplies</t>
  </si>
  <si>
    <t xml:space="preserve">TANNAHILL - CRATES </t>
  </si>
  <si>
    <t>North- Dford 1st grade class</t>
  </si>
  <si>
    <t>North- Wolford 1st grade</t>
  </si>
  <si>
    <t>North- Olivares classroom</t>
  </si>
  <si>
    <t>North- P.E supplies</t>
  </si>
  <si>
    <t xml:space="preserve">Curriculum for HEALTH PROFESSIONS </t>
  </si>
  <si>
    <t>West - Supplies for campus</t>
  </si>
  <si>
    <t>BMS-SUPPLIES FOR MATH DEPT.</t>
  </si>
  <si>
    <t>3rd grade supplies   Riker</t>
  </si>
  <si>
    <t xml:space="preserve">BMS-BLACK OUT CURTAINS </t>
  </si>
  <si>
    <t>North- 3rd grade class</t>
  </si>
  <si>
    <t>Instruction teacher resource</t>
  </si>
  <si>
    <t>North- Yanger Class supplies</t>
  </si>
  <si>
    <t>BMS-BOOKS FOR READING DEPT.</t>
  </si>
  <si>
    <t>BHS Math Supplies</t>
  </si>
  <si>
    <t xml:space="preserve">Supplies for 2nd grade </t>
  </si>
  <si>
    <t>BMS-STUDENT APPLICATIONS BOOK</t>
  </si>
  <si>
    <t xml:space="preserve">Instructional Material </t>
  </si>
  <si>
    <t xml:space="preserve">BMS- SCREEN PROTECTOR </t>
  </si>
  <si>
    <t>Professional resources for ELL</t>
  </si>
  <si>
    <t>3D Printer</t>
  </si>
  <si>
    <t xml:space="preserve">Award for Teacher Attendance </t>
  </si>
  <si>
    <t>CATAPULT SPORTS, LLC</t>
  </si>
  <si>
    <t>Final installment of Catapult System for Athletics</t>
  </si>
  <si>
    <t>West - Technology supplies</t>
  </si>
  <si>
    <t>Toner for Teachers</t>
  </si>
  <si>
    <t>HDMI Cables</t>
  </si>
  <si>
    <t xml:space="preserve">projector lamps   </t>
  </si>
  <si>
    <t>Epson Projector Lamp/Bulb</t>
  </si>
  <si>
    <t>printers</t>
  </si>
  <si>
    <t>CELINA ISD</t>
  </si>
  <si>
    <t>GATE RECEIPTS OWED TO CELINA ISD</t>
  </si>
  <si>
    <t>W/O #14853- FOR DRAINAGE DITCH</t>
  </si>
  <si>
    <t>BMS-SUPPLIES FOR LIBRARY</t>
  </si>
  <si>
    <t>West - Library Supplies</t>
  </si>
  <si>
    <t xml:space="preserve">BMS-ADHESIVE BOOK COVERS </t>
  </si>
  <si>
    <t>EMPIRE DISPOSAL, LTD.</t>
  </si>
  <si>
    <t>FOR AG PROGRAM IN CTE</t>
  </si>
  <si>
    <t>ENVIROMATIC SYSTEMS OF FT.</t>
  </si>
  <si>
    <t>W/O #14751- REPAIR EMS SYSTEM</t>
  </si>
  <si>
    <t>EXPRESS BOOKSELLERS</t>
  </si>
  <si>
    <t xml:space="preserve">Purchasing 500 books for READING EVENT </t>
  </si>
  <si>
    <t>FALCON, ANNA</t>
  </si>
  <si>
    <t>West - Library book supplies</t>
  </si>
  <si>
    <t>AED batteries</t>
  </si>
  <si>
    <t>Boxes for Thanksgiving Food</t>
  </si>
  <si>
    <t xml:space="preserve">W/O #13022- CUSTOM BUILD &amp; INSTALL CABINETS </t>
  </si>
  <si>
    <t xml:space="preserve">WO# 14459 - Plan and build CUSTOM CABINET </t>
  </si>
  <si>
    <t>W/O #14742- LOCATE LEAK IN WALL</t>
  </si>
  <si>
    <t>W/O #14234- TRUCK STOCK ITEMS</t>
  </si>
  <si>
    <t xml:space="preserve">W/O #14463- PROVIDE ICE FOR FOOTBALL </t>
  </si>
  <si>
    <t>BHS Ag Barn supplies</t>
  </si>
  <si>
    <t>BHS CTE equipment</t>
  </si>
  <si>
    <t>HOPE KING TEACHING RESOURCES INC</t>
  </si>
  <si>
    <t>IN CON-TROL CORP</t>
  </si>
  <si>
    <t xml:space="preserve">RE-PROGRAM BLANK DISPLAY BOARD </t>
  </si>
  <si>
    <t>INTERSTATE ALL BATTERY CENTER</t>
  </si>
  <si>
    <t>FOR FIRE PANELS DISTRICT-WIDE</t>
  </si>
  <si>
    <t>Athletic Business Dept Training Breakfast</t>
  </si>
  <si>
    <t>Food for Stadium Staff</t>
  </si>
  <si>
    <t>Lodging for National Board Conferece</t>
  </si>
  <si>
    <t>Hotel for SHARS Conference</t>
  </si>
  <si>
    <t>Hotel for Investment Officer Training</t>
  </si>
  <si>
    <t xml:space="preserve">Lodging for Training </t>
  </si>
  <si>
    <t>Cancellation Fee</t>
  </si>
  <si>
    <t xml:space="preserve">LANDSCAPING AROUND SIGN </t>
  </si>
  <si>
    <t>LEAD4WARD, LLC.</t>
  </si>
  <si>
    <t>Rockin' Review Conference</t>
  </si>
  <si>
    <t>Printer Toner Cartridges</t>
  </si>
  <si>
    <t>Paper and Office Supply Order</t>
  </si>
  <si>
    <t>W/O #14932- REPLACE CABLE &amp; CUTTER</t>
  </si>
  <si>
    <t>NEIMA JONES</t>
  </si>
  <si>
    <t>Refund on laptop</t>
  </si>
  <si>
    <t>NELCO</t>
  </si>
  <si>
    <t>Tax forms for Business Office</t>
  </si>
  <si>
    <t xml:space="preserve">Toll charge </t>
  </si>
  <si>
    <t>Supplies for PLC and PD</t>
  </si>
  <si>
    <t>BMS-GENERAL SUPPLIES FOR ISS</t>
  </si>
  <si>
    <t>FCLC Classroom Christmas</t>
  </si>
  <si>
    <t>Quarterly payment for mailing machine</t>
  </si>
  <si>
    <t>North- Positive proof labels</t>
  </si>
  <si>
    <t>BHS Coffee Service</t>
  </si>
  <si>
    <t>QUILL CORPORATION</t>
  </si>
  <si>
    <t xml:space="preserve">T-TESS Cube Refresher </t>
  </si>
  <si>
    <t>TIS- CHAIRS FOR THE CAFETERIA</t>
  </si>
  <si>
    <t>spelling bee enrollment fee</t>
  </si>
  <si>
    <t>WO# 13554 - Replace spray gun</t>
  </si>
  <si>
    <t xml:space="preserve"> REPLACE ALL BAD LIGHTS</t>
  </si>
  <si>
    <t>Workshop Fee</t>
  </si>
  <si>
    <t>STEPHENVILLE ISD</t>
  </si>
  <si>
    <t xml:space="preserve">GATE RECEIPTS OWED TO STEPHENVILLE FOR PLAYOFF GAME </t>
  </si>
  <si>
    <t>SUPPLYWORKS</t>
  </si>
  <si>
    <t>Laundry Supply for inline</t>
  </si>
  <si>
    <t>November - Food</t>
  </si>
  <si>
    <t>November - Warehouse</t>
  </si>
  <si>
    <t>November - Non-Food</t>
  </si>
  <si>
    <t>Policy Service Membership</t>
  </si>
  <si>
    <t>V</t>
  </si>
  <si>
    <t>TASBO Conference Fee</t>
  </si>
  <si>
    <t>Budget Conferenc Fee</t>
  </si>
  <si>
    <t xml:space="preserve">TASBO MEMBERSHIP RENEWAL </t>
  </si>
  <si>
    <t>TEACHER'S DISCOVERY</t>
  </si>
  <si>
    <t>BHS Social Studies supplies</t>
  </si>
  <si>
    <t>Registration for Dyslexia A TO Z  Conference</t>
  </si>
  <si>
    <t>BHS Band repairs</t>
  </si>
  <si>
    <t>Leadership Luncheon December</t>
  </si>
  <si>
    <t>THE EDU-SOURCE CORP</t>
  </si>
  <si>
    <t>Cafeteria tables for MS</t>
  </si>
  <si>
    <t>T-SNAP 2018-2019 Renewal</t>
  </si>
  <si>
    <t>UNITED STATES POSTAL SERVICE(RESERVE ACCOUNT)</t>
  </si>
  <si>
    <t>Annual Fee for PO Box; 12</t>
  </si>
  <si>
    <t xml:space="preserve">UIL FEE FOR GLEN ROSE VS AUBREY </t>
  </si>
  <si>
    <t xml:space="preserve">UIL FEE FOR CELINA VS STEPHENVILLE </t>
  </si>
  <si>
    <t>W/O #14890- REPAIR FREEZER @ BHS</t>
  </si>
  <si>
    <t>2018-2019 Wireless Services</t>
  </si>
  <si>
    <t xml:space="preserve">In-service Presentation </t>
  </si>
  <si>
    <t xml:space="preserve">BHS Gas Card for CTE EMPLOYEE </t>
  </si>
  <si>
    <t>BHS Gas for Holt Caterpillar</t>
  </si>
  <si>
    <t>2018-2019 Copier Leases</t>
  </si>
  <si>
    <t>BHS Coffee house supplies</t>
  </si>
  <si>
    <t>ALLEY, KAYCEE</t>
  </si>
  <si>
    <t>BENTON, DENISE</t>
  </si>
  <si>
    <t>CROW, HEATHER</t>
  </si>
  <si>
    <t>CUSTODIAL SERVICE FOR FISCAL YR</t>
  </si>
  <si>
    <t>INTFEN, CRYSTAL</t>
  </si>
  <si>
    <t>LASATER, COURTNEY</t>
  </si>
  <si>
    <t>LEE, HEATHER</t>
  </si>
  <si>
    <t>MULKEY, CHRISTINA</t>
  </si>
  <si>
    <t>NOLAND, CHRISTINA</t>
  </si>
  <si>
    <t>TUCKER, ROBIN</t>
  </si>
  <si>
    <t>VELIU, DAFINA</t>
  </si>
  <si>
    <t>ZEIGLER, MARIAH</t>
  </si>
  <si>
    <t>Indoor practice for golf</t>
  </si>
  <si>
    <t>ABBOTT-IPCO, INC</t>
  </si>
  <si>
    <t xml:space="preserve"> BHS sr cel - POINSETTIA </t>
  </si>
  <si>
    <t>Senior Celebration Supplies</t>
  </si>
  <si>
    <t xml:space="preserve">SOCCER EQUIPMENT </t>
  </si>
  <si>
    <t>CENTURY RESOURCES, LLC</t>
  </si>
  <si>
    <t>BMS-FUNDRAISING</t>
  </si>
  <si>
    <t>BHS cannded food drive winner</t>
  </si>
  <si>
    <t>North-Cub academy snacks</t>
  </si>
  <si>
    <t>North- Desserts for faculty</t>
  </si>
  <si>
    <t>BHS breakfast forCanned food</t>
  </si>
  <si>
    <t>BHS Door contest winner</t>
  </si>
  <si>
    <t xml:space="preserve">BHS Law ENFORCEMENT GEAR </t>
  </si>
  <si>
    <t>BHS FCCLA shirts</t>
  </si>
  <si>
    <t>BMS-SONIC DRINKS FOR FACULTY</t>
  </si>
  <si>
    <t>BHS Cheer TRIP</t>
  </si>
  <si>
    <t>TIS Chairs</t>
  </si>
  <si>
    <t xml:space="preserve">DAEP Faculty lunch </t>
  </si>
  <si>
    <t>Marketing Banners- Rebellious</t>
  </si>
  <si>
    <t>BHS prizes for senior CELE 2019</t>
  </si>
  <si>
    <t>Medals for varisty volleyball</t>
  </si>
  <si>
    <t>THE GYPSY BEAN LLC</t>
  </si>
  <si>
    <t>BHS Teacher appreciation</t>
  </si>
  <si>
    <t>TXCPSO INC: GREATER FORT WORTH CREATING PROBL</t>
  </si>
  <si>
    <t xml:space="preserve"> North- Veteran's Day Supplies</t>
  </si>
  <si>
    <t xml:space="preserve"> BHS Coffee House Supplies</t>
  </si>
  <si>
    <t xml:space="preserve">TIS-  TEACHER APPRECIATION </t>
  </si>
  <si>
    <t>Thanksgiving food Drive</t>
  </si>
  <si>
    <t>North- staff devl</t>
  </si>
  <si>
    <t>BHS Sr Celebration 2019</t>
  </si>
  <si>
    <t xml:space="preserve">TIS-CAKE </t>
  </si>
  <si>
    <t>Treats for TEACHERS</t>
  </si>
  <si>
    <t>Snack for Staff MEETING</t>
  </si>
  <si>
    <t>BMS-NEW MICROWAVE</t>
  </si>
  <si>
    <t xml:space="preserve">North- shirts </t>
  </si>
  <si>
    <t>BHS supplies</t>
  </si>
  <si>
    <t>TIS- CAKE AND PUNCH</t>
  </si>
  <si>
    <t>TIS -  TWELVE DAYS</t>
  </si>
  <si>
    <t xml:space="preserve">North- Cocoa and SMORES BAR </t>
  </si>
  <si>
    <t>GIFTS FOR 12 DAYS</t>
  </si>
  <si>
    <t>Coffee House SUPPLIES</t>
  </si>
  <si>
    <t>North- Developing SANTA PICS</t>
  </si>
  <si>
    <t>BMS-FOOD AND PARTY SUPPLIES</t>
  </si>
  <si>
    <t>watchdog T-shirts</t>
  </si>
  <si>
    <t>BHS cheer popcorn fundraiser</t>
  </si>
  <si>
    <t>BHS Law Enforcement shirts</t>
  </si>
  <si>
    <t>BHS Law Enforcement uniform</t>
  </si>
  <si>
    <t xml:space="preserve">Administration/leadership APPAREL </t>
  </si>
  <si>
    <t>Shirts for Operations</t>
  </si>
  <si>
    <t xml:space="preserve">RETIREMENT PARTY SUPPLIES </t>
  </si>
  <si>
    <t>desserts for Christmas lunch</t>
  </si>
  <si>
    <t>Athletic Supplies</t>
  </si>
  <si>
    <t xml:space="preserve">Gatorade and protein bars </t>
  </si>
  <si>
    <t>Gatorade items for hosted TEAMS</t>
  </si>
  <si>
    <t>AMERICAN ASSOCIATION OF NOTARIES</t>
  </si>
  <si>
    <t xml:space="preserve">Notary Package for NEW EMPLOYEE </t>
  </si>
  <si>
    <t>W/O #15076- EMERGENCY GLASS</t>
  </si>
  <si>
    <t>BHS Counseling supplies</t>
  </si>
  <si>
    <t>BHS CTE projector</t>
  </si>
  <si>
    <t>Entry Fee for Tennis JV</t>
  </si>
  <si>
    <t>Air Pump for Girls Basketball</t>
  </si>
  <si>
    <t>BHS Hosa Shirts</t>
  </si>
  <si>
    <t>BMS-SCANNER FOR BMS</t>
  </si>
  <si>
    <t>BHS technology supplies</t>
  </si>
  <si>
    <t>CONSTRUCTIVE PLAYTHINGS</t>
  </si>
  <si>
    <t>Rug for Pre K Classroom</t>
  </si>
  <si>
    <t>BHS Band</t>
  </si>
  <si>
    <t>CROWLEY HIGH SCHOOL</t>
  </si>
  <si>
    <t>Tennis Entry Fee</t>
  </si>
  <si>
    <t>Tennis Entry Fee- Varsity</t>
  </si>
  <si>
    <t>DANMARK AUDIO/VISUAL, LLC</t>
  </si>
  <si>
    <t xml:space="preserve">BHS rental equipment </t>
  </si>
  <si>
    <t>West - Supplies needed for GT</t>
  </si>
  <si>
    <t>Monitors/docking</t>
  </si>
  <si>
    <t>Toner for girls coaches</t>
  </si>
  <si>
    <t xml:space="preserve">Laptop for HR DIRECTOR </t>
  </si>
  <si>
    <t>toner for 3130</t>
  </si>
  <si>
    <t>Business Cards for Technology</t>
  </si>
  <si>
    <t>EDUC SERVICE CENTER REGION XI</t>
  </si>
  <si>
    <t>Security Conference Fee</t>
  </si>
  <si>
    <t xml:space="preserve">Workshop Region XI </t>
  </si>
  <si>
    <t xml:space="preserve">Bus Use </t>
  </si>
  <si>
    <t>transportation contract services</t>
  </si>
  <si>
    <t>SPILL KIT NEEDED FOR FUEL SYSTEM</t>
  </si>
  <si>
    <t>HEATHER GREENWOOD</t>
  </si>
  <si>
    <t>refund for 3 tickets to MAINSTAY FARM</t>
  </si>
  <si>
    <t>HENRY JAMES SCHRAUB</t>
  </si>
  <si>
    <t>BHS Band consultant</t>
  </si>
  <si>
    <t>Contract Services for SHARS billing</t>
  </si>
  <si>
    <t>BHS English dept</t>
  </si>
  <si>
    <t>JOHN CHERRY</t>
  </si>
  <si>
    <t>November - Bread</t>
  </si>
  <si>
    <t>LAW OFFICES OF ERIC G. RANSLEBEN</t>
  </si>
  <si>
    <t>LEGAL FEES - ARD REPRESENTATION</t>
  </si>
  <si>
    <t>software for 1st grade</t>
  </si>
  <si>
    <t>CONTRACTED SERVICES FOR AUDIOLOGY</t>
  </si>
  <si>
    <t>Patches put on uniform shirts</t>
  </si>
  <si>
    <t xml:space="preserve">Flower Arrangement for RETIREMENT PARTY </t>
  </si>
  <si>
    <t>MCCI</t>
  </si>
  <si>
    <t xml:space="preserve">Laserfiche license </t>
  </si>
  <si>
    <t>SPECIAL PROGRAMS: ONLINE</t>
  </si>
  <si>
    <t>BMS-CHAMPION RIBBONS</t>
  </si>
  <si>
    <t>Toll Charge, Nov 27 - Nov 30,</t>
  </si>
  <si>
    <t>November - Milk</t>
  </si>
  <si>
    <t>FCLC Classroom Supplies</t>
  </si>
  <si>
    <t>Leadership Christmas Luncheon</t>
  </si>
  <si>
    <t>Literacy kits for Kinder and 1ST</t>
  </si>
  <si>
    <t>POWER LIFT</t>
  </si>
  <si>
    <t>Resistance Bands for Weight ROOM</t>
  </si>
  <si>
    <t>November - Produce</t>
  </si>
  <si>
    <t>BMS-PERSONALIZED NOTE PADS</t>
  </si>
  <si>
    <t>Locker Plates</t>
  </si>
  <si>
    <t>Playoff Host locker tags</t>
  </si>
  <si>
    <t>SPECIAL PROGRAMS: PT EQUIP</t>
  </si>
  <si>
    <t>SPECIAL PROGRAMS: SCISSORS</t>
  </si>
  <si>
    <t xml:space="preserve">SPECIAL PROGRAMS: GLOVES </t>
  </si>
  <si>
    <t>SEGUIN HIGH SCHOOL</t>
  </si>
  <si>
    <t xml:space="preserve">Entry Fee for Tennis </t>
  </si>
  <si>
    <t xml:space="preserve">White Settlement PD </t>
  </si>
  <si>
    <t>SHC SERVICES INC</t>
  </si>
  <si>
    <t xml:space="preserve">SPECIAL PROGRAMS: 2018-2019 CONTRACT </t>
  </si>
  <si>
    <t xml:space="preserve">Heaters </t>
  </si>
  <si>
    <t>SMITH POULTRY AND GAME BIRD SUPPLIES</t>
  </si>
  <si>
    <t>Membership for girls basketball coach</t>
  </si>
  <si>
    <t>TAMS-WITMARK LLC</t>
  </si>
  <si>
    <t>BHS Theatre royalties for OZ</t>
  </si>
  <si>
    <t xml:space="preserve">Tasco membership </t>
  </si>
  <si>
    <t>TEXAS HIGH SCHOOL POWERLIFTING</t>
  </si>
  <si>
    <t>Membership fee for POWERLIFTING</t>
  </si>
  <si>
    <t>TESTOUT CORPORATION</t>
  </si>
  <si>
    <t>BHS  Curriculum Certification</t>
  </si>
  <si>
    <t>TEXTESOL V</t>
  </si>
  <si>
    <t>Toll Charge</t>
  </si>
  <si>
    <t>UIL-UNIVERSITY INTERSCHOLASTIC</t>
  </si>
  <si>
    <t>UIL music instruction</t>
  </si>
  <si>
    <t>Supplies for athletics</t>
  </si>
  <si>
    <t>Snacks and water -DL</t>
  </si>
  <si>
    <t>Special Programs Supplies</t>
  </si>
  <si>
    <t>Supplies for Nov Board Meeting Meal</t>
  </si>
  <si>
    <t>BHS Culinary SUPPLIES</t>
  </si>
  <si>
    <t>Supplies for PRESS BOX</t>
  </si>
  <si>
    <t>makerspace SUPPLIES</t>
  </si>
  <si>
    <t>BMS-GINGERBREAD</t>
  </si>
  <si>
    <t>TIS:   Classroom supplies</t>
  </si>
  <si>
    <t>CTS GROCERY TRIP</t>
  </si>
  <si>
    <t>BHS Culinary Supplies</t>
  </si>
  <si>
    <t>TIS:  Science Lab Supplies</t>
  </si>
  <si>
    <t>Art supplies</t>
  </si>
  <si>
    <t>BMS-CHRISTMAS TREE</t>
  </si>
  <si>
    <t xml:space="preserve">Central ADMIN LUNCHEON </t>
  </si>
  <si>
    <t xml:space="preserve">CTS GROCERY TRIP </t>
  </si>
  <si>
    <t>Polar Express SUPPLIES</t>
  </si>
  <si>
    <t>BHS Culinary</t>
  </si>
  <si>
    <t>STORAGE CONTAINERS</t>
  </si>
  <si>
    <t>Snacks and Water ESL</t>
  </si>
  <si>
    <t>WHITESTONE GOLF CLUB</t>
  </si>
  <si>
    <t>Golf course fee 2018-2019</t>
  </si>
  <si>
    <t xml:space="preserve">ANNUAL DISTRICT- ANT TREATMENT </t>
  </si>
  <si>
    <t xml:space="preserve">BMS AND BHS SUPPY ORDER </t>
  </si>
  <si>
    <t>CONVERGINT TECHNOLOGIES LLC</t>
  </si>
  <si>
    <t xml:space="preserve">Service on Duress BUTTONS </t>
  </si>
  <si>
    <t>Hotel for Solution Tree RtI</t>
  </si>
  <si>
    <t>West - Hotel Expenses RTI</t>
  </si>
  <si>
    <t>BHS Lodging for Solution Tree</t>
  </si>
  <si>
    <t>North- Hotel for Conference</t>
  </si>
  <si>
    <t>Hotel  for RTI Conference</t>
  </si>
  <si>
    <t>Hoel for TAHPERD Convention</t>
  </si>
  <si>
    <t>Lodging for 2018 TASPA Winter</t>
  </si>
  <si>
    <t xml:space="preserve">lodging for EMPLOYEE CONFERENCE </t>
  </si>
  <si>
    <t>BHS Lodging for CTE Conference</t>
  </si>
  <si>
    <t>Finance &amp; Operations Office</t>
  </si>
  <si>
    <t xml:space="preserve">TIS- COPIER PAPER </t>
  </si>
  <si>
    <t>office chair</t>
  </si>
  <si>
    <t>CHAIR - BUSINESS OFFICE</t>
  </si>
  <si>
    <t>HALEY, LORETTA</t>
  </si>
  <si>
    <t>HARBUCK, COURTNEY</t>
  </si>
  <si>
    <t>HORN, RACHEL</t>
  </si>
  <si>
    <t>SLATER, MCKENNA</t>
  </si>
  <si>
    <t>WINZER, JESSICA</t>
  </si>
  <si>
    <t xml:space="preserve">ESL Reimbursement </t>
  </si>
  <si>
    <t xml:space="preserve">BHS theatre SHIRTS </t>
  </si>
  <si>
    <t>FAA jackets for staff</t>
  </si>
  <si>
    <t>CITYVIEW LANES</t>
  </si>
  <si>
    <t>BHS Bowling practice for Sped</t>
  </si>
  <si>
    <t xml:space="preserve">BMS-DONUTS FOR 12 DAYS </t>
  </si>
  <si>
    <t>TIS HOTEL FOR TAHPERD</t>
  </si>
  <si>
    <t xml:space="preserve">Medals and plaques </t>
  </si>
  <si>
    <t>MONTHLY TOTAL</t>
  </si>
  <si>
    <t>YEAR TO DATE TOTAL</t>
  </si>
  <si>
    <t>NATIONAL FEDERATION OF STATE HIGH SCHOOL ASSO</t>
  </si>
  <si>
    <t>BHS Cheer safety course</t>
  </si>
  <si>
    <t xml:space="preserve">23 $20 Rave Gift Cards for -NOVEMBER STAFF OF THE MONTH </t>
  </si>
  <si>
    <t>North-Fleece Jackets</t>
  </si>
  <si>
    <t>Jackets for Staff</t>
  </si>
  <si>
    <t xml:space="preserve"> Sweatshirts and Pants</t>
  </si>
  <si>
    <t>Lunch for Band Students</t>
  </si>
  <si>
    <t>Pizza for Student Council</t>
  </si>
  <si>
    <t>DECA DISTRICT 7</t>
  </si>
  <si>
    <t>Competition registration fees</t>
  </si>
  <si>
    <t>FAA- PE Supplies</t>
  </si>
  <si>
    <t>BHS Law Supplies</t>
  </si>
  <si>
    <t>GRANBURY ISD ATHLETICS</t>
  </si>
  <si>
    <t>Refund to Granbury ISD cancelled event</t>
  </si>
  <si>
    <t>HARRIS COSTUMES</t>
  </si>
  <si>
    <t>BHS Drama Supplies</t>
  </si>
  <si>
    <t>North- Pvc pipe</t>
  </si>
  <si>
    <t>Supplies for Track Meet</t>
  </si>
  <si>
    <t>MUSIC THEATRE INTERNATIONAL</t>
  </si>
  <si>
    <t>Royalty for Drama</t>
  </si>
  <si>
    <t>Petty cash replacement</t>
  </si>
  <si>
    <t>Initial Petty Cash for 2018-19</t>
  </si>
  <si>
    <t>BMS-CONCESSION</t>
  </si>
  <si>
    <t>Snack Shack Supplies</t>
  </si>
  <si>
    <t>TIS- CANDY CANES</t>
  </si>
  <si>
    <t xml:space="preserve"> BHS Coffee House</t>
  </si>
  <si>
    <t>TIS- supplies</t>
  </si>
  <si>
    <t xml:space="preserve">West - Cakes for STAFF </t>
  </si>
  <si>
    <t xml:space="preserve">BMS-LAUNDRY SOAP FOR BOYS ATHLETICS </t>
  </si>
  <si>
    <t>BHS Concessions</t>
  </si>
  <si>
    <t xml:space="preserve"> FAA 12 days of CHRISTMAS</t>
  </si>
  <si>
    <t>BMS-12 DAYS OF CHRISTMAS</t>
  </si>
  <si>
    <t xml:space="preserve">North- popcorn MACHINE </t>
  </si>
  <si>
    <t xml:space="preserve"> Treats for TEACHERS </t>
  </si>
  <si>
    <t>TIS-  CUSTODIAL/CAFÉ APPRECIATION</t>
  </si>
  <si>
    <t>BMS-RETIREMENT PARTY</t>
  </si>
  <si>
    <t xml:space="preserve"> BMS 12 DAYS OF CHRISTMAS</t>
  </si>
  <si>
    <t>Liberty  Teachers LUNCHEON</t>
  </si>
  <si>
    <t>BMS-POINSETTIA'S</t>
  </si>
  <si>
    <t>BHS School store</t>
  </si>
  <si>
    <t>Competition entry fee</t>
  </si>
  <si>
    <t>Entry fees for UIL SOLO and EMSEMBLE</t>
  </si>
  <si>
    <t>GRIT council tshirts</t>
  </si>
  <si>
    <t>BHS Theatre return shipping COSTS</t>
  </si>
  <si>
    <t>CAMPISI'S</t>
  </si>
  <si>
    <t>Christmas Luncheon for PLC-</t>
  </si>
  <si>
    <t>Ginger Browns- Breakfast T. MATHEUS</t>
  </si>
  <si>
    <t>Instruction and HR office breakfast</t>
  </si>
  <si>
    <t>BUSINESS MANAGEMENT DAILY</t>
  </si>
  <si>
    <t>Administrative Professional renewal</t>
  </si>
  <si>
    <t>REGISTRATION RENEWALS/TITLE</t>
  </si>
  <si>
    <t>THINGS REMEMBERED</t>
  </si>
  <si>
    <t>Service Award Gift- 35 Years</t>
  </si>
  <si>
    <t xml:space="preserve">Retirement Gift </t>
  </si>
  <si>
    <t>PRINCIPAL DATA MEETING LUNCH</t>
  </si>
  <si>
    <t>Rosa's Cafe Admin Christmas lunch</t>
  </si>
  <si>
    <t xml:space="preserve">Dollar Tree supplies - admin </t>
  </si>
  <si>
    <t>Central Administration</t>
  </si>
  <si>
    <t>THE ROSE GARDEN</t>
  </si>
  <si>
    <t>Business Office Christmas lunch</t>
  </si>
  <si>
    <t xml:space="preserve">Business lunch with Board members </t>
  </si>
  <si>
    <t xml:space="preserve">Board Planning Meeting </t>
  </si>
  <si>
    <t xml:space="preserve">Business Lunch </t>
  </si>
  <si>
    <t>WHATABURGER</t>
  </si>
  <si>
    <t xml:space="preserve">Education Foundation Grant check day </t>
  </si>
  <si>
    <t>FIREHOUSE SUBS</t>
  </si>
  <si>
    <t xml:space="preserve">Fire House Subs- Dir- training lunch </t>
  </si>
  <si>
    <t xml:space="preserve">Personalized lab coats for NURSES </t>
  </si>
  <si>
    <t>ARLINGTON-JAMES BOWIE HIGH SCHOOL</t>
  </si>
  <si>
    <t>Wrestling Entry Fee Jan 2019</t>
  </si>
  <si>
    <t>Nov. 2018 background check</t>
  </si>
  <si>
    <t>TEACHER ATTENDANCE  AWARD</t>
  </si>
  <si>
    <t>W/O #13864- A/C REPAIR - TIS</t>
  </si>
  <si>
    <t>Canned Fuel for Chaffing DISHES</t>
  </si>
  <si>
    <t>Burners for chaffing dishes</t>
  </si>
  <si>
    <t>Pizza for RISE Christmas</t>
  </si>
  <si>
    <t>COMPASS BANK</t>
  </si>
  <si>
    <t>INTEREST PAYMENT ON LOAN</t>
  </si>
  <si>
    <t xml:space="preserve">INTEREST AND PRINCIPAL LOAN PYMT </t>
  </si>
  <si>
    <t>PLAYOFF GAME BREWER VS RYAN</t>
  </si>
  <si>
    <t>EDLIO LLC</t>
  </si>
  <si>
    <t>Edlio Renewal</t>
  </si>
  <si>
    <t>TEACHER ATTENDANCE AWARD</t>
  </si>
  <si>
    <t>BHS Science dept Biology</t>
  </si>
  <si>
    <t>Supplies for the Police Dept.</t>
  </si>
  <si>
    <t xml:space="preserve">2018-2019 Student TRANSPORTATION SERVICES </t>
  </si>
  <si>
    <t>Parts for Ovens at MS</t>
  </si>
  <si>
    <t>LANDSCAPE ADMIN</t>
  </si>
  <si>
    <t>Transportation RENO- LIGHTING</t>
  </si>
  <si>
    <t xml:space="preserve">PHASE (1) NEW MAIN OFFICE </t>
  </si>
  <si>
    <t xml:space="preserve">FOR DRYWALL INSTALLATION </t>
  </si>
  <si>
    <t xml:space="preserve">PLAN &amp; BUILD DISPLAYS </t>
  </si>
  <si>
    <t xml:space="preserve">Build rack for DISPLAYS </t>
  </si>
  <si>
    <t>REPAINT STAGE @ BHS</t>
  </si>
  <si>
    <t>REPLACE TOILET -ADMIN</t>
  </si>
  <si>
    <t xml:space="preserve"> PHASE (1) NEW MAIN OFFICE </t>
  </si>
  <si>
    <t xml:space="preserve">OOLS NEEDED </t>
  </si>
  <si>
    <t xml:space="preserve"> REPLACE TOILET -ADMIN</t>
  </si>
  <si>
    <t>MATERIALS NEEDED</t>
  </si>
  <si>
    <t>Blackout windows</t>
  </si>
  <si>
    <t xml:space="preserve"> REPLACE AIR COMPRESSOR </t>
  </si>
  <si>
    <t xml:space="preserve">Supplies - ARCHITECTURE PROGRAM </t>
  </si>
  <si>
    <t>SPECIAL PROGRAMS: PROTOCOLS</t>
  </si>
  <si>
    <t xml:space="preserve">Lunch for Jan. 7th - GUEST SPEAKER </t>
  </si>
  <si>
    <t>AIR FARE FOR SOLUTION TREE</t>
  </si>
  <si>
    <t>LAMAR HIGH SCHOOL</t>
  </si>
  <si>
    <t>Wrestling Entry fee for Jan</t>
  </si>
  <si>
    <t>TIS- LEARNING A-Z LICENSE</t>
  </si>
  <si>
    <t>LETICIA CARR</t>
  </si>
  <si>
    <t>BHS Drill team</t>
  </si>
  <si>
    <t>BHS colorguard props</t>
  </si>
  <si>
    <t xml:space="preserve">FUEL </t>
  </si>
  <si>
    <t>BUSINESS OFFICE SUPPLIES</t>
  </si>
  <si>
    <t>BHS Airfare for NY CITY CHOIR TRIP</t>
  </si>
  <si>
    <t xml:space="preserve">INSTALL T/P DRAIN LINES </t>
  </si>
  <si>
    <t>EPLACE TOILETS</t>
  </si>
  <si>
    <t>Extra Aprons for Child NUTRITION</t>
  </si>
  <si>
    <t xml:space="preserve">New badges for Curriculum COACHES </t>
  </si>
  <si>
    <t>Metal Cup TROPHYfor Brewer WINTER RALLY</t>
  </si>
  <si>
    <t>BHS CTE trip</t>
  </si>
  <si>
    <t>BHS CTE travel</t>
  </si>
  <si>
    <t>Toll charges for Nov 29 - Dec</t>
  </si>
  <si>
    <t>BEST ATTENDANCE FOR DECEMBER</t>
  </si>
  <si>
    <t>West - Supplies for GT</t>
  </si>
  <si>
    <t xml:space="preserve">TIS- ROLLS OF TAPE </t>
  </si>
  <si>
    <t>BHS Coffee supply for staff</t>
  </si>
  <si>
    <t>RESOURCES FOR EDUCATORS</t>
  </si>
  <si>
    <t xml:space="preserve">Renewal for Resources </t>
  </si>
  <si>
    <t>BHS Student Admit to Class</t>
  </si>
  <si>
    <t>BHS Supplies for BHS</t>
  </si>
  <si>
    <t>Breakfast for RISE students</t>
  </si>
  <si>
    <t xml:space="preserve">FCLC Classroom Snacks </t>
  </si>
  <si>
    <t>coffee, plates, napkins,</t>
  </si>
  <si>
    <t xml:space="preserve">Snacks for Crash Cart </t>
  </si>
  <si>
    <t xml:space="preserve">DEMOGRAPHIC SERVICES </t>
  </si>
  <si>
    <t xml:space="preserve">SPECIAL PROGRAMS: CONTRACTED SERVICES </t>
  </si>
  <si>
    <t xml:space="preserve">TEXTURE SPRAYER </t>
  </si>
  <si>
    <t>SILSBEE FORD</t>
  </si>
  <si>
    <t>PURCHASE NEW LOCKSMITH VAN</t>
  </si>
  <si>
    <t xml:space="preserve">install TVSS on SCOREBOARD </t>
  </si>
  <si>
    <t>REPLACE LIGHTS- BHS</t>
  </si>
  <si>
    <t>FOR ACCESS CONTROL</t>
  </si>
  <si>
    <t>SYNERGY 1 GROUP, INC</t>
  </si>
  <si>
    <t>AR book software</t>
  </si>
  <si>
    <t>Contract Services for Appraisal District</t>
  </si>
  <si>
    <t>Local District Update Base</t>
  </si>
  <si>
    <t xml:space="preserve">TEPSA renewal </t>
  </si>
  <si>
    <t xml:space="preserve">Membership </t>
  </si>
  <si>
    <t>TRINITY HIGH SCHOOL</t>
  </si>
  <si>
    <t>TSHA</t>
  </si>
  <si>
    <t>TSHA 2019 ANNUAL CONVENTION</t>
  </si>
  <si>
    <t>DESTINATION IMAGINATION</t>
  </si>
  <si>
    <t>FOR SPREADING MULCH</t>
  </si>
  <si>
    <t>BHS UIL competition material</t>
  </si>
  <si>
    <t>COOLER - BHS</t>
  </si>
  <si>
    <t xml:space="preserve">BLUE HAZE AFTER SCHOOL PROGRAM </t>
  </si>
  <si>
    <t>DUNCAN, TIMOTHY</t>
  </si>
  <si>
    <t>TASPA Conference in Austin</t>
  </si>
  <si>
    <t>Additional Services for DECEMBER</t>
  </si>
  <si>
    <t>MATH AT WORK - SOLUTION TREE CONF</t>
  </si>
  <si>
    <t>MILLS, LEESA</t>
  </si>
  <si>
    <t>Reimbursement for ESL testing</t>
  </si>
  <si>
    <t>RICHEY, RHONDA</t>
  </si>
  <si>
    <t xml:space="preserve">RTI CONFERENCE </t>
  </si>
  <si>
    <t>BHS AP training 1-15-19</t>
  </si>
  <si>
    <t>GEORGE SOLIS</t>
  </si>
  <si>
    <t>HVAC-R LICENSE RENEWAL</t>
  </si>
  <si>
    <t xml:space="preserve">Entry Fee Refund </t>
  </si>
  <si>
    <t>Boys basketball Supplies</t>
  </si>
  <si>
    <t>Coaches gear BMS</t>
  </si>
  <si>
    <t>fall baseball hats</t>
  </si>
  <si>
    <t>CITLALLY MEJIA</t>
  </si>
  <si>
    <t>Reimbursement for exam</t>
  </si>
  <si>
    <t>CROWLEY ISD</t>
  </si>
  <si>
    <t>TIS - TABLES FOR THE LIBRARY</t>
  </si>
  <si>
    <t>Donuts for Cheer team</t>
  </si>
  <si>
    <t>HEARTLAND COSTUMES</t>
  </si>
  <si>
    <t>BHS Theatre wands</t>
  </si>
  <si>
    <t xml:space="preserve">GIFTS FOR 12 DAYS OF CHRISTMAS </t>
  </si>
  <si>
    <t xml:space="preserve">START UP MONEY FOR BOYS B-BALL TOURNEY </t>
  </si>
  <si>
    <t>JASON NATAREN CHAVEZ</t>
  </si>
  <si>
    <t>Reimbursement for CBE EXAM</t>
  </si>
  <si>
    <t>BMS- BREAKFAST</t>
  </si>
  <si>
    <t>JOSHUA BAND BOOSTERS</t>
  </si>
  <si>
    <t>BMS-ENTRY FEES FOR HONORS BAND</t>
  </si>
  <si>
    <t>plant for Funeral</t>
  </si>
  <si>
    <t>MARY BLAKE</t>
  </si>
  <si>
    <t xml:space="preserve">Refund for over payment of BAND FEES </t>
  </si>
  <si>
    <t>North- supplies</t>
  </si>
  <si>
    <t xml:space="preserve">BHS Testing SUPPLIES </t>
  </si>
  <si>
    <t>NAEA</t>
  </si>
  <si>
    <t>Brewer High School NAHS cords</t>
  </si>
  <si>
    <t>North- 7 name tags</t>
  </si>
  <si>
    <t>West replenish petty cash</t>
  </si>
  <si>
    <t>BHS Cheer flags</t>
  </si>
  <si>
    <t>North-Deposit/ Inflatables</t>
  </si>
  <si>
    <t>TARRANT COUNTY JUNIOR LIVESTOCK SHOW ASSSN</t>
  </si>
  <si>
    <t>Entry fee for student's ANIMALS</t>
  </si>
  <si>
    <t xml:space="preserve">BMS- STU CO LEADERSHIP RETREAT </t>
  </si>
  <si>
    <t>BMS-BAND BOOKS AND CLARINET</t>
  </si>
  <si>
    <t>THE MUNTON GROUP</t>
  </si>
  <si>
    <t>2 Anti- Bullying assemblies</t>
  </si>
  <si>
    <t xml:space="preserve">North- Desitnation IMAGINATION </t>
  </si>
  <si>
    <t xml:space="preserve"> BHS School STORE SUPPLIES </t>
  </si>
  <si>
    <t>WEISSMAN'S/THEATRICAL SUPPLY, INC</t>
  </si>
  <si>
    <t xml:space="preserve">BHS DRILL TEAM </t>
  </si>
  <si>
    <t>WALTRIP, LINDY</t>
  </si>
  <si>
    <t>library start up petty cash</t>
  </si>
  <si>
    <t>Tech Polos BB Logo</t>
  </si>
  <si>
    <t xml:space="preserve">W/O #14989- LEAK DETECTOR FOR LIBRARY </t>
  </si>
  <si>
    <t>Oxygen Bottles for Trainer</t>
  </si>
  <si>
    <t>REPAIR WINDOWS (3) AT BHE</t>
  </si>
  <si>
    <t xml:space="preserve">REPLACE BROKEN WINDOW - BHE </t>
  </si>
  <si>
    <t xml:space="preserve">BHS Apple TV </t>
  </si>
  <si>
    <t>AZLE FOOTBALL BOOSTER CLUB</t>
  </si>
  <si>
    <t>Entry Fee for Boys and Girls TRACK</t>
  </si>
  <si>
    <t>Entry Fee for Girls and Boys TRACK</t>
  </si>
  <si>
    <t>AZLE HIGH SCHOOL</t>
  </si>
  <si>
    <t>Golf Entry Fee for Feb 19</t>
  </si>
  <si>
    <t>Golf Entry Fee for March 5</t>
  </si>
  <si>
    <t>BOB TAYLOR SPRAY EQUIPMENT INC</t>
  </si>
  <si>
    <t>W/O #13802- EQUIPMENT REPAIRS</t>
  </si>
  <si>
    <t xml:space="preserve">Entry Fee for Boys Track </t>
  </si>
  <si>
    <t>Entry Fee for Girls Track</t>
  </si>
  <si>
    <t>Softball pants</t>
  </si>
  <si>
    <t>CASA MANANA</t>
  </si>
  <si>
    <t>Casa Manana--2nd grade   Feb 13</t>
  </si>
  <si>
    <t>Toner for Tech Office</t>
  </si>
  <si>
    <t>toner for HP 553</t>
  </si>
  <si>
    <t xml:space="preserve">BUSINESS OFFICE - COLOR PRINTER </t>
  </si>
  <si>
    <t>CHANNING L. BETE COMPANY, INC</t>
  </si>
  <si>
    <t>CPR course completion cards</t>
  </si>
  <si>
    <t>CI PAVEMENT</t>
  </si>
  <si>
    <t xml:space="preserve">RESTRIPE, REPAINT &amp; STENCIL PARKING LOT </t>
  </si>
  <si>
    <t>Second order of soft drinks</t>
  </si>
  <si>
    <t xml:space="preserve">Office furniture for SUPT CONF ROOM </t>
  </si>
  <si>
    <t>SPECIAL PROGRAMS: FURNITURE</t>
  </si>
  <si>
    <t>TIS - PRINTER CARTRIDGES</t>
  </si>
  <si>
    <t>North-Toner for Amy's printer</t>
  </si>
  <si>
    <t>DFW COACHES CLINIC</t>
  </si>
  <si>
    <t xml:space="preserve">Membership Registration </t>
  </si>
  <si>
    <t>Business Cards</t>
  </si>
  <si>
    <t>BHS Counselor's Hall Pass</t>
  </si>
  <si>
    <t xml:space="preserve">TANNAHILL - REGISTRATION </t>
  </si>
  <si>
    <t xml:space="preserve">West - Registration </t>
  </si>
  <si>
    <t>Annual Software Renewal</t>
  </si>
  <si>
    <t>1st grade- presentation</t>
  </si>
  <si>
    <t>HANDY &amp; MORGAN</t>
  </si>
  <si>
    <t xml:space="preserve">FOR DISPOSAL REPAIR </t>
  </si>
  <si>
    <t xml:space="preserve">Contract Services  </t>
  </si>
  <si>
    <t>BHS Choir</t>
  </si>
  <si>
    <t>BMS BAND MUSIC, BOOKS</t>
  </si>
  <si>
    <t>JOSHUA HIGH SCHOOL</t>
  </si>
  <si>
    <t>Golf Entry Fee for March 4</t>
  </si>
  <si>
    <t>Airfare for Natl Board Conference</t>
  </si>
  <si>
    <t>Lodging for Conference</t>
  </si>
  <si>
    <t>KNOWBUDDY RESOURCES</t>
  </si>
  <si>
    <t>Print books for the library.</t>
  </si>
  <si>
    <t>KORIE HERNANDEZ</t>
  </si>
  <si>
    <t xml:space="preserve">reimburse for FINGER PRINTING </t>
  </si>
  <si>
    <t xml:space="preserve">REGISTRATION FOR CONFERENCE </t>
  </si>
  <si>
    <t>LOOKOUT BOOKS</t>
  </si>
  <si>
    <t>books for library</t>
  </si>
  <si>
    <t xml:space="preserve">CONTRACTED SERVICES FOR AUDIOLGY </t>
  </si>
  <si>
    <t>MANAGERPLUS SOLUTIONS, LLC.</t>
  </si>
  <si>
    <t xml:space="preserve">SOFTWARE AGREEMENT </t>
  </si>
  <si>
    <t>Fuel for Vehicles</t>
  </si>
  <si>
    <t>West - Need general supplies</t>
  </si>
  <si>
    <t>TIS- PRINTER CARTRIDGE AND DRUM</t>
  </si>
  <si>
    <t>TIS - MANILA PAPER</t>
  </si>
  <si>
    <t>Office Supply Order- Expo</t>
  </si>
  <si>
    <t xml:space="preserve">TIS - MANILA PAPER AND MARKERS </t>
  </si>
  <si>
    <t xml:space="preserve">North- plastic desk cover and LABELS </t>
  </si>
  <si>
    <t>Office supplies</t>
  </si>
  <si>
    <t>EMS for Hosted playoff games</t>
  </si>
  <si>
    <t>W/O #15069- REPLACE BROKEN TOILET</t>
  </si>
  <si>
    <t>W/O #15250- REPLACE PUMP</t>
  </si>
  <si>
    <t>Dyslexia Instruction/Testing</t>
  </si>
  <si>
    <t>TIS- SPELLING BEE MEDALS</t>
  </si>
  <si>
    <t>toll charges for ag truck</t>
  </si>
  <si>
    <t>Toll charges for ag trailer</t>
  </si>
  <si>
    <t>NORTHWEST ISD ATHLETIC DEPT</t>
  </si>
  <si>
    <t>Golf Entry Fee for Feb 5,2019</t>
  </si>
  <si>
    <t>SPECIAL PROGRAMS: HEARING DEVICE</t>
  </si>
  <si>
    <t>PARKER COUNTY CO-OP</t>
  </si>
  <si>
    <t xml:space="preserve">2018-2019 VISION SERVICES FOR WSISD VI STUDENTS </t>
  </si>
  <si>
    <t>TRUCK RENTALS FOR BAND</t>
  </si>
  <si>
    <t>Produce for December</t>
  </si>
  <si>
    <t>Supplies for students:</t>
  </si>
  <si>
    <t>RECOVERY PUMP</t>
  </si>
  <si>
    <t>Rehab and recovery supplies</t>
  </si>
  <si>
    <t xml:space="preserve">Parent newsletter </t>
  </si>
  <si>
    <t>BHS cheer</t>
  </si>
  <si>
    <t>SAGINAW HIGH SCHOOL ATHLETIC BOOSTER CLUB</t>
  </si>
  <si>
    <t>Golf Entry Fee for Feb 26</t>
  </si>
  <si>
    <t>Rug for Kindergarten class</t>
  </si>
  <si>
    <t>BMS-DRY ERASE BOARDS FOR 8TH</t>
  </si>
  <si>
    <t>W/O #15048- PAINT LONG BACK WALL</t>
  </si>
  <si>
    <t>W/O #10991- FOR REMODEL @ TRANSPORTATION</t>
  </si>
  <si>
    <t>WO# 14668 - Replace bad fire ALARM</t>
  </si>
  <si>
    <t>Conference Fees</t>
  </si>
  <si>
    <t>SPARTAN ATHLETIC CLUB</t>
  </si>
  <si>
    <t xml:space="preserve">Golf Entry Fee for Feb 22 </t>
  </si>
  <si>
    <t xml:space="preserve">DEODORIZING SERVICE </t>
  </si>
  <si>
    <t>2018-2019 CONTRACTED SERVICES- PT</t>
  </si>
  <si>
    <t>December - Food</t>
  </si>
  <si>
    <t>December - Non-Food</t>
  </si>
  <si>
    <t>TARLETON STATE UNIVERSITY</t>
  </si>
  <si>
    <t>Tarleton Jazz Festival entry</t>
  </si>
  <si>
    <t>TARRANT COUNTY COLLEGE</t>
  </si>
  <si>
    <t>BHS UIL competition</t>
  </si>
  <si>
    <t>Board Meeting Dinner 1/15/19</t>
  </si>
  <si>
    <t>THE POINT DANCE ACADEMY</t>
  </si>
  <si>
    <t xml:space="preserve">REFUND FOR DEPOSIT - AUDITORIUM </t>
  </si>
  <si>
    <t>THE UNIVERSITY OF TEXAS AT AUSTIN</t>
  </si>
  <si>
    <t>BHS Quest Subscription</t>
  </si>
  <si>
    <t>Tolls</t>
  </si>
  <si>
    <t xml:space="preserve">W/O #15090- FREEZER NOT WORKING </t>
  </si>
  <si>
    <t>UT-AUSTIN SCHOOL OF SOCIAL WORK</t>
  </si>
  <si>
    <t xml:space="preserve">PETTY CASH REIMBURSEMENT - OPERATIONS </t>
  </si>
  <si>
    <t xml:space="preserve">Waste Connections </t>
  </si>
  <si>
    <t>BHS Ag Dept</t>
  </si>
  <si>
    <t>BHS Westair rentals</t>
  </si>
  <si>
    <t xml:space="preserve">GASES &amp; TANK RENTALS - OPERATIONS </t>
  </si>
  <si>
    <t>WESTERN PSYCHOLOGICAL SERVICES</t>
  </si>
  <si>
    <t xml:space="preserve">BHS Gas money for POULTRY SHOW </t>
  </si>
  <si>
    <t xml:space="preserve">Travel expenses for 4 people- SOLUTION TREE </t>
  </si>
  <si>
    <t>FRENCH, REBEKAH</t>
  </si>
  <si>
    <t>TRIBBLE, LARRY</t>
  </si>
  <si>
    <t xml:space="preserve">Membership reimbursement  </t>
  </si>
  <si>
    <t xml:space="preserve">WEST - Painting with a twist SUPPLIES </t>
  </si>
  <si>
    <t xml:space="preserve">BHS Band santa hats for PARADE </t>
  </si>
  <si>
    <t>BHS Testing supplies</t>
  </si>
  <si>
    <t>north- glow sticks</t>
  </si>
  <si>
    <t>BHS lanyard</t>
  </si>
  <si>
    <t>TIS:  HOOT IN PAPERBACK</t>
  </si>
  <si>
    <t xml:space="preserve">West - Christmas costumes </t>
  </si>
  <si>
    <t>SUPPLIES FOR MUSIC/CHOIR</t>
  </si>
  <si>
    <t>TIS- 5TH GRADE MATH SUPPLIES</t>
  </si>
  <si>
    <t>BHS testing material</t>
  </si>
  <si>
    <t>BHS Coffee House purchase</t>
  </si>
  <si>
    <t>BHS Student lanyards</t>
  </si>
  <si>
    <t>North- Cub academy snacks</t>
  </si>
  <si>
    <t>pizza for Pizza patrol</t>
  </si>
  <si>
    <t>Pizza for student incentives</t>
  </si>
  <si>
    <t>Balance for 4th grade Austin</t>
  </si>
  <si>
    <t>Austin 4th Grade Trip</t>
  </si>
  <si>
    <t>little dribblers t-shirts</t>
  </si>
  <si>
    <t>JONES SCHOOL SUPPLY CO., INC.</t>
  </si>
  <si>
    <t>North- Paw award</t>
  </si>
  <si>
    <t>EDUMUNDS, LISA</t>
  </si>
  <si>
    <t xml:space="preserve">Reimbursement board member APPRECIATION </t>
  </si>
  <si>
    <t>Final BHS Choir Trip payment</t>
  </si>
  <si>
    <t xml:space="preserve">Student athletic TRAINER AWARDS </t>
  </si>
  <si>
    <t xml:space="preserve">Pen's for Football BANQUET </t>
  </si>
  <si>
    <t>NORTHWEST EQUIPMENT RENTALS, INC</t>
  </si>
  <si>
    <t xml:space="preserve">BHS Student CELEBRATION SUPPLIES </t>
  </si>
  <si>
    <t>SARA WOODSON</t>
  </si>
  <si>
    <t xml:space="preserve">BMS-TSHIRTS FOR STUCO </t>
  </si>
  <si>
    <t xml:space="preserve">TCC Dual Credit Bill - FALL CLASSES </t>
  </si>
  <si>
    <t>WILLIAM WOODRICH</t>
  </si>
  <si>
    <t>Catering food for Football BANQUET</t>
  </si>
  <si>
    <t>added lettering to GRIT SHIRTS</t>
  </si>
  <si>
    <t>North- Running club shirts</t>
  </si>
  <si>
    <t xml:space="preserve">TIS- CLASSROOM MATERIALS </t>
  </si>
  <si>
    <t>BHS School store SUPPLIES</t>
  </si>
  <si>
    <t xml:space="preserve"> hot choc, office SUPPLIES</t>
  </si>
  <si>
    <t>Paw Pantry SUPPLIES</t>
  </si>
  <si>
    <t>STUCO groceries</t>
  </si>
  <si>
    <t>TIS- staff BREAKFAST</t>
  </si>
  <si>
    <t>Paw Pantry Supplies</t>
  </si>
  <si>
    <t xml:space="preserve">North- Star WRITERS TABLE </t>
  </si>
  <si>
    <t>TIS -  TWELVE DAYS OF CHRISTMAS</t>
  </si>
  <si>
    <r>
      <t xml:space="preserve">Liberty </t>
    </r>
    <r>
      <rPr>
        <sz val="10"/>
        <color theme="1"/>
        <rFont val="Calibri"/>
        <family val="2"/>
        <scheme val="minor"/>
      </rPr>
      <t>DECORATIONS</t>
    </r>
  </si>
  <si>
    <t xml:space="preserve">BHS Drinks </t>
  </si>
  <si>
    <t>STUCO  Custodian DINNER</t>
  </si>
  <si>
    <t xml:space="preserve">North-Club SNACKS </t>
  </si>
  <si>
    <t>North- Popcorn</t>
  </si>
  <si>
    <t xml:space="preserve"> TIS -  CAKE AND PUNCH </t>
  </si>
  <si>
    <t>BHS STUCO CHRISTMAS PARTY</t>
  </si>
  <si>
    <t xml:space="preserve">BHS Staff APPRECIATION </t>
  </si>
  <si>
    <t xml:space="preserve"> BHS outdoor ed</t>
  </si>
  <si>
    <t xml:space="preserve"> North- Staff DEVELOP </t>
  </si>
  <si>
    <t>West - Christmas GIFTS FOR FAMILY</t>
  </si>
  <si>
    <t xml:space="preserve">BMS-VACUUM CLEANER </t>
  </si>
  <si>
    <t xml:space="preserve">Reimburse for fuel- </t>
  </si>
  <si>
    <t>BMS-HOUSE WINNER RESILIENCEY</t>
  </si>
  <si>
    <t>ALEDO ISD</t>
  </si>
  <si>
    <t>Entry Fee for BMS Track March</t>
  </si>
  <si>
    <t>North-  Toner for Snyder</t>
  </si>
  <si>
    <t>books for GT push in</t>
  </si>
  <si>
    <t>BHS Camera batters</t>
  </si>
  <si>
    <t>BMS-GAMES FOR BMS LIBRARY</t>
  </si>
  <si>
    <t>TOOL NEEDED FOR WHITE FLEET</t>
  </si>
  <si>
    <t>BMS-CLIPBOARDS FOR BMS</t>
  </si>
  <si>
    <t>Supplies for PLC</t>
  </si>
  <si>
    <t>Tanner Tee for Softball</t>
  </si>
  <si>
    <t>bookmark timers--sanders</t>
  </si>
  <si>
    <t>morning meeting books</t>
  </si>
  <si>
    <t>BMS-VIRTUAL REALITY GOGGLES</t>
  </si>
  <si>
    <t>Lanyards for Press Box passes</t>
  </si>
  <si>
    <t>BMS-GENERAL SUPPLIES</t>
  </si>
  <si>
    <t>BMS-HELEN KELLER- THE STORY</t>
  </si>
  <si>
    <t>BMS-SUPPLIES FOR LIFE SKILLS</t>
  </si>
  <si>
    <t xml:space="preserve">Math Manipulative's </t>
  </si>
  <si>
    <t>supplies  2nd grade  Crowdis</t>
  </si>
  <si>
    <t>Popcorn Machine</t>
  </si>
  <si>
    <t xml:space="preserve">West - Supplies needed </t>
  </si>
  <si>
    <t>supplies  2nd grade  crowdis</t>
  </si>
  <si>
    <t>supplies for Art</t>
  </si>
  <si>
    <t>supplies  2nd grade   Hyde</t>
  </si>
  <si>
    <t>BHS batteries for math dept</t>
  </si>
  <si>
    <t>North- Glo Supplies</t>
  </si>
  <si>
    <t>Vertical Jump testing system</t>
  </si>
  <si>
    <t>West - Restock supplies</t>
  </si>
  <si>
    <t>long reach heavy duty stapler</t>
  </si>
  <si>
    <t xml:space="preserve">BMS-DICTIONARY/THESAURUS' </t>
  </si>
  <si>
    <t>RTI supplies</t>
  </si>
  <si>
    <t>supplies--  3rd grade</t>
  </si>
  <si>
    <t>supplies  3rd grade  Marr</t>
  </si>
  <si>
    <t>library books</t>
  </si>
  <si>
    <t>BMS-SLEEVES FOR STUDENT ID'S</t>
  </si>
  <si>
    <t>Various items for Pre K</t>
  </si>
  <si>
    <t>West - 3rd grade level money</t>
  </si>
  <si>
    <t>North- supply for 4th grade</t>
  </si>
  <si>
    <t>West -Supplies for KG grade</t>
  </si>
  <si>
    <t>West - 4th grade level</t>
  </si>
  <si>
    <t>supplies  3rd grade</t>
  </si>
  <si>
    <t>BMS-ROLLING CART</t>
  </si>
  <si>
    <t>West - Pre-K grade level</t>
  </si>
  <si>
    <t>BHS UIL supplies</t>
  </si>
  <si>
    <t>BHS ESL supplies</t>
  </si>
  <si>
    <t>BMS-PLASTIC STORAGE</t>
  </si>
  <si>
    <t>BMS-COOKIE DECORATING KITS</t>
  </si>
  <si>
    <t>AMERICAN BUTTON MACHINES</t>
  </si>
  <si>
    <t>BHS CTE  AV Supplies</t>
  </si>
  <si>
    <t>REPLACE BROKEN GLASS AT BHE</t>
  </si>
  <si>
    <t xml:space="preserve">Background checks for DECEMBER </t>
  </si>
  <si>
    <t>W/O #14850- CONTINUING ED</t>
  </si>
  <si>
    <t>BLUE TARP FINANCIAL, INC</t>
  </si>
  <si>
    <t xml:space="preserve">W/O #15133- FOR TRUCK #650 </t>
  </si>
  <si>
    <t>BOUDREAU, MARSHA</t>
  </si>
  <si>
    <t>REIMBURSEMENT OF STUDENT TUITION</t>
  </si>
  <si>
    <t>CAMT</t>
  </si>
  <si>
    <t xml:space="preserve">2019 Conference </t>
  </si>
  <si>
    <t>Da-Lite Model B 96x96</t>
  </si>
  <si>
    <t>W/O #14777- A/C REPAIR IN CAFE</t>
  </si>
  <si>
    <t xml:space="preserve">W/O #15111- STOCK ITEMS </t>
  </si>
  <si>
    <t>COLLEGE PREP GENIUS</t>
  </si>
  <si>
    <t>Sat Books for SAT Class</t>
  </si>
  <si>
    <t>Commodities delivery</t>
  </si>
  <si>
    <t>INTEREST ON LOAN FOR BUSES -</t>
  </si>
  <si>
    <t>SPECIAL PROGRAMS: WORKBOOKS</t>
  </si>
  <si>
    <t xml:space="preserve">North- Toner </t>
  </si>
  <si>
    <t>BHS toner for printers</t>
  </si>
  <si>
    <t>INVOICE FOR 11.01.18 TO 11.30.18</t>
  </si>
  <si>
    <t>LEAK REPAIR - TIS</t>
  </si>
  <si>
    <t>EMPOWERING WRITERS, LLC</t>
  </si>
  <si>
    <t xml:space="preserve">registration </t>
  </si>
  <si>
    <t>FEDEX</t>
  </si>
  <si>
    <t xml:space="preserve">Sending playoff hosting PACKET </t>
  </si>
  <si>
    <t>BHS Science dept supplies</t>
  </si>
  <si>
    <t>Digital and eBooks for BHS</t>
  </si>
  <si>
    <t>Supplies for Police Dept.</t>
  </si>
  <si>
    <t xml:space="preserve">BMS-TRIP #25209 - BAND TRIP </t>
  </si>
  <si>
    <t>Boys basketball buses for the SEASON</t>
  </si>
  <si>
    <t>Buses for boys Basketball</t>
  </si>
  <si>
    <t xml:space="preserve">BUSES FOR DRAMA PRODUCTION </t>
  </si>
  <si>
    <t>Trip# 25009 Band to City of WS</t>
  </si>
  <si>
    <t>Trip# 24913 Band to Timber CREEK HS</t>
  </si>
  <si>
    <t xml:space="preserve">Buses for boys Basketball </t>
  </si>
  <si>
    <t>BHS Cheer Trip to Nursing HOME</t>
  </si>
  <si>
    <t>12/5/2018 Dual Credit English</t>
  </si>
  <si>
    <t xml:space="preserve">CTE- Ernie Holland CONSTRUCTION CLASS </t>
  </si>
  <si>
    <t>SPECIAL PROGRAMS: CTS TRIP</t>
  </si>
  <si>
    <t>BMS-TRANSPORTATION FOR BMS BAND</t>
  </si>
  <si>
    <t>Buses for BMS Boys Basketball</t>
  </si>
  <si>
    <t>BMS Girls Basketball buses</t>
  </si>
  <si>
    <t>BMS-TRANSPORTATION FOR PEROT</t>
  </si>
  <si>
    <t>BMS-TRIP #25209 BMS BAND</t>
  </si>
  <si>
    <t>BUSES FOR DRAMA PRODUCTION AT BHS</t>
  </si>
  <si>
    <t>bus use  Kindergarten  Dec 4,</t>
  </si>
  <si>
    <t>Transportation for kids VISION</t>
  </si>
  <si>
    <t xml:space="preserve">Transportation for District SPELLING BEE </t>
  </si>
  <si>
    <t xml:space="preserve">North- Kinder Field trip to LEGOLAND </t>
  </si>
  <si>
    <t>North-  Lego land field trip</t>
  </si>
  <si>
    <t>HERFF JONES</t>
  </si>
  <si>
    <t>Athletic Letter Jackets for FALL</t>
  </si>
  <si>
    <t>W/O #14893- REPAIR TRAULSEN</t>
  </si>
  <si>
    <t>High Limit switch for warming cabinet</t>
  </si>
  <si>
    <t>SPECIAL PROGRAMS: EVALUATION KIT</t>
  </si>
  <si>
    <t>EMERGENCY INSPECTION OF FIRE RISERS</t>
  </si>
  <si>
    <t xml:space="preserve">SEMI- ANNUAL INSPECTIONS </t>
  </si>
  <si>
    <t>BHS Choir score</t>
  </si>
  <si>
    <t xml:space="preserve">LODGING FOR RTI CONFERENCE </t>
  </si>
  <si>
    <t>BHS Airfare for EMPLOYEE -NTSA CONF</t>
  </si>
  <si>
    <t xml:space="preserve">BHS Airfare and lodging fo2 EMPLOYEES </t>
  </si>
  <si>
    <t>KELLOGG &amp; SOVEREIGN CONSULTING, LLC</t>
  </si>
  <si>
    <t xml:space="preserve">Professional E Rate MGMT SERVICES </t>
  </si>
  <si>
    <t>West - Supplies for 2nd grade</t>
  </si>
  <si>
    <t>West - Grade level supplies</t>
  </si>
  <si>
    <t>Registration for Lead4ward</t>
  </si>
  <si>
    <t>North- learning A-z</t>
  </si>
  <si>
    <t xml:space="preserve">Supplies needed for INSTRUCTION </t>
  </si>
  <si>
    <t>teaching supplies</t>
  </si>
  <si>
    <t>BMS-INSTRUCTIONAL SUPPLIES</t>
  </si>
  <si>
    <t>BHS History Supplies</t>
  </si>
  <si>
    <t>Toner Cartridges for PLC</t>
  </si>
  <si>
    <t xml:space="preserve">OFFICE SUPPLIES NEEDED - OPERATIONS </t>
  </si>
  <si>
    <t>copy paper  JANUARY</t>
  </si>
  <si>
    <t>Office supplies for police</t>
  </si>
  <si>
    <t>Various Instructional SUPPLIES</t>
  </si>
  <si>
    <t>Reimbursement for parking- TASB</t>
  </si>
  <si>
    <t>BMS-REPLACEMENT NAME BADGE</t>
  </si>
  <si>
    <t>MIlk Invoices for Dec 2018</t>
  </si>
  <si>
    <t>West - Supplies with Pre-K</t>
  </si>
  <si>
    <t>W/O #14696- NEW BAY ROLL UP DOOR</t>
  </si>
  <si>
    <t>PHILLIPS WELDING SUPPLY, INC</t>
  </si>
  <si>
    <t xml:space="preserve">W/O #15316- FOR SAFETY NETTING </t>
  </si>
  <si>
    <t>PLUMBERS CONTINUING EDUCATION INC</t>
  </si>
  <si>
    <t>CONTINUING EDUCATION CLASS</t>
  </si>
  <si>
    <t>MEAL MONEY</t>
  </si>
  <si>
    <t>West - 2nd grade supplies</t>
  </si>
  <si>
    <t>2000 First Class Learning</t>
  </si>
  <si>
    <t>BMS- PERSONALIZED NOTE PADS</t>
  </si>
  <si>
    <t>North- Engineering Poster</t>
  </si>
  <si>
    <t xml:space="preserve">W/O #15225- LADIES RESTROOM </t>
  </si>
  <si>
    <t>Adobe site license software RENEWAL</t>
  </si>
  <si>
    <t>Entry Fee for Tennis Feb 12</t>
  </si>
  <si>
    <t>Entry fee for Tennis Feb 15</t>
  </si>
  <si>
    <t>Entry fee for Tennis March</t>
  </si>
  <si>
    <t>LEGAL NOTICE PUBLISHING</t>
  </si>
  <si>
    <t>December - Warehouse</t>
  </si>
  <si>
    <t>UIL Academic entry</t>
  </si>
  <si>
    <t>BHS Dual Credit grant payment</t>
  </si>
  <si>
    <t xml:space="preserve">MEMBERSHIP RENEWAL </t>
  </si>
  <si>
    <t>Registration for ASST PRINCIPAL</t>
  </si>
  <si>
    <t>TEXAS MADE BUSINESS SOLUTIONS</t>
  </si>
  <si>
    <t xml:space="preserve">WO# 15305 - Provide CPR TRAINING </t>
  </si>
  <si>
    <t>Credit By Exams for January</t>
  </si>
  <si>
    <t xml:space="preserve">Board Member Dinner </t>
  </si>
  <si>
    <t>TRINITY ARMORED CAR SERVICE</t>
  </si>
  <si>
    <t>W/O #15318- FREEZER REPAIR @ TIS</t>
  </si>
  <si>
    <t>SPECIAL PROGRAMS: REGISTRATION</t>
  </si>
  <si>
    <t>FCLC Classroom Christmas PARTY</t>
  </si>
  <si>
    <t>snacks for nurses office</t>
  </si>
  <si>
    <t xml:space="preserve">BMS- Cooking Suppllies </t>
  </si>
  <si>
    <t>tis-  date stamp, cotton</t>
  </si>
  <si>
    <t xml:space="preserve">SPECIAL PROGRAMS: PRIDE GROCERIES </t>
  </si>
  <si>
    <t>BHS Culinary groceries</t>
  </si>
  <si>
    <t xml:space="preserve">BHS Academic letter jacket CEREMONY </t>
  </si>
  <si>
    <t>BMS nurse office snacks</t>
  </si>
  <si>
    <t>Staff treats. 12th day of CHRISTMAS</t>
  </si>
  <si>
    <t xml:space="preserve">TEXAS STEM CONFERENCE </t>
  </si>
  <si>
    <t>1/22/2019    Budget Academy</t>
  </si>
  <si>
    <t xml:space="preserve">Boys basketball buses </t>
  </si>
  <si>
    <t>BMS-TRANSPORTATION FOR BAND</t>
  </si>
  <si>
    <t>This PO is to cover the DIFF - TRIP 691581</t>
  </si>
  <si>
    <t xml:space="preserve">Trip# 25009 Band to City of WS REC </t>
  </si>
  <si>
    <t xml:space="preserve">bus use  Kindergarten  - MAINSTAY FARMS </t>
  </si>
  <si>
    <t xml:space="preserve">CTE- CONSTRUCTION CLASS </t>
  </si>
  <si>
    <t>BMS-TRANSPORTATION FOR PEROT MUSEUM</t>
  </si>
  <si>
    <t xml:space="preserve">BMS-TRIP #25209 BAND </t>
  </si>
  <si>
    <t>BMS-TRIP #25209 TO COVER SHORTAGE</t>
  </si>
  <si>
    <t>Conference Registation</t>
  </si>
  <si>
    <t>ADRENALINE FUNDRAISING</t>
  </si>
  <si>
    <t>Girls Soccer Fundraiser</t>
  </si>
  <si>
    <t>Spring FFA membership</t>
  </si>
  <si>
    <t>BLUE &amp; GOLD SAUSAGE CO., LLC</t>
  </si>
  <si>
    <t>BHS FFA Fundraiser</t>
  </si>
  <si>
    <t xml:space="preserve">WINTER GEAR </t>
  </si>
  <si>
    <t>EUNICE LOPEZ</t>
  </si>
  <si>
    <t>Start up cash for Daddy DAUGHTER DANCE</t>
  </si>
  <si>
    <t>Polar Plunge T-Shirts</t>
  </si>
  <si>
    <t>Liberty bus for District SPELLING BEE</t>
  </si>
  <si>
    <t>BMS CHOIR</t>
  </si>
  <si>
    <t>BHS LUNCH FOR TEACHERS testing</t>
  </si>
  <si>
    <t>BHS Cheer Disney trip final Pymt</t>
  </si>
  <si>
    <t>plant for MEMORIAL</t>
  </si>
  <si>
    <t>MEMBEAN</t>
  </si>
  <si>
    <t xml:space="preserve">BMS-TROPHIES FOR B-BALL TOURNEY </t>
  </si>
  <si>
    <t>Replenish Petty Cash Funds</t>
  </si>
  <si>
    <t xml:space="preserve">TIS- STAFF DEVELOPMENT </t>
  </si>
  <si>
    <t>FAA- SNACK SHACK</t>
  </si>
  <si>
    <t>TIS- INTRAMURAL SUPPLIES</t>
  </si>
  <si>
    <t xml:space="preserve">TIS-teacher BREAKFAST SUPPLIES </t>
  </si>
  <si>
    <t xml:space="preserve">BHS school store SUPPLIES </t>
  </si>
  <si>
    <t>TIS- STAFF DEVELOPMENT</t>
  </si>
  <si>
    <t>house party, snack SHACK</t>
  </si>
  <si>
    <t xml:space="preserve">BHS School STORE SUPPLIES </t>
  </si>
  <si>
    <t>BMS-CONCEssion</t>
  </si>
  <si>
    <t>North- StAAr SUPPLIES</t>
  </si>
  <si>
    <t>BMS-COOKIE TRAYS</t>
  </si>
  <si>
    <t xml:space="preserve">BHS  Student CELEBRATION </t>
  </si>
  <si>
    <t>SEA LIFE GRAPEVINE</t>
  </si>
  <si>
    <t>1st grade Sea Life Grapevine</t>
  </si>
  <si>
    <t xml:space="preserve">FBO J Suarez- SCHOLARSHIP </t>
  </si>
  <si>
    <t>Spring FFA Membership</t>
  </si>
  <si>
    <t>TEXAS WOMAN'S UNIVERSITY</t>
  </si>
  <si>
    <t>TIS-REGISTRATION FOR EDIBLE CAR</t>
  </si>
  <si>
    <t>GUTIERREZ, MARISSA</t>
  </si>
  <si>
    <t>Refund of Processing Fee</t>
  </si>
  <si>
    <t>BHS Theatre supplies for UIL</t>
  </si>
  <si>
    <t>REPAIR HEATER -WEST</t>
  </si>
  <si>
    <t>Apple TV( 4th generation)</t>
  </si>
  <si>
    <t>ARLINGTON HEIGHTS HIGH SCHOOL</t>
  </si>
  <si>
    <t>Entry fee for softball march</t>
  </si>
  <si>
    <t>Entry Fee for Golf March 21</t>
  </si>
  <si>
    <t>BMS-"GO GREEN SCREEN" GRANT</t>
  </si>
  <si>
    <t>W/O #15149- REPAIR ICE MACHINE</t>
  </si>
  <si>
    <t>BEST BUY BUSINESS ADVANTAGE ACCOUNT</t>
  </si>
  <si>
    <t>External VR</t>
  </si>
  <si>
    <t xml:space="preserve">Work Order #: 15385 OPERATIONS SPRAYER </t>
  </si>
  <si>
    <t>Trimming Trees</t>
  </si>
  <si>
    <t>BREAKOUT EDU</t>
  </si>
  <si>
    <t>GRANT--  Its Time to Breakout</t>
  </si>
  <si>
    <t>BMS-GRANT TEACHING SUPPLIES</t>
  </si>
  <si>
    <t>SERVICE FEE CHARGED - OPERATIONS</t>
  </si>
  <si>
    <t>TIS - PROJECTOR REPLACEMENT</t>
  </si>
  <si>
    <t>Epson PowerLite 107-3LCD</t>
  </si>
  <si>
    <t>BHS Technology Quote #KJLC806</t>
  </si>
  <si>
    <t>BHS Technology quote KJLC690</t>
  </si>
  <si>
    <t xml:space="preserve">FOR VISITORS BLEACHERS </t>
  </si>
  <si>
    <t>REPLACING LIGHTS</t>
  </si>
  <si>
    <t>Pizza for Tech Kids</t>
  </si>
  <si>
    <t xml:space="preserve">City Cleaners-  Santa Suit &amp; TABLECLOTHS </t>
  </si>
  <si>
    <t>Air Lift Stools</t>
  </si>
  <si>
    <t>CTHS SPORTS BOOSTER CLUB INC</t>
  </si>
  <si>
    <t>Entry Fee for Tennis March 6</t>
  </si>
  <si>
    <t>BMS-TEMPORARY ID BADGE BOOKS</t>
  </si>
  <si>
    <t>DEANNA C JUMP, INC</t>
  </si>
  <si>
    <t xml:space="preserve">registration for Get Your TEACH ON </t>
  </si>
  <si>
    <t xml:space="preserve">DIRECTOR'S PRINTER </t>
  </si>
  <si>
    <t xml:space="preserve">North- Yellow Toner </t>
  </si>
  <si>
    <t>BUSINESS OFFICE LAPTOPS</t>
  </si>
  <si>
    <t>James Laptop Upgrade and Ext.</t>
  </si>
  <si>
    <t>TEX-AN NG Charges</t>
  </si>
  <si>
    <t xml:space="preserve">Department Letterhead </t>
  </si>
  <si>
    <t>ENTENMANN-ROVIN COMPANY</t>
  </si>
  <si>
    <t>Seal fell off Chief badge,</t>
  </si>
  <si>
    <t>Print and eBooks from TAYSHAS</t>
  </si>
  <si>
    <t>FORT WORTH STAR TELEGRAM</t>
  </si>
  <si>
    <t>BMS-NEWSPAPERS FOR WRITING</t>
  </si>
  <si>
    <t>GOODMAN DISTRIBUTION INC</t>
  </si>
  <si>
    <t xml:space="preserve">HVAC SYSTEM FOR FRONT OFFICE </t>
  </si>
  <si>
    <t>"Jumping Bears Tinkling"</t>
  </si>
  <si>
    <t>AED pads for new AED's</t>
  </si>
  <si>
    <t>W/O #14729- REPAIR MILK BOX</t>
  </si>
  <si>
    <t>WO# 14441 - Replace bad THERMOSTAT</t>
  </si>
  <si>
    <t xml:space="preserve">2017-2018 ANNUAL FIRE INSPECTIONS </t>
  </si>
  <si>
    <t>INTERVAL TECHNOLOGY PARTNERS</t>
  </si>
  <si>
    <t>BHS Tutorial software program</t>
  </si>
  <si>
    <t>BHS Choir books</t>
  </si>
  <si>
    <t>LEADERSHIP TEAM MEETING</t>
  </si>
  <si>
    <t>December Bread Invoices</t>
  </si>
  <si>
    <t>Classroom Educational Toys</t>
  </si>
  <si>
    <t>BHS ESL Learning A-Z</t>
  </si>
  <si>
    <t>Learning A-Z License RENEWAL</t>
  </si>
  <si>
    <t>LONE STAR COACHING CLINIC</t>
  </si>
  <si>
    <t xml:space="preserve">Lone Star Coaching Clinic </t>
  </si>
  <si>
    <t>Shoulder patches</t>
  </si>
  <si>
    <t>MAGAZINES SUBSCRIPTIONS PTP</t>
  </si>
  <si>
    <t xml:space="preserve">Magazine subscriptions </t>
  </si>
  <si>
    <t xml:space="preserve">Flower arrangements from BOARD </t>
  </si>
  <si>
    <t xml:space="preserve">CAP OFF SINKS IN FIELDHOUSE </t>
  </si>
  <si>
    <t>MATHWARM-UPS.COM</t>
  </si>
  <si>
    <t>3rd and 4th grade Countdown- STAAR</t>
  </si>
  <si>
    <t>BMS-COLORED PAPER &amp; CARDSTOCK</t>
  </si>
  <si>
    <t>TIS-  DATE STAMP AND REFILL</t>
  </si>
  <si>
    <t>TIS-SUPPLIES</t>
  </si>
  <si>
    <t xml:space="preserve">BUSINESS OFFICE - date stamps </t>
  </si>
  <si>
    <t xml:space="preserve">BHS Custom stamps </t>
  </si>
  <si>
    <t>TIS- CARTIRDGES</t>
  </si>
  <si>
    <t>North- Office Supplies</t>
  </si>
  <si>
    <t>supplies-- cardstock</t>
  </si>
  <si>
    <t>STATE INSPECTIONS FOR VEHICLES</t>
  </si>
  <si>
    <t>STATE INSPECTION FOR SPED BUS</t>
  </si>
  <si>
    <t>W/O #15249- REPLACE FEEDER</t>
  </si>
  <si>
    <t>membership for trainers</t>
  </si>
  <si>
    <t>College Algebra Package</t>
  </si>
  <si>
    <t>Medal's for power lifting</t>
  </si>
  <si>
    <t>Tollway Fees</t>
  </si>
  <si>
    <t>TOLL CHARGES FOR VEHICLE #658</t>
  </si>
  <si>
    <t>W/O #15161- PARTS FOR GROUNDS EQUIP</t>
  </si>
  <si>
    <t xml:space="preserve">BMS-TUTORING SNACKS </t>
  </si>
  <si>
    <t xml:space="preserve">SPECIAL PROGRAMS: TONER </t>
  </si>
  <si>
    <t>Office and Classroom Supplies</t>
  </si>
  <si>
    <t>BMS- TONER</t>
  </si>
  <si>
    <t>FCLC Western Program Props</t>
  </si>
  <si>
    <t>W/O #15162- FOR SOCCER FIELD</t>
  </si>
  <si>
    <t>POWELL, LESLIE</t>
  </si>
  <si>
    <t xml:space="preserve">Refund for STUDENT </t>
  </si>
  <si>
    <t>Equipment for girls B-BALL</t>
  </si>
  <si>
    <t>QPR INSTITUTE, INC</t>
  </si>
  <si>
    <t xml:space="preserve">QPR re-certification for EMPLOYEES </t>
  </si>
  <si>
    <t>SEXUAL ABUSE AWARENESS TRAINING PROGRAM</t>
  </si>
  <si>
    <t>sexual abuse awareness TRAINING</t>
  </si>
  <si>
    <t>supplies--</t>
  </si>
  <si>
    <t>Drinks and Dessert for RISE</t>
  </si>
  <si>
    <t>books 2nd grade</t>
  </si>
  <si>
    <t>SUPPLIES    kinder   Kaag</t>
  </si>
  <si>
    <t xml:space="preserve">SPECIAL PROGRAMS: 2018-2019 CONTRACTED SERVICE </t>
  </si>
  <si>
    <t>FIRE PANEL ISSUES @ BHS</t>
  </si>
  <si>
    <t>W/O #14667- ADD ACCESS CONTROL - BHS</t>
  </si>
  <si>
    <t>Women's  Conference- Feb. 28</t>
  </si>
  <si>
    <t xml:space="preserve">Administrative Assistants CONFERENCE </t>
  </si>
  <si>
    <t>SKYWARD DATABASE UPGRADE TO</t>
  </si>
  <si>
    <t>2018-2019 CONTRACTED SERVICES</t>
  </si>
  <si>
    <t xml:space="preserve">BHS TASA registration </t>
  </si>
  <si>
    <t>Boardbook Subscription</t>
  </si>
  <si>
    <t>TCASE</t>
  </si>
  <si>
    <t>TCU COLLEGE OF EDUCATION</t>
  </si>
  <si>
    <t>TCU College of Education Interview Day</t>
  </si>
  <si>
    <t>Tennis Supplies</t>
  </si>
  <si>
    <t>TEXAS ASSN OF STUDENT COUNCILS DISTRICT 3</t>
  </si>
  <si>
    <t>Student council conference</t>
  </si>
  <si>
    <t>Athletic Training Contract - SOCCER TOURNEY</t>
  </si>
  <si>
    <t>DI T-SHIRTS &amp; PINS</t>
  </si>
  <si>
    <t xml:space="preserve">Toll fee 12/11-#389- </t>
  </si>
  <si>
    <t>VALLEY SPEECH LANGUAGE AND LEARNING CENTER</t>
  </si>
  <si>
    <t>Supplemental Manipulatives</t>
  </si>
  <si>
    <t>VERNON WRESTLING CLUB</t>
  </si>
  <si>
    <t>Entry Fee Wrestling 2-8-19</t>
  </si>
  <si>
    <t>HR Symposium Region 10/11-</t>
  </si>
  <si>
    <t>WENDY BURGESS, TAX ASSESSOR COLLECTOR</t>
  </si>
  <si>
    <t xml:space="preserve">Tax Collection Service 2018 </t>
  </si>
  <si>
    <t>BHS Ag Science supplies</t>
  </si>
  <si>
    <t>WHITE SETTLEMENT AREA CHAMBER OF COMMERCE</t>
  </si>
  <si>
    <t>WSACC Banquet Table-Full</t>
  </si>
  <si>
    <t>Girls Track Shirts</t>
  </si>
  <si>
    <t>Staff Christmas Party.</t>
  </si>
  <si>
    <t>Lenel Service at Blue Haze</t>
  </si>
  <si>
    <t>Special Programs Lenel</t>
  </si>
  <si>
    <t>CISNEROS RESTAURANTS INC.</t>
  </si>
  <si>
    <t>BMS- VENUE DEPOSIT FOR CHEER</t>
  </si>
  <si>
    <t xml:space="preserve">BHS School store order </t>
  </si>
  <si>
    <t>BHS English dept play deposit</t>
  </si>
  <si>
    <t xml:space="preserve">BHS Toner for cheer </t>
  </si>
  <si>
    <t>DONUTS FOR DONUTS WITH DAD</t>
  </si>
  <si>
    <t>BMS-DONUTS FOR STU CO</t>
  </si>
  <si>
    <t>FORT WORTH HERITAGE DEVELOPMENT, LLC</t>
  </si>
  <si>
    <t>4th Grade field trip 3-1-19</t>
  </si>
  <si>
    <t>BMS-Attendance drawings</t>
  </si>
  <si>
    <t>CHOIR-SIGHT MUSIC FOR SPRING</t>
  </si>
  <si>
    <t>LEUKEMIA LYMPHOMA SOCIETY</t>
  </si>
  <si>
    <t>West Walk fight for Cancer-</t>
  </si>
  <si>
    <t xml:space="preserve">North- Gear - pencils for STAAR </t>
  </si>
  <si>
    <t>REPLENISH PETTY CASH</t>
  </si>
  <si>
    <t>TIS- WATER</t>
  </si>
  <si>
    <t xml:space="preserve">BHS Library BOOK FAIR </t>
  </si>
  <si>
    <t>SIDNEY BROWN</t>
  </si>
  <si>
    <t>Refund for PSAT test</t>
  </si>
  <si>
    <t>SKILLSUSA, INC.</t>
  </si>
  <si>
    <t>Skills competition for CTE</t>
  </si>
  <si>
    <t>Student dues for competition</t>
  </si>
  <si>
    <t xml:space="preserve">Student Registration </t>
  </si>
  <si>
    <t xml:space="preserve">Deposit playground bounce - FIELD DAY </t>
  </si>
  <si>
    <t>bottled WATER - FEB</t>
  </si>
  <si>
    <t>Registration for Jazz FESTIVAL</t>
  </si>
  <si>
    <t>TEXAS SPACE TECHNOLOGY APPLICATIONS AND RESEA</t>
  </si>
  <si>
    <t>BHS Robotics Supplies</t>
  </si>
  <si>
    <t>WATCHDOG T-SHIRTS</t>
  </si>
  <si>
    <t>Honeycomb Uniforms</t>
  </si>
  <si>
    <t xml:space="preserve">EMERGENCY - Replace broken GLASS - FAA </t>
  </si>
  <si>
    <t>BMS-APPLE TV</t>
  </si>
  <si>
    <t>AXON ENTERPRISE INC</t>
  </si>
  <si>
    <t>smart cartridge for X2</t>
  </si>
  <si>
    <t>BRITTANIE LEFEBVRE</t>
  </si>
  <si>
    <t>refund  Lefebrve</t>
  </si>
  <si>
    <t>BHS Color guard instruction</t>
  </si>
  <si>
    <t>Toner for Front Office</t>
  </si>
  <si>
    <t xml:space="preserve">Replacement Bulbs </t>
  </si>
  <si>
    <t>BHS Projector Quote # KJXH303</t>
  </si>
  <si>
    <t>BHS Projector quote # KJXH387</t>
  </si>
  <si>
    <t>BMS-B/W PRINTER FOR BIC</t>
  </si>
  <si>
    <t>CICI'S PIZZA #69</t>
  </si>
  <si>
    <t xml:space="preserve">Team meals for District 4-5A WRESTLING </t>
  </si>
  <si>
    <t>CURRICULUM ASSOCIATES, LLC</t>
  </si>
  <si>
    <t>STAAR Prep Materials North</t>
  </si>
  <si>
    <t>DALLAS BAPTIST UNIVERSITY</t>
  </si>
  <si>
    <t xml:space="preserve">Registration Fee for 2019 EDUCATOR INTERVIEW DAY </t>
  </si>
  <si>
    <t>North- Conference Room chairs</t>
  </si>
  <si>
    <t>CARE RENTAL - NSBA Advocacy Institute</t>
  </si>
  <si>
    <t>ENVIRONMENTAL IMPROVEMENTS, INC</t>
  </si>
  <si>
    <t xml:space="preserve">W/O #14064- SERVICE LIFT - BMS </t>
  </si>
  <si>
    <t xml:space="preserve">BEST ATTENDANCE AWARD </t>
  </si>
  <si>
    <t>Follett Tech Add-on</t>
  </si>
  <si>
    <t>Police gear</t>
  </si>
  <si>
    <t>GEO-SYSTEMS USA</t>
  </si>
  <si>
    <t>W/O #15358- GEOTHERMAL WATER</t>
  </si>
  <si>
    <t>BHS Honeycomb poms</t>
  </si>
  <si>
    <t>GIFTED GUILD</t>
  </si>
  <si>
    <t xml:space="preserve">TIS- REGISTRATION </t>
  </si>
  <si>
    <t>GLOBAL PAYMENTS</t>
  </si>
  <si>
    <t>Athletic Software for Track</t>
  </si>
  <si>
    <t xml:space="preserve">Credit for Band </t>
  </si>
  <si>
    <t>Powerlifting entry fee Feb 14</t>
  </si>
  <si>
    <t>GRANBURY PIRATE TENNIS BOOSTER CLUB</t>
  </si>
  <si>
    <t>GUY AND MITSI TRAYLOR</t>
  </si>
  <si>
    <t>clock/office decor</t>
  </si>
  <si>
    <t>PAYMENT FOR INVOICE 18191178</t>
  </si>
  <si>
    <t>BHS Band music for concert</t>
  </si>
  <si>
    <t>KAMP CO LLC</t>
  </si>
  <si>
    <t xml:space="preserve">West elem - grade level SUPPLIES </t>
  </si>
  <si>
    <t xml:space="preserve">Various Instructional SUPPLIES </t>
  </si>
  <si>
    <t>W/O #15400- RE-MULCH TREE WELLS</t>
  </si>
  <si>
    <t>Polo uniform shirts for Chief BAKER</t>
  </si>
  <si>
    <t>MAGGIE HOWARD</t>
  </si>
  <si>
    <t>BHS Student meals for FCCLA</t>
  </si>
  <si>
    <t>W/O #15171- URINAL REPAIR -BMS</t>
  </si>
  <si>
    <t>RFG Unlead w/ 10% Ethanol</t>
  </si>
  <si>
    <t>BHS Biology supplies</t>
  </si>
  <si>
    <t>Printer Ink</t>
  </si>
  <si>
    <t>supplies--- butcher paper</t>
  </si>
  <si>
    <t>North- Supplies for teacher</t>
  </si>
  <si>
    <t>copy paper  February</t>
  </si>
  <si>
    <t>Message books for Judy.</t>
  </si>
  <si>
    <t>Toner for Assessment Dept</t>
  </si>
  <si>
    <t>BHS English Dept Supplies</t>
  </si>
  <si>
    <t>BMS-COPY PAPER FOR STAAR</t>
  </si>
  <si>
    <t>North- Colored copy paper</t>
  </si>
  <si>
    <t>Toner for Communications Dept</t>
  </si>
  <si>
    <t>STAAR Prep materials</t>
  </si>
  <si>
    <t xml:space="preserve">W/O #14777- HVAC REPAIR - BHS </t>
  </si>
  <si>
    <t>MUSIC IS ELEMENTARY</t>
  </si>
  <si>
    <t>North- Recorders for Music</t>
  </si>
  <si>
    <t>MUSICIAN SUPPLY</t>
  </si>
  <si>
    <t>NATIONAL NOTARY ASSOCIATION</t>
  </si>
  <si>
    <t xml:space="preserve">BHS Notary renewal </t>
  </si>
  <si>
    <t>MyMathLab-Statistics</t>
  </si>
  <si>
    <t>NORTH CROWLEY BASKETBALL</t>
  </si>
  <si>
    <t>Entry Fee for Boys Basketball</t>
  </si>
  <si>
    <t>Toll fees</t>
  </si>
  <si>
    <t>Toll Charges wrestling</t>
  </si>
  <si>
    <t xml:space="preserve">Rolling Briefcase for admin employee </t>
  </si>
  <si>
    <t>supplies</t>
  </si>
  <si>
    <t>PARTS TOWN, LLC</t>
  </si>
  <si>
    <t>W/O #15359- REPAIR MILK BOX</t>
  </si>
  <si>
    <t>EQUIPMENT CART</t>
  </si>
  <si>
    <t>WO# 15316 - Additional material - softball field</t>
  </si>
  <si>
    <t>Grade Level supplies - 1st</t>
  </si>
  <si>
    <t>Books for Karen Gonzales</t>
  </si>
  <si>
    <t>Grade level supplies - 1st</t>
  </si>
  <si>
    <t xml:space="preserve">BUSINESS OFFICE - POSTAGE - REFILL </t>
  </si>
  <si>
    <t>Positive Proof Labels 2-5/16"</t>
  </si>
  <si>
    <t>Girls Basketball superbands,</t>
  </si>
  <si>
    <t>Classroom Supplies.</t>
  </si>
  <si>
    <t xml:space="preserve">attendance yard signs for STUDENTS </t>
  </si>
  <si>
    <t>BMS-TARDY SLIPS</t>
  </si>
  <si>
    <t>Folded Note Card 5.5 X 8.5</t>
  </si>
  <si>
    <t>North- Tardy Signs</t>
  </si>
  <si>
    <t>W/O #15437- VIDEO INSPECTION</t>
  </si>
  <si>
    <t>SAN JACINTO COLLEGE CENTRAL</t>
  </si>
  <si>
    <t>Theater UIL Workshop</t>
  </si>
  <si>
    <t>SCANTRON CORPORATION</t>
  </si>
  <si>
    <t>BHS LOTE supplies for Novelo</t>
  </si>
  <si>
    <t>West Elementary - grade level</t>
  </si>
  <si>
    <t>rectangle table for PLC room</t>
  </si>
  <si>
    <t>pencils &amp; glue sticks for 6th</t>
  </si>
  <si>
    <t>North- Texas Record cum files</t>
  </si>
  <si>
    <t>PURCHASING  AND IONWAVE - NEW PURCHASING COORD</t>
  </si>
  <si>
    <t xml:space="preserve">WO# 15409 - Painting DUGOUT </t>
  </si>
  <si>
    <t>Hand Held Scanners for CAFÉ</t>
  </si>
  <si>
    <t>Power Supply Replacement</t>
  </si>
  <si>
    <t>Professional membership for CTE</t>
  </si>
  <si>
    <t xml:space="preserve">BMS-THERMAL RECEIPT ROLLS </t>
  </si>
  <si>
    <t>TASB Localized Update 112</t>
  </si>
  <si>
    <t>REGISTRATION FOR PURCHASING TRAINING</t>
  </si>
  <si>
    <t>Registration Fee</t>
  </si>
  <si>
    <t>TEXAS ASSOCIATION FOR LITERACY EDUCATION</t>
  </si>
  <si>
    <t xml:space="preserve">Registration for TALE </t>
  </si>
  <si>
    <t>BHS Deca Competition</t>
  </si>
  <si>
    <t>TEXAS WESLEYAN UNIVERSITY</t>
  </si>
  <si>
    <t>Entry fee for Jazz Festival</t>
  </si>
  <si>
    <t>THE ARC OF TEXAS</t>
  </si>
  <si>
    <t xml:space="preserve">TIS - REGISTRATION </t>
  </si>
  <si>
    <t>THE WRITING ACADEMY</t>
  </si>
  <si>
    <t>North- The Writing Academy</t>
  </si>
  <si>
    <t>THSADA</t>
  </si>
  <si>
    <t xml:space="preserve">Registration THSADA </t>
  </si>
  <si>
    <t>TSNAA</t>
  </si>
  <si>
    <t>TSNAA Conference June 9-11,</t>
  </si>
  <si>
    <t>U.S. BANK</t>
  </si>
  <si>
    <t xml:space="preserve">WHITE SETTLEMENT ISD UTRB- BOND FEE </t>
  </si>
  <si>
    <t>BHS choir UIL entry fees</t>
  </si>
  <si>
    <t xml:space="preserve">W/O #15467- REPAIR REFRIGERATOR </t>
  </si>
  <si>
    <t>Tannahill  Nurse office</t>
  </si>
  <si>
    <t>NOTHING BUNDT CAKES FORT WORTH</t>
  </si>
  <si>
    <t xml:space="preserve">BHS  Class of 2020 bundt CAKES </t>
  </si>
  <si>
    <t>YSLETA INDEPENDENT SCHOOL DISTRICT</t>
  </si>
  <si>
    <t>Entry Fee for Wrestling</t>
  </si>
  <si>
    <t>BOUNCE N MORE LLC</t>
  </si>
  <si>
    <t>BHS Sr Cel equip</t>
  </si>
  <si>
    <t>BHS Dream team lunch for cafe</t>
  </si>
  <si>
    <t>DFW LASER TAG RENTALS</t>
  </si>
  <si>
    <t>FORT WORTH MUSEUM OF SCIENCE &amp; HISTORY</t>
  </si>
  <si>
    <t>Blue Haze Elem 1st grade</t>
  </si>
  <si>
    <t>BHS  Yearbook payment</t>
  </si>
  <si>
    <t xml:space="preserve"> North- STEAM night</t>
  </si>
  <si>
    <t>BHS Cheer supplies</t>
  </si>
  <si>
    <t xml:space="preserve">Hotel Lodging - SOCCER TOURNEY </t>
  </si>
  <si>
    <t>M-F ATHLETIC</t>
  </si>
  <si>
    <t xml:space="preserve">Cus 42548 Storage for hip NUMBERS </t>
  </si>
  <si>
    <t>MILLENNIUM VEGAS PARTIES LLC</t>
  </si>
  <si>
    <t>BHS Rental for Sr cel 2019</t>
  </si>
  <si>
    <t>MOORE RENTAL SERVICES INC.</t>
  </si>
  <si>
    <t>BHS Sr cel 2019 rental</t>
  </si>
  <si>
    <t>West - Replenish Petty cash</t>
  </si>
  <si>
    <t>Football Player Posters</t>
  </si>
  <si>
    <t>North-Office/ Counselor Lunch</t>
  </si>
  <si>
    <t xml:space="preserve">Blue Haze BOOK FAIR </t>
  </si>
  <si>
    <t>Student dues</t>
  </si>
  <si>
    <t>Student registration</t>
  </si>
  <si>
    <t>SPLASH KINGDOM</t>
  </si>
  <si>
    <t>TIS- DEPOSIT FOR 5/22/2019</t>
  </si>
  <si>
    <t>THE UNIVERSITY OF TEXAS AT ARLINGTON</t>
  </si>
  <si>
    <t>2nd grade field trip</t>
  </si>
  <si>
    <t>BHS newspaper club t-shirts</t>
  </si>
  <si>
    <t xml:space="preserve">2nd grade field trip </t>
  </si>
  <si>
    <t xml:space="preserve">W/O #15475- REPAIR HEATER IN GYM </t>
  </si>
  <si>
    <t>W/O #15542- FOR AIR VENT</t>
  </si>
  <si>
    <t xml:space="preserve">WO#: 15052 - Parts and items HVAC </t>
  </si>
  <si>
    <t>ARM EPIC LLC</t>
  </si>
  <si>
    <t xml:space="preserve">Epic Water Park Student Field TRIP </t>
  </si>
  <si>
    <t xml:space="preserve">ASCD renewal </t>
  </si>
  <si>
    <t>Walkie Talkie's for FCLC</t>
  </si>
  <si>
    <t>District basketball meeting</t>
  </si>
  <si>
    <t xml:space="preserve">REIMBURSEMENT FOR TCEA CONF </t>
  </si>
  <si>
    <t>REIMBURSEMENT FOR TUITION</t>
  </si>
  <si>
    <t>BRIAN YOUNGBLOOD</t>
  </si>
  <si>
    <t>BROOK MAYS MUSIC</t>
  </si>
  <si>
    <t>BHS BAnd instruments</t>
  </si>
  <si>
    <t xml:space="preserve">North- Ink for PRINTER </t>
  </si>
  <si>
    <t>AVerVision  U50 USB Flexarm</t>
  </si>
  <si>
    <t xml:space="preserve">FCLC Snacks for February, MARCH , APRIL </t>
  </si>
  <si>
    <t>CHUCK E. CHEESE</t>
  </si>
  <si>
    <t>West - Spelling bee</t>
  </si>
  <si>
    <t>Drinks for PLC during PD</t>
  </si>
  <si>
    <t>COMMODITY FRIEGHT</t>
  </si>
  <si>
    <t>DE LEON, CARMEN</t>
  </si>
  <si>
    <t xml:space="preserve">REFUND </t>
  </si>
  <si>
    <t>conference admission-- GYTO</t>
  </si>
  <si>
    <t>BHS Toner</t>
  </si>
  <si>
    <t>Art Supplies</t>
  </si>
  <si>
    <t xml:space="preserve">Business Card Order </t>
  </si>
  <si>
    <t>DONNELL HALE</t>
  </si>
  <si>
    <t xml:space="preserve">Refunding charging cord </t>
  </si>
  <si>
    <t>February Chemicals</t>
  </si>
  <si>
    <t>BHS Law Enforcement supples</t>
  </si>
  <si>
    <t>Uniforms for new Officer</t>
  </si>
  <si>
    <t xml:space="preserve">SPECIAL OLYMPICS SHIRTS </t>
  </si>
  <si>
    <t>Volleyball Letter Jackets</t>
  </si>
  <si>
    <t xml:space="preserve">W/O #15044- BARRIER FOR SOCCER </t>
  </si>
  <si>
    <t>W/O #12588- REPLACE BROKEN DISHWASHER</t>
  </si>
  <si>
    <t>W/O #8470- REPLACE DAMAGED BLINDS</t>
  </si>
  <si>
    <t>WO# 13135 - Transportation RENO</t>
  </si>
  <si>
    <t>W/O #11462- REPLACE EXIT LIGHTS</t>
  </si>
  <si>
    <t>W/O #15286- TOOLS &amp; SUPPLIES</t>
  </si>
  <si>
    <t>W/O #13135- PHASE (1)</t>
  </si>
  <si>
    <t>W/O #13211- REPAIR FLOOR TILE</t>
  </si>
  <si>
    <t>W/O #15086- REPLACE THRESHOLD</t>
  </si>
  <si>
    <t>WO# 15223 - Repair fence at WEST</t>
  </si>
  <si>
    <t>WO# 15338 Build platforms for BHS</t>
  </si>
  <si>
    <t>WO#: 15316 - Parts for BHS SOFTBALL</t>
  </si>
  <si>
    <t>BHS Ag Supplies</t>
  </si>
  <si>
    <t xml:space="preserve">BMS-"HYDROPHONIC "GRANT SUPPLIES </t>
  </si>
  <si>
    <t>WO# 15228 School: BHS Gym</t>
  </si>
  <si>
    <t xml:space="preserve">BHS Lodging - TEXAS STEM CONF </t>
  </si>
  <si>
    <t xml:space="preserve">HOTEL EXPENSE FOR BOARD MEMBER </t>
  </si>
  <si>
    <t xml:space="preserve">HOTEL EXPENSE FOR TASA MID WINTER </t>
  </si>
  <si>
    <t xml:space="preserve">BHS Journey House Lodging - NATL CONF </t>
  </si>
  <si>
    <t>North-hotel Room for LEAD4WARD</t>
  </si>
  <si>
    <t>BHS Airfare and lodging - FCCLA</t>
  </si>
  <si>
    <t xml:space="preserve">LODGING - TASBO BUDGET ACADEMY </t>
  </si>
  <si>
    <t>KRISTA MARIE JOHNSON</t>
  </si>
  <si>
    <t>BHS Drill team choreography</t>
  </si>
  <si>
    <t>LAUREN IVY</t>
  </si>
  <si>
    <t>SPECIAL PROGRAMS: REMIBURSE BUS CERT</t>
  </si>
  <si>
    <t>patches and name put on UNIFORM</t>
  </si>
  <si>
    <t>W/O #15288- RESTROOM REPAIR</t>
  </si>
  <si>
    <t>W/O #15433- REPAIR DRAIN IN</t>
  </si>
  <si>
    <t xml:space="preserve">W/O #15523- STOCK ITEMS </t>
  </si>
  <si>
    <t>BHS Honeycomb supplies</t>
  </si>
  <si>
    <t>BHS LOTE supplies</t>
  </si>
  <si>
    <t>TIS - COPIER PAPER</t>
  </si>
  <si>
    <t>bulletin boards</t>
  </si>
  <si>
    <t xml:space="preserve">W/O #15546- MOVE STEAMERS </t>
  </si>
  <si>
    <t xml:space="preserve">W/O #15524- REPAIR WATER HEATER </t>
  </si>
  <si>
    <t xml:space="preserve">W/O #15371- CAMERA REPAIR </t>
  </si>
  <si>
    <t>NATIONAL ASSOCIATION OF SCHOOL NURSES</t>
  </si>
  <si>
    <t>Membership renewal  TEXAS</t>
  </si>
  <si>
    <t xml:space="preserve">SPECIAL PROGRAMS: SUBSCRIPTION RENEWAL </t>
  </si>
  <si>
    <t>Basketball Trophy</t>
  </si>
  <si>
    <t>toll charges</t>
  </si>
  <si>
    <t>Toll Charges for 1-11-19</t>
  </si>
  <si>
    <t>JANUARY MILK FOR ALL SCHOOLS</t>
  </si>
  <si>
    <t>FCLC March Program Supplies;</t>
  </si>
  <si>
    <t>North- Good Character Pencils</t>
  </si>
  <si>
    <t>Baseball Entry Fee Feb 21-23</t>
  </si>
  <si>
    <t>PEARSON EDUCATION INC</t>
  </si>
  <si>
    <t>North- Positive Proof Labels</t>
  </si>
  <si>
    <t>R. CRAIG STEPHENS - JANUARY</t>
  </si>
  <si>
    <t>ROUGH CREEK OPERATING LP</t>
  </si>
  <si>
    <t xml:space="preserve">Admin Leadership Retreat </t>
  </si>
  <si>
    <t>Cum Folders for students</t>
  </si>
  <si>
    <t>SPECIAL PROGRAMS: CONTRACTED SERVICES FOR SPEECH</t>
  </si>
  <si>
    <t>W/O #15504- FOR EXTERIOR</t>
  </si>
  <si>
    <t>W/O #15537- PAINTING SUPPLIES</t>
  </si>
  <si>
    <t>SIRIUS EDUCATION SOLUTIONS LLC</t>
  </si>
  <si>
    <t xml:space="preserve">STAAR/EOC Prep Materials </t>
  </si>
  <si>
    <t>Sponsor registration fees</t>
  </si>
  <si>
    <t xml:space="preserve">Registration for Sponsor </t>
  </si>
  <si>
    <t xml:space="preserve">Brewer Middle School Splash KINGDOM TRIP </t>
  </si>
  <si>
    <t xml:space="preserve">BUSINESS OFFICE - LEGAL NOTICE </t>
  </si>
  <si>
    <t>SYSCO WAREHOUSE - JAN INVOICE</t>
  </si>
  <si>
    <t>SYSCO NON FOOD - JAN INVOICES</t>
  </si>
  <si>
    <t>SYSCO FOOD - JAN INVOICES</t>
  </si>
  <si>
    <t>TAKEDOWN SPORTSWEAR</t>
  </si>
  <si>
    <t>wrestling uniforms</t>
  </si>
  <si>
    <t>TARRANT COUNTY MEDICAL EXAMINER</t>
  </si>
  <si>
    <t>Lab test on case # 18-0024</t>
  </si>
  <si>
    <t>JJAEP Discretionary Billing,</t>
  </si>
  <si>
    <t>TEXAS A &amp; M UNIVERSITY</t>
  </si>
  <si>
    <t>North- Uil Supplies</t>
  </si>
  <si>
    <t>VALLE, LAURI</t>
  </si>
  <si>
    <t xml:space="preserve">Waste Connections Bill </t>
  </si>
  <si>
    <t>BHS Welder for Ag program</t>
  </si>
  <si>
    <t>START UP MONEY FOR TAPPS</t>
  </si>
  <si>
    <t>Blue Haze spring nurse office</t>
  </si>
  <si>
    <t>Track Sweats</t>
  </si>
  <si>
    <t>HEIM BBQ</t>
  </si>
  <si>
    <t>Boys basketball playoff</t>
  </si>
  <si>
    <t>Team Meals for basketball</t>
  </si>
  <si>
    <t>Team meals for basketball</t>
  </si>
  <si>
    <t>W/O #15581- FOR GROUNDS</t>
  </si>
  <si>
    <t xml:space="preserve">W/O #15518- REPLACE TRANSFORMER </t>
  </si>
  <si>
    <t xml:space="preserve">W/O #15616- FOR AIR VENT- ADMIN </t>
  </si>
  <si>
    <t>BHS Aplle IPad and smart</t>
  </si>
  <si>
    <t>Background check for January</t>
  </si>
  <si>
    <t>North- Projector for Buescher</t>
  </si>
  <si>
    <t>W/O #15440-REPLACE BULBS</t>
  </si>
  <si>
    <t>pizza for Little Dribblers</t>
  </si>
  <si>
    <t>Cici's Pizza for Hope Squad</t>
  </si>
  <si>
    <t>CTRMA PROCESSING</t>
  </si>
  <si>
    <t>North- Toner</t>
  </si>
  <si>
    <t xml:space="preserve">Black Printer Cartridge </t>
  </si>
  <si>
    <t>North Elem. Return Address</t>
  </si>
  <si>
    <t>Tannahill Return Address</t>
  </si>
  <si>
    <t>West - Region 10/Region 11</t>
  </si>
  <si>
    <t xml:space="preserve">BHS Equipment to initiate, SCIENCE PROGRAM </t>
  </si>
  <si>
    <t>FRIO-HYDRATION, LLC</t>
  </si>
  <si>
    <t>Rio Hydration Unit</t>
  </si>
  <si>
    <t>Rio hydration unit</t>
  </si>
  <si>
    <t>Buses for girls soccer games.</t>
  </si>
  <si>
    <t>Buses for Softball Jan,26,28.</t>
  </si>
  <si>
    <t>Buses for spring tennis games</t>
  </si>
  <si>
    <t>BMS- TRANSPORTATION FOR BMS</t>
  </si>
  <si>
    <t>BMS-TRANSPORTATION FOR STU CO</t>
  </si>
  <si>
    <t>BMS- TO COVER TRANSPORTATION</t>
  </si>
  <si>
    <t>Buses for power-lifting Jan</t>
  </si>
  <si>
    <t>Buses for Boys Soccer Jan</t>
  </si>
  <si>
    <t xml:space="preserve">Cheer to Fort Worth -UIL </t>
  </si>
  <si>
    <t>BHS Cheer UIL Competition</t>
  </si>
  <si>
    <t>Band- to Martin High School,</t>
  </si>
  <si>
    <t>Buses for Wrestling Jan 4</t>
  </si>
  <si>
    <t xml:space="preserve">CTE- CLASS TO NURSING HOME </t>
  </si>
  <si>
    <t>Bus for Saturday for Law</t>
  </si>
  <si>
    <t>Bus for FCCLA UIL</t>
  </si>
  <si>
    <t>PE supplies   Wigington</t>
  </si>
  <si>
    <t>GRANDVIEW HIGH SCHOOL</t>
  </si>
  <si>
    <t>BHS UIL Supplies</t>
  </si>
  <si>
    <t>W/O #15579- REIMBURSEMENT CE FEES</t>
  </si>
  <si>
    <t>W/O #15488- REPAIR WALK-IN</t>
  </si>
  <si>
    <t xml:space="preserve">Hobby Lobby 8 X 10 frames </t>
  </si>
  <si>
    <t>HUDL online video programming</t>
  </si>
  <si>
    <t>BHS Meals for DECA students</t>
  </si>
  <si>
    <t>Board Meeting Breakfast</t>
  </si>
  <si>
    <t>Travel for Regional Wrestling</t>
  </si>
  <si>
    <t>Activities for (PACT) Parents</t>
  </si>
  <si>
    <t>West - License Renewal</t>
  </si>
  <si>
    <t xml:space="preserve">W/O #15582- REIMBURSEMENT FOR LICENSE </t>
  </si>
  <si>
    <t>RFG UNLEAD W/ 10% ETHANOL</t>
  </si>
  <si>
    <t>paper</t>
  </si>
  <si>
    <t>Tape, folders, pencils, pens,</t>
  </si>
  <si>
    <t>office supplies for police</t>
  </si>
  <si>
    <t xml:space="preserve">North - Butcher paper </t>
  </si>
  <si>
    <t>North- Colored card stock</t>
  </si>
  <si>
    <t xml:space="preserve">WO# 15512 - Renovate SPED KITCHEN </t>
  </si>
  <si>
    <t>MUSIC AND ARTS CENTERS</t>
  </si>
  <si>
    <t>NUTRI-LINK TECHNOLOGIES, INC</t>
  </si>
  <si>
    <t>NUTRI-LINK WEB SUBSCRIPTION</t>
  </si>
  <si>
    <t xml:space="preserve">BHS  Coffee </t>
  </si>
  <si>
    <t>Water for CN Office</t>
  </si>
  <si>
    <t>FOR MAINTENANCE &amp; OPERATIONS</t>
  </si>
  <si>
    <t>Drinking water for DAEP</t>
  </si>
  <si>
    <t>Purchase of signs</t>
  </si>
  <si>
    <t>W/O #15595- FOR MAIN ENTRANCE</t>
  </si>
  <si>
    <t>Tardy signs</t>
  </si>
  <si>
    <t>W/O #14496- PUMP OUT LIFT</t>
  </si>
  <si>
    <t>W/O #14839- DISTRICT- WIDE</t>
  </si>
  <si>
    <t>SITEONE LANDSCAPE SUPPLY, LLC.</t>
  </si>
  <si>
    <t>W/O #15586- FOR BASEBALL</t>
  </si>
  <si>
    <t>LEGAL NOTICE OF FINANCIAL LEGAL AD</t>
  </si>
  <si>
    <t>MEMBERSHIP RENEWAL FOR MEMBER</t>
  </si>
  <si>
    <t xml:space="preserve">Frames and gift bags for TEACHER/ SUPPORT STAFF </t>
  </si>
  <si>
    <t>Supplies for Training,</t>
  </si>
  <si>
    <t>Training Supplies for Campus TESTING</t>
  </si>
  <si>
    <t xml:space="preserve">Various supplies for INSTRUCTION </t>
  </si>
  <si>
    <t>North- Craft supplies</t>
  </si>
  <si>
    <t>North-  Bottled water for STEAM NIGHT</t>
  </si>
  <si>
    <t>fabric for capes</t>
  </si>
  <si>
    <t>Office Supplies-Expo Spray</t>
  </si>
  <si>
    <t xml:space="preserve">Items for Gift Basket for BOARD MEMBERS </t>
  </si>
  <si>
    <t>Water for Hope Rally</t>
  </si>
  <si>
    <t xml:space="preserve">SPECIAL PROGRAMS: PRIDE WEEKLY GROCERY TRIP </t>
  </si>
  <si>
    <t>BHS Honeycomb costumes</t>
  </si>
  <si>
    <t>snacks and drinks for FRC</t>
  </si>
  <si>
    <t>Microwave, Wipes, Kleenex,</t>
  </si>
  <si>
    <t>W/O #15598- REPLACE BAD DOOR</t>
  </si>
  <si>
    <t>WOODCRAFT SUPPLY, LLC</t>
  </si>
  <si>
    <t>NHS Jointer for Wood shop</t>
  </si>
  <si>
    <t>TIS- 5TH GRADE MATH DEPT.</t>
  </si>
  <si>
    <t>North- 3rd grade Pto shirts</t>
  </si>
  <si>
    <t>ice cooler for clinic</t>
  </si>
  <si>
    <t>North- bluetooth speaker</t>
  </si>
  <si>
    <t xml:space="preserve">North- tapes, streamers </t>
  </si>
  <si>
    <t>North- Color Run Powder</t>
  </si>
  <si>
    <t>BMS-GENERAL SUPPLIES FOR BAND</t>
  </si>
  <si>
    <t>BHS coffee house supplies</t>
  </si>
  <si>
    <t>decor for Teacher of the Year</t>
  </si>
  <si>
    <t xml:space="preserve">Final Trip payment for HONEYCOMBS </t>
  </si>
  <si>
    <t>West - Staff Lunch</t>
  </si>
  <si>
    <t xml:space="preserve">West - Food for Daddy DAUGHTER DANCE </t>
  </si>
  <si>
    <t>North- Pizzas for 4th grade</t>
  </si>
  <si>
    <t>Pizza for Writing Incentive</t>
  </si>
  <si>
    <t>DANCELINE PRODUCTIONS</t>
  </si>
  <si>
    <t>Honeycomb competition</t>
  </si>
  <si>
    <t>West - Min to Win it start up</t>
  </si>
  <si>
    <t>replace lost library books</t>
  </si>
  <si>
    <t>GAME ON SOCCER SHOP LLC</t>
  </si>
  <si>
    <t xml:space="preserve">Boys Soccer keeper GLOVES </t>
  </si>
  <si>
    <t xml:space="preserve">Bus Girls Soccer Waller TOURNAMENT </t>
  </si>
  <si>
    <t>Blanket fundraiser</t>
  </si>
  <si>
    <t>GREENLEAF WHOLESALE FLORIST, INC</t>
  </si>
  <si>
    <t xml:space="preserve"> BHS Floral class</t>
  </si>
  <si>
    <t>BHS Coffee house field trip</t>
  </si>
  <si>
    <t>BMS-END OF YEAR CELEBRATION</t>
  </si>
  <si>
    <t>North- Folders</t>
  </si>
  <si>
    <t xml:space="preserve"> North- Test</t>
  </si>
  <si>
    <t>West - Water delivery service</t>
  </si>
  <si>
    <t>SHOWTIME INTERNATIONAL INC</t>
  </si>
  <si>
    <t>Competition registration for HONEYCOMBS</t>
  </si>
  <si>
    <t>Awards for Ben Davis Relays</t>
  </si>
  <si>
    <t>North- school BOARD GIFTS</t>
  </si>
  <si>
    <t xml:space="preserve">TIS- MATERIALS FOR EDIBLE CAR CONTEST </t>
  </si>
  <si>
    <t xml:space="preserve"> BHS staff lunch</t>
  </si>
  <si>
    <t xml:space="preserve"> North- welcome BASKET </t>
  </si>
  <si>
    <t>North- Staff</t>
  </si>
  <si>
    <t xml:space="preserve"> house party, snack SHACK</t>
  </si>
  <si>
    <t xml:space="preserve">North- Award ITEMS </t>
  </si>
  <si>
    <t xml:space="preserve"> TIS- CAKE AND PUNCH - SHOWER </t>
  </si>
  <si>
    <t>BHS Coffee house</t>
  </si>
  <si>
    <t xml:space="preserve"> BHS school store</t>
  </si>
  <si>
    <t>attendance award</t>
  </si>
  <si>
    <t xml:space="preserve">BMS </t>
  </si>
  <si>
    <t xml:space="preserve">items for Family READING NIGHT </t>
  </si>
  <si>
    <t xml:space="preserve"> Food for Paw PANTRY </t>
  </si>
  <si>
    <t xml:space="preserve">Food for Paw PANTRY </t>
  </si>
  <si>
    <t xml:space="preserve"> TIS-   CAKE AND PUNCH</t>
  </si>
  <si>
    <t>BHS coffee house</t>
  </si>
  <si>
    <t>Hope Week 2019</t>
  </si>
  <si>
    <t>North-  Counselor WEEK</t>
  </si>
  <si>
    <t>Final pymt- BHS 2018 Yearbook</t>
  </si>
  <si>
    <t>WATCHDOGS T-SHIRTS</t>
  </si>
  <si>
    <t>WORLD'S FINEST CHOCOLATE</t>
  </si>
  <si>
    <t>TIS- FINAL INVOICE FOR CANDY SALE</t>
  </si>
  <si>
    <t>BHS Cheer t-shirts</t>
  </si>
  <si>
    <t>PERSLMMON HILL BBQ</t>
  </si>
  <si>
    <t xml:space="preserve">ATH, Team Meal Dinner for BOYS BASKETBALL PLAYOFF </t>
  </si>
  <si>
    <t>S3 PLUMBING, LLC.</t>
  </si>
  <si>
    <t xml:space="preserve">REPAIR/ REPLACE SEWER MAIN UNDER ADMIN </t>
  </si>
  <si>
    <t>BURCHFIELD, DUSTIN</t>
  </si>
  <si>
    <t>Team meal playoff basketball</t>
  </si>
  <si>
    <t>COPPELL PIZZA, LP</t>
  </si>
  <si>
    <t>Boys Basketball playoff post</t>
  </si>
  <si>
    <t xml:space="preserve"> BHE snacks - INSTRUCTIONAL ROUNDS </t>
  </si>
  <si>
    <t>West Elem. - classroom pizza</t>
  </si>
  <si>
    <t>DYNASPORTS GROUP, LLC</t>
  </si>
  <si>
    <t xml:space="preserve">Registration for BMS Boys 7th&amp; 8TH </t>
  </si>
  <si>
    <t>Girls Soccer GK Gloves</t>
  </si>
  <si>
    <t>FAA RUNNERS CLUB T-SHIRTS</t>
  </si>
  <si>
    <t xml:space="preserve">BMS- GIFT CARDS FOR STUDENT PERF ATT </t>
  </si>
  <si>
    <t>IN-N-OUT BURGER FOUNDATION</t>
  </si>
  <si>
    <t>BHS Class of 2019 fundraiser</t>
  </si>
  <si>
    <t>BHS Lodging FCCLA Competition</t>
  </si>
  <si>
    <t xml:space="preserve">Blanks- PRACTICE MEETS </t>
  </si>
  <si>
    <t xml:space="preserve"> BMS-TONER </t>
  </si>
  <si>
    <t>BHS to replenish petty cash</t>
  </si>
  <si>
    <t>PSAT/NMSQT</t>
  </si>
  <si>
    <t>BHS PSAT test</t>
  </si>
  <si>
    <t>Caps for track meet</t>
  </si>
  <si>
    <t>BHE running club sign</t>
  </si>
  <si>
    <t>TARA HERNANDEZ</t>
  </si>
  <si>
    <t>West - Daddy daughter dance</t>
  </si>
  <si>
    <t>BHS Honeycomb shirts</t>
  </si>
  <si>
    <t xml:space="preserve"> Replenish supplies - TEACHERS LOUNGE </t>
  </si>
  <si>
    <t>Snacks for Staff MEETING</t>
  </si>
  <si>
    <t>FAA WATER &amp; JUICE</t>
  </si>
  <si>
    <t>BMS-AFTER SCHOOL TUTORING</t>
  </si>
  <si>
    <t>BMS-TUTORING</t>
  </si>
  <si>
    <t xml:space="preserve"> BMS-SNACKS FOR UIL</t>
  </si>
  <si>
    <t xml:space="preserve"> West - DANCE CONCESSION </t>
  </si>
  <si>
    <t>BMS-LUNCH SUPPLIES</t>
  </si>
  <si>
    <t xml:space="preserve"> BHS Open house</t>
  </si>
  <si>
    <t xml:space="preserve"> muffins for Hope SQUAD </t>
  </si>
  <si>
    <t xml:space="preserve"> BHS School store</t>
  </si>
  <si>
    <t xml:space="preserve">BMS-BABY SHOWER SUPPLIES </t>
  </si>
  <si>
    <t xml:space="preserve">North- Party HEARTY DANCE </t>
  </si>
  <si>
    <t xml:space="preserve">Coffee house SUPPLIES </t>
  </si>
  <si>
    <t xml:space="preserve"> BHE supplies</t>
  </si>
  <si>
    <t xml:space="preserve">West Elem - Snack SHACK </t>
  </si>
  <si>
    <t>snacks, cookies,</t>
  </si>
  <si>
    <t>BMS-BREAKFAST STAFF DEVEL</t>
  </si>
  <si>
    <t xml:space="preserve">Lib Replenish SNACK SHACK </t>
  </si>
  <si>
    <t>ACCU-TECH CORPORATION</t>
  </si>
  <si>
    <t>BMS-CAMPUS CAMERAS</t>
  </si>
  <si>
    <t>UTILITY CART</t>
  </si>
  <si>
    <t>MILK COOLER</t>
  </si>
  <si>
    <t>Supplies for hosted playoff</t>
  </si>
  <si>
    <t>Supply for playoffs</t>
  </si>
  <si>
    <t>BMS-OFFICE SUPPLIES</t>
  </si>
  <si>
    <t>North- avery labels</t>
  </si>
  <si>
    <t xml:space="preserve">GRANT purchase    </t>
  </si>
  <si>
    <t>North- 3rd grade grant</t>
  </si>
  <si>
    <t>West - General Supplies</t>
  </si>
  <si>
    <t>West - Ink supplies for OFFICE</t>
  </si>
  <si>
    <t xml:space="preserve">West - Reading material </t>
  </si>
  <si>
    <t xml:space="preserve">North- collaborate grow - GRANT </t>
  </si>
  <si>
    <t>West - Supplies for students</t>
  </si>
  <si>
    <t xml:space="preserve">BHS Library print books </t>
  </si>
  <si>
    <t xml:space="preserve">SPECIAL PROGRAM: VOICE RECORDERS </t>
  </si>
  <si>
    <t>BMS-RESTROOM SIGNAGE FOR GYM</t>
  </si>
  <si>
    <t>GRANT   Fusion: Vinson</t>
  </si>
  <si>
    <t xml:space="preserve">W/O #15161- SUPPLIES &amp; EQUIPMENT </t>
  </si>
  <si>
    <t>BMS- COMPACT 2-WAY RADIO</t>
  </si>
  <si>
    <t>FAMILY RESOURCE: BOOKS</t>
  </si>
  <si>
    <t xml:space="preserve">Classroom supplies </t>
  </si>
  <si>
    <t>GRANT-  Stemfinity and Beyond</t>
  </si>
  <si>
    <t>Books for Professional DEVELOPMENT</t>
  </si>
  <si>
    <t>supplies   4th Grade</t>
  </si>
  <si>
    <t>supplies--Kinder</t>
  </si>
  <si>
    <t>BHS Math dept</t>
  </si>
  <si>
    <t>BHS CTE supplies</t>
  </si>
  <si>
    <t>Refrigerator for 2 classrooms</t>
  </si>
  <si>
    <t>BMS- PLASTIC ID BADGE SLEEVES</t>
  </si>
  <si>
    <t xml:space="preserve">BMS- MIRRORED VINYL </t>
  </si>
  <si>
    <t>Print books for BHS library</t>
  </si>
  <si>
    <t>supplies   1st grade</t>
  </si>
  <si>
    <t>supplies -  1st Grade</t>
  </si>
  <si>
    <t>BMS-HOUSE TICKET BOX</t>
  </si>
  <si>
    <t>supplies   4th grade</t>
  </si>
  <si>
    <t xml:space="preserve">BOOKS  </t>
  </si>
  <si>
    <t>Print books for BHS Library</t>
  </si>
  <si>
    <t>North- 2nd grade stem</t>
  </si>
  <si>
    <t>West - Supplies for Art</t>
  </si>
  <si>
    <t>West - December Grant Award</t>
  </si>
  <si>
    <t xml:space="preserve">SPECIAL PROGRAMS: WALKIE TALKIES </t>
  </si>
  <si>
    <t>Innovators of tomorrow grant-</t>
  </si>
  <si>
    <t>tables for PLC room</t>
  </si>
  <si>
    <t xml:space="preserve">supplies-- KINDER    </t>
  </si>
  <si>
    <t>GRANT-- Fusion: Genious Hour</t>
  </si>
  <si>
    <t xml:space="preserve">supplies  KINDER   </t>
  </si>
  <si>
    <t>BHS ESL Supplies</t>
  </si>
  <si>
    <t xml:space="preserve">KINDER supplies    </t>
  </si>
  <si>
    <t xml:space="preserve">KINDER supplies   </t>
  </si>
  <si>
    <t>3rd grade supplies---</t>
  </si>
  <si>
    <t xml:space="preserve">Supplies  KINDER    </t>
  </si>
  <si>
    <t>Chalk for powerlifting</t>
  </si>
  <si>
    <t xml:space="preserve">Books for PROFESSIONAL DEVELOPMENT </t>
  </si>
  <si>
    <t>Supply athletics</t>
  </si>
  <si>
    <t xml:space="preserve">KINDER -supplies   </t>
  </si>
  <si>
    <t xml:space="preserve">4th grade supplies-  </t>
  </si>
  <si>
    <t xml:space="preserve">BMS-"HYDROPHONIC' GRANT </t>
  </si>
  <si>
    <t>West Elementary - speech</t>
  </si>
  <si>
    <t xml:space="preserve">BMS-GENERAL SUPPLIES </t>
  </si>
  <si>
    <t xml:space="preserve">Books for Professional DEVELOPMENT </t>
  </si>
  <si>
    <t>AP Spanish Text - BHS</t>
  </si>
  <si>
    <t>Document Scanner for J Schuss</t>
  </si>
  <si>
    <t>Equip for GBB</t>
  </si>
  <si>
    <t xml:space="preserve">BMS-COMPACT SPEAKER MICS </t>
  </si>
  <si>
    <t>West Elem. - Grade level</t>
  </si>
  <si>
    <t>Girls track supplies</t>
  </si>
  <si>
    <t>BMS- GENERAL SUPPLIES</t>
  </si>
  <si>
    <t>4th grade supplies---</t>
  </si>
  <si>
    <t xml:space="preserve">1st grade supplies-- </t>
  </si>
  <si>
    <t xml:space="preserve">supplies-- 3rd grade  </t>
  </si>
  <si>
    <t xml:space="preserve">4th grade supplies--- </t>
  </si>
  <si>
    <t xml:space="preserve">supplies  KINDER  </t>
  </si>
  <si>
    <t xml:space="preserve">West Elem. - School </t>
  </si>
  <si>
    <t xml:space="preserve">BHS Medical supplies </t>
  </si>
  <si>
    <t>BMS-TESTING SUPPLIES</t>
  </si>
  <si>
    <t>Arm bands for Signing day</t>
  </si>
  <si>
    <t>BMS- ID PRINTING SUPPLIES</t>
  </si>
  <si>
    <t>West elem - grade level</t>
  </si>
  <si>
    <t>North- STEAM night activity</t>
  </si>
  <si>
    <t>supplies  KINDER   Morin</t>
  </si>
  <si>
    <t>ice maker</t>
  </si>
  <si>
    <t>north- keyboard wrist /mouse</t>
  </si>
  <si>
    <t>North- STEAm Night Popsicle</t>
  </si>
  <si>
    <t>supplies   first grade</t>
  </si>
  <si>
    <t>West Elem - school supplies</t>
  </si>
  <si>
    <t>supplies  -Kinder--Morin</t>
  </si>
  <si>
    <t>supplies--first grade-- Brown</t>
  </si>
  <si>
    <t>BMS-INSTRUCTIONAL / TUTORIAL</t>
  </si>
  <si>
    <t>supplies--first grade</t>
  </si>
  <si>
    <t xml:space="preserve">Cricut Supplies </t>
  </si>
  <si>
    <t>counselor supplies</t>
  </si>
  <si>
    <t>West Elem - grade level</t>
  </si>
  <si>
    <t xml:space="preserve">North- UIL materials </t>
  </si>
  <si>
    <t>West Elem - ESL + supplies</t>
  </si>
  <si>
    <t>North- 3rd STEAM night</t>
  </si>
  <si>
    <t xml:space="preserve">supplies--first grade-- </t>
  </si>
  <si>
    <t>BMS-TICKET BOX</t>
  </si>
  <si>
    <t>Food for Operations</t>
  </si>
  <si>
    <t>BMS- OPEN HOUSE SNACKS</t>
  </si>
  <si>
    <t>1st grade supplies-- Caruso</t>
  </si>
  <si>
    <t>North- 3rd Grade Books</t>
  </si>
  <si>
    <t>4th grade supplies  Williams</t>
  </si>
  <si>
    <t xml:space="preserve">TIS- DRY ERASE BOARD </t>
  </si>
  <si>
    <t>North- Pencils- Citizenship.</t>
  </si>
  <si>
    <t>North- Shipping cost</t>
  </si>
  <si>
    <t>BANDY, JACQUELINE</t>
  </si>
  <si>
    <t>BHS  Meal money -students - comp</t>
  </si>
  <si>
    <t>BD AUDIO</t>
  </si>
  <si>
    <t>Auditorium AV Maintenace</t>
  </si>
  <si>
    <t>BILINGUAL DICTIONARIES, INC</t>
  </si>
  <si>
    <t>TIS-BILINGUAL DICTIONARY</t>
  </si>
  <si>
    <t xml:space="preserve">travel expense reimbursement - TASA </t>
  </si>
  <si>
    <t>CAMP FIRE FIRST TEXAS</t>
  </si>
  <si>
    <t>Conscious Discipline Training</t>
  </si>
  <si>
    <t>CAREY'S SPORTING GOODS</t>
  </si>
  <si>
    <t>Admission Fee for 2nd Grade:</t>
  </si>
  <si>
    <t>KEY FOBS</t>
  </si>
  <si>
    <t xml:space="preserve">Printer for girls basketball OFFICE </t>
  </si>
  <si>
    <t>Scan Badges for WSISD</t>
  </si>
  <si>
    <t>North- toner- Pomerleau</t>
  </si>
  <si>
    <t>BHS Scan badges for Athletics</t>
  </si>
  <si>
    <t>2 - Gigabyte GV-N710D3-1GL</t>
  </si>
  <si>
    <t>North-  Brother Printer</t>
  </si>
  <si>
    <t>Projectors for Tech Stock</t>
  </si>
  <si>
    <t>CENTRAL HIGH SCHOOL ATHLETIC BOOSTER CLUB</t>
  </si>
  <si>
    <t>Entry fee for powerlifting</t>
  </si>
  <si>
    <t>WATER/SOFT DRINKS FOR BOARD</t>
  </si>
  <si>
    <t>West Elem. - STAAR Ready</t>
  </si>
  <si>
    <t>Phones for WSISD</t>
  </si>
  <si>
    <t xml:space="preserve">North-Toner cartridges </t>
  </si>
  <si>
    <t xml:space="preserve">BHS Band computer </t>
  </si>
  <si>
    <t>BMS- INSTRUCTIONAL SUPPLIES</t>
  </si>
  <si>
    <t>INVOICE DUE ON 03/21/2019</t>
  </si>
  <si>
    <t>Drug Testing Charges</t>
  </si>
  <si>
    <t xml:space="preserve">ELAR TEKS Deep Dive for CURR WRITERS </t>
  </si>
  <si>
    <t xml:space="preserve">Region 11 training - STAAR REVIEW </t>
  </si>
  <si>
    <t xml:space="preserve">Rental Car for Regional WRESTLING </t>
  </si>
  <si>
    <t>EVERMAN ISD</t>
  </si>
  <si>
    <t>BMS Track Entry Fee for Feb</t>
  </si>
  <si>
    <t>EVOLLVE, INC</t>
  </si>
  <si>
    <t xml:space="preserve">BMS- GRANT SUPPLIES </t>
  </si>
  <si>
    <t>North- Explore Learning</t>
  </si>
  <si>
    <t>West - P.E. Supplies</t>
  </si>
  <si>
    <t xml:space="preserve">SPECIAL PROGRAMS:  STUDENT DATA SOFTWARE </t>
  </si>
  <si>
    <t>GLEN ROSE HIGH SCHOOL</t>
  </si>
  <si>
    <t>BHS UIL entry fees</t>
  </si>
  <si>
    <t>Physical Education equipment</t>
  </si>
  <si>
    <t>BHS Pe Supplies</t>
  </si>
  <si>
    <t>GRANBURY HIGH SCHOOL</t>
  </si>
  <si>
    <t>Baseball Entry fee for Feb</t>
  </si>
  <si>
    <t>REPAIR FOR OVEN AT BLUE HAZE</t>
  </si>
  <si>
    <t>REPAIR FOR OVEN AT TANNAHILL</t>
  </si>
  <si>
    <t>BUN PAN RACK WHEELS</t>
  </si>
  <si>
    <t>HANDWRITING WITHOUT TEARS</t>
  </si>
  <si>
    <t>TIS-CAN-DO-KEYBOARDING</t>
  </si>
  <si>
    <t>AED</t>
  </si>
  <si>
    <t>HEINEMANN</t>
  </si>
  <si>
    <t>LLI system  literacy</t>
  </si>
  <si>
    <t>shipping costs for Heinemann</t>
  </si>
  <si>
    <t>W/O #15461- REPAIR MILK COOLER</t>
  </si>
  <si>
    <t>HUGHES MIDDLE SCHOOL</t>
  </si>
  <si>
    <t>BMS-UIL OAP FEES FOR DRAMA</t>
  </si>
  <si>
    <t>LEADERSHIP TEAM MEETING,</t>
  </si>
  <si>
    <t>BHS Lodging for TASSP TRAINING</t>
  </si>
  <si>
    <t>BHS Lodging for SAN ANTONIO STOCK SHOW</t>
  </si>
  <si>
    <t>Hotel for Regional Wrestling</t>
  </si>
  <si>
    <t xml:space="preserve">Hotel Lodging for COACHES </t>
  </si>
  <si>
    <t xml:space="preserve">BHS Journey house for CTBR STATE SWINE SHOW </t>
  </si>
  <si>
    <t xml:space="preserve">BHS Lodging for Theatre STUDENTS </t>
  </si>
  <si>
    <t xml:space="preserve">BUSINESS OFFICE - LODGING </t>
  </si>
  <si>
    <t>BHS Lodging for TASA MID WINTER CONF</t>
  </si>
  <si>
    <t xml:space="preserve">BHS Journey House overage </t>
  </si>
  <si>
    <t xml:space="preserve">TASA/TASB Legislative - LODGING </t>
  </si>
  <si>
    <t>Ron Clark Airlines Fee March</t>
  </si>
  <si>
    <t xml:space="preserve">BHS Lodging </t>
  </si>
  <si>
    <t xml:space="preserve">SPECIAL PROGRAM: LODGING </t>
  </si>
  <si>
    <t xml:space="preserve">SPECIAL PROGRAMS: LODGING </t>
  </si>
  <si>
    <t>BHS Lodging - FCCLA COMP</t>
  </si>
  <si>
    <t xml:space="preserve">2018-2019 AI TEACHER CONTRACTED SERVICES </t>
  </si>
  <si>
    <t>KURZ AND COMPANY - JANUARY</t>
  </si>
  <si>
    <t>LAKE WORTH HIGH SCHOOL</t>
  </si>
  <si>
    <t>Baseball Entry fee Lake Worth</t>
  </si>
  <si>
    <t>North-  Learning A to Z</t>
  </si>
  <si>
    <t>BLUE HAZE -4th grade supplies</t>
  </si>
  <si>
    <t>lone star learning</t>
  </si>
  <si>
    <t xml:space="preserve">patches added and name- UNIFORM SHIRTS </t>
  </si>
  <si>
    <t>Tourniquet and basket weave</t>
  </si>
  <si>
    <t xml:space="preserve">W/O #7723- REPLACE BUBBLER </t>
  </si>
  <si>
    <t>W/O #15288- RESTROOM REPAIRS</t>
  </si>
  <si>
    <t>WO# 15680 - Replace broken FAUCET</t>
  </si>
  <si>
    <t>Office Supplies- pens, file</t>
  </si>
  <si>
    <t>BUSINESS OFFICE - PRINTER CARTRIDGE</t>
  </si>
  <si>
    <t>LIBERTY - Paper for 4th Grade</t>
  </si>
  <si>
    <t>RISE - Toner for RISE OFFICE</t>
  </si>
  <si>
    <t>copy paper  MARCH</t>
  </si>
  <si>
    <t>Copy paper for Admin</t>
  </si>
  <si>
    <t>West - Paper</t>
  </si>
  <si>
    <t>STATE INSPECTIONS</t>
  </si>
  <si>
    <t>MORROW, CHARLES</t>
  </si>
  <si>
    <t>W/O #15618- REPLACE FAUCET</t>
  </si>
  <si>
    <t>MUSIC IN MOTION</t>
  </si>
  <si>
    <t xml:space="preserve">Various music instruments </t>
  </si>
  <si>
    <t>north- DRA folders</t>
  </si>
  <si>
    <t>Printed Nametags/New Brewer</t>
  </si>
  <si>
    <t>1 5/8'' X 12'' name plate</t>
  </si>
  <si>
    <t>Tolls for CTE</t>
  </si>
  <si>
    <t>Toll Charges for Jan-25,26 FB</t>
  </si>
  <si>
    <t>toll charges for CTE</t>
  </si>
  <si>
    <t xml:space="preserve">Toll charges </t>
  </si>
  <si>
    <t>Toll Fees for # 384 Jan. 30th</t>
  </si>
  <si>
    <t>Toll charges for 2-1-19</t>
  </si>
  <si>
    <t>BHS English dept supplies</t>
  </si>
  <si>
    <t>SPECIAL PROGRAMS: TONER - BHS</t>
  </si>
  <si>
    <t>North- Stickers and Prizes</t>
  </si>
  <si>
    <t>W/O #15536- REPAIR PARTS FOR TORO</t>
  </si>
  <si>
    <t>BHS CTE Project Lead the Way</t>
  </si>
  <si>
    <t>North Elem- Report Card</t>
  </si>
  <si>
    <t>student of the month signs</t>
  </si>
  <si>
    <t xml:space="preserve">WO# 15709 - Purchase and INSTALL NEW BANNERS </t>
  </si>
  <si>
    <t xml:space="preserve">REPAIR/ REPLACE SEWER MAIN UNDER ADMIN BUILDING </t>
  </si>
  <si>
    <t>Hand Sanitizer</t>
  </si>
  <si>
    <t>Classroom Party Supplies;</t>
  </si>
  <si>
    <t xml:space="preserve">Snacks for Parents MEETING </t>
  </si>
  <si>
    <t>Waters Athletics</t>
  </si>
  <si>
    <t>BHS Culinary suppplies</t>
  </si>
  <si>
    <t>BHS  TOTY supplies</t>
  </si>
  <si>
    <t xml:space="preserve">SPECIAL PROGRAMS: REINFORCEMENTS </t>
  </si>
  <si>
    <t>SCHOLASTIC LIBRARY PUBLISHING INC</t>
  </si>
  <si>
    <t>BMS-OVERAGE FOR PO 0411900171</t>
  </si>
  <si>
    <t>Book Order for Family Night</t>
  </si>
  <si>
    <t>TIS - COLORED PENCILS</t>
  </si>
  <si>
    <t>Adobe Creative Cloud</t>
  </si>
  <si>
    <t>Solution Tree TRAINING</t>
  </si>
  <si>
    <t>SOUTHWEST EMBLEM COMPANY</t>
  </si>
  <si>
    <t>North- Medals and Ribbons for UIL</t>
  </si>
  <si>
    <t xml:space="preserve">SPECIAL PROGRAMS: INSTALLATION OF PHONE LINE </t>
  </si>
  <si>
    <t>cabling for cameras</t>
  </si>
  <si>
    <t>Water Dispenser for CN Office</t>
  </si>
  <si>
    <t>STRIKE VISUALS</t>
  </si>
  <si>
    <t xml:space="preserve">Accessories for Tent and MEDIA BACKDROP </t>
  </si>
  <si>
    <t xml:space="preserve">REGISTRATION FOR TASBO </t>
  </si>
  <si>
    <t>TEXAS DEPT. OF AGRICULTURE</t>
  </si>
  <si>
    <t>TDA LICENSE RENEWAL/ STATE</t>
  </si>
  <si>
    <t>TEXAS ASSOC OF SCHOOL LIBRARY ADMINISTR</t>
  </si>
  <si>
    <t>registration fee for LIBRARIAN</t>
  </si>
  <si>
    <t>registration for state COMP</t>
  </si>
  <si>
    <t>Registration for STUDENT COMP</t>
  </si>
  <si>
    <t>BMS-OVERAGE FOR PO 0411900087</t>
  </si>
  <si>
    <t>VARI SALES CORPORATION</t>
  </si>
  <si>
    <t xml:space="preserve">BUSINESS OFFICE - DESK </t>
  </si>
  <si>
    <t>20YD ROLL OFF  DUMP &amp; RETURN</t>
  </si>
  <si>
    <t>Baseball Entry Fee for Feb</t>
  </si>
  <si>
    <t>BHS Honeycomb uniforms</t>
  </si>
  <si>
    <t>BHS overage of original PO</t>
  </si>
  <si>
    <t>Disposer for HS</t>
  </si>
  <si>
    <t>Liberty Nurse office spring</t>
  </si>
  <si>
    <t>North nurse office spring</t>
  </si>
  <si>
    <t>West Elem Nurse office spring</t>
  </si>
  <si>
    <t>ROARK, ERIN</t>
  </si>
  <si>
    <t>Chuck E. Cheese for Spelling BEE</t>
  </si>
  <si>
    <t>BLEVINS, KAYCEE</t>
  </si>
  <si>
    <t xml:space="preserve"> FCCLA CONFERENCE </t>
  </si>
  <si>
    <t>Attended the ASEE/CIEC NATL CONF</t>
  </si>
  <si>
    <t xml:space="preserve">Midwinter Conference </t>
  </si>
  <si>
    <t xml:space="preserve">MIDWINTER CONFERENCE </t>
  </si>
  <si>
    <t>Brewer HS &amp; Brewer MS</t>
  </si>
  <si>
    <t>North ES &amp; Brewer MS</t>
  </si>
  <si>
    <t>HEDDINS, JENNIFER</t>
  </si>
  <si>
    <t>1/27/2019-1/30/2019    TASA</t>
  </si>
  <si>
    <t>1/28/2019-1/30/2019    Hotel PARKING</t>
  </si>
  <si>
    <t>MCPHERSON, KAYLIE</t>
  </si>
  <si>
    <t>1/31/2019-2/3/2019    FCCLA</t>
  </si>
  <si>
    <t>Midwinter 2019</t>
  </si>
  <si>
    <t>FEEXICO, JAMES</t>
  </si>
  <si>
    <t xml:space="preserve">Student meal  money for WRESTLING REGIONAL </t>
  </si>
  <si>
    <t xml:space="preserve">Start up money for gate Ben DAVIS RELAYS </t>
  </si>
  <si>
    <t xml:space="preserve">Lunch, drinks and tokens for SPELLING BEE </t>
  </si>
  <si>
    <t>ARREGUIN, SARAH</t>
  </si>
  <si>
    <t>2/2/2019-2/8/2019    TCEA</t>
  </si>
  <si>
    <t>BARTON, AMY</t>
  </si>
  <si>
    <t>2/3/2019-2/6/2019    TCEA</t>
  </si>
  <si>
    <t>2/4/2019-2/8/2019    TCEA</t>
  </si>
  <si>
    <t>DOLL, AMANDA</t>
  </si>
  <si>
    <t>2/4/2019-2/13/2019    TCEA</t>
  </si>
  <si>
    <t>GEHRING, JADA</t>
  </si>
  <si>
    <t xml:space="preserve">EXPENSE REIMBURSEMENT TCEA </t>
  </si>
  <si>
    <t>LOFTON, SHANNON</t>
  </si>
  <si>
    <t>MACHAJEWSKI, ERIN</t>
  </si>
  <si>
    <t>MOGFORD, BRITTANY</t>
  </si>
  <si>
    <t>TCEA CONFERENCE</t>
  </si>
  <si>
    <t>MUNOZ, BRITTANY</t>
  </si>
  <si>
    <t>Reimbursement for ESL TEST</t>
  </si>
  <si>
    <t>OLIVARES, LYLYANA</t>
  </si>
  <si>
    <t xml:space="preserve">TCEA CONFERENCE </t>
  </si>
  <si>
    <t>WALLS, CAMERON</t>
  </si>
  <si>
    <t>WILLIAMS, LISA</t>
  </si>
  <si>
    <t>ALEXANDER, LYNETTE</t>
  </si>
  <si>
    <t xml:space="preserve">TCEA CONFERENCE EXPENSES </t>
  </si>
  <si>
    <t>BARBER, CARLA</t>
  </si>
  <si>
    <t xml:space="preserve">PARKING - TCEA </t>
  </si>
  <si>
    <t xml:space="preserve">TCEA CONFERENCE MEALS </t>
  </si>
  <si>
    <t>BAUTISTA, JESSICA</t>
  </si>
  <si>
    <t>School Counseling Conference</t>
  </si>
  <si>
    <t>HARRIS, MARILYN</t>
  </si>
  <si>
    <t>MOORE, MORGAN</t>
  </si>
  <si>
    <t xml:space="preserve">Reimbursement for travel </t>
  </si>
  <si>
    <t>SOILEAU, MICHELLE</t>
  </si>
  <si>
    <t>SWEENEY, ELIZABETH</t>
  </si>
  <si>
    <t>MEAL reimbursement for San Antonio</t>
  </si>
  <si>
    <t>SPECIAL PROGRAMS: COMMUNITY</t>
  </si>
  <si>
    <t>WSISD EDUCATIONAL FOUNDATION</t>
  </si>
  <si>
    <t>North- Dodge Ball REGISTRATION</t>
  </si>
  <si>
    <t xml:space="preserve">FAA registration fee </t>
  </si>
  <si>
    <t xml:space="preserve">FOOD FOR SPECIAL OLYMPIC ATHLETES </t>
  </si>
  <si>
    <t>ALONZO, ALICIA</t>
  </si>
  <si>
    <t xml:space="preserve">TRAVEL EXPENSES - TMEA </t>
  </si>
  <si>
    <t>Reimbursement for 5A Regional</t>
  </si>
  <si>
    <t>GAS REIMBURSEMENT - WRESTLING TOURNEY</t>
  </si>
  <si>
    <t>GALLOWAY, JAMES</t>
  </si>
  <si>
    <t xml:space="preserve">Gratuity Reimbursement for BB PLAYOFF </t>
  </si>
  <si>
    <t>MONSEES, HEIDI</t>
  </si>
  <si>
    <t xml:space="preserve">Travel EXPENSES - TRS TRAINING </t>
  </si>
  <si>
    <t>POGUE, MICHAEL</t>
  </si>
  <si>
    <t>2/17/2019-2/20/2019    TCASE</t>
  </si>
  <si>
    <t>Parton's Pizza for Admin</t>
  </si>
  <si>
    <t>Principal Data Meeting Lunch</t>
  </si>
  <si>
    <t>BUC-CEE'S</t>
  </si>
  <si>
    <t>Gas- Travel to Austin for TASA CONF</t>
  </si>
  <si>
    <t>Counselor Appreciation Gift</t>
  </si>
  <si>
    <t>Cricut Supplies- 2 mats, 1</t>
  </si>
  <si>
    <t>REGISTRATION RENEWALS</t>
  </si>
  <si>
    <t>Dollar Tree- Paper Products</t>
  </si>
  <si>
    <t xml:space="preserve">Dollar Tree- Bowls for gift - board memebers </t>
  </si>
  <si>
    <t>EL FENIX</t>
  </si>
  <si>
    <t xml:space="preserve">board member gift baskets </t>
  </si>
  <si>
    <t>Business lunch  1-16-19</t>
  </si>
  <si>
    <t>Business Lunch 1-17-19</t>
  </si>
  <si>
    <t xml:space="preserve">Lunch with Education foundation </t>
  </si>
  <si>
    <t>ALDI</t>
  </si>
  <si>
    <t>Aldi-Sparkling Cider for secretaries luncheon</t>
  </si>
  <si>
    <t>TASTE OF ASIA</t>
  </si>
  <si>
    <t>Phone System Upgrade</t>
  </si>
  <si>
    <t>Reimbursement for Travel Expenses</t>
  </si>
  <si>
    <t xml:space="preserve">HEATER REPAIR - BMS </t>
  </si>
  <si>
    <t xml:space="preserve">HEATER REPAIR - TIS </t>
  </si>
  <si>
    <t>REPLACE THE HVAC</t>
  </si>
  <si>
    <t xml:space="preserve">STUDENT TRANSPORTATION SERVICES </t>
  </si>
  <si>
    <t>FOR WALK-IN FREEZER REPAIR</t>
  </si>
  <si>
    <t xml:space="preserve">PARTS FOR WARMING CABINETS </t>
  </si>
  <si>
    <t>Contract Services Apprasial District</t>
  </si>
  <si>
    <t xml:space="preserve">REGISTRATION FEE </t>
  </si>
  <si>
    <t>Elevator Contract Services</t>
  </si>
  <si>
    <t>Toll Fee</t>
  </si>
  <si>
    <t xml:space="preserve">Membership renewal  </t>
  </si>
  <si>
    <t>SPECIAL OLYMPICS LETTER JACKETS</t>
  </si>
  <si>
    <t xml:space="preserve">RE-NETTING - softball </t>
  </si>
  <si>
    <t>A/C REPAIR FOR TIS</t>
  </si>
  <si>
    <t xml:space="preserve"> A/C REPAIR FOR TIS</t>
  </si>
  <si>
    <t>REPAIR CHILLER @ BMS</t>
  </si>
  <si>
    <t>Audit of 2017-18</t>
  </si>
  <si>
    <t xml:space="preserve">West - grade level supplies </t>
  </si>
  <si>
    <t>Registration Fees</t>
  </si>
  <si>
    <t>BUSINESS OFFICE - LABELS</t>
  </si>
  <si>
    <t>FRECKLE EDUCATION</t>
  </si>
  <si>
    <t xml:space="preserve">Subscription for Freckle education </t>
  </si>
  <si>
    <t xml:space="preserve">West - GYTO conference </t>
  </si>
  <si>
    <t>WHITE SETTLEMENT ISD - BILLING</t>
  </si>
  <si>
    <t>MIKE GRISSOM</t>
  </si>
  <si>
    <t>Announcer for TAPPS Playoff</t>
  </si>
  <si>
    <t>REAGAN SHANE ROTHENBERGER</t>
  </si>
  <si>
    <t>Payment for Announcing at TAAPS</t>
  </si>
  <si>
    <t>Sports medicine member fee</t>
  </si>
  <si>
    <t>AMERICAN DANCE/DRILL TEAM</t>
  </si>
  <si>
    <t>Honeycomb regional</t>
  </si>
  <si>
    <t xml:space="preserve"> BHS  supplies</t>
  </si>
  <si>
    <t xml:space="preserve">BHS  pizza-winner's of bus CONTEST </t>
  </si>
  <si>
    <t>remaining bal North- Pizzas</t>
  </si>
  <si>
    <t>CINDY JUSTINE GREEN</t>
  </si>
  <si>
    <t>Worker for Ben Davis Relay</t>
  </si>
  <si>
    <t>COWTOWN CONCESSIONS INC</t>
  </si>
  <si>
    <t>BHS Prom venue 2019 final</t>
  </si>
  <si>
    <t>BHS Dallas theater field trip</t>
  </si>
  <si>
    <t>BHS Color Guard</t>
  </si>
  <si>
    <t>BMS-DONUTS FOR Instructional</t>
  </si>
  <si>
    <t>BMS-DONUTS &amp; SAUSAGE ROLLS</t>
  </si>
  <si>
    <t>Final 4th Grade Austin Trip</t>
  </si>
  <si>
    <t>HARMLAND VISIONS LLC</t>
  </si>
  <si>
    <t>BHS Deposit for Prom 2019 DJ</t>
  </si>
  <si>
    <t>Awards for TOY</t>
  </si>
  <si>
    <t>Toll Charges for  bus</t>
  </si>
  <si>
    <t>TIS-PAPER WRISTBANDS - SPLASH KINGDOM</t>
  </si>
  <si>
    <t>Decorations for TOY</t>
  </si>
  <si>
    <t>BHS Ath Reimburse Petty Cash</t>
  </si>
  <si>
    <t>RED DIRT RD DESIGNS</t>
  </si>
  <si>
    <t>Hope Squad Nacho Nights</t>
  </si>
  <si>
    <t>RONALD G. STEPHENS</t>
  </si>
  <si>
    <t>Starter for Ben Davis Relays</t>
  </si>
  <si>
    <t>SPORTS OFFICIALS UNLIMITED, INC</t>
  </si>
  <si>
    <t>BMS- FEES FOR 4  OFFICIALS</t>
  </si>
  <si>
    <t>North- Color Run Shirts</t>
  </si>
  <si>
    <t>North-   Snacks</t>
  </si>
  <si>
    <t>Staff Shirts</t>
  </si>
  <si>
    <t>Wrestling Gear</t>
  </si>
  <si>
    <t xml:space="preserve"> Power Lifting</t>
  </si>
  <si>
    <t>Winter fill in GEAR</t>
  </si>
  <si>
    <t xml:space="preserve">Volleyball-Clothing order </t>
  </si>
  <si>
    <t>Brewer High School SB Team</t>
  </si>
  <si>
    <t>North- Cub Academy Snacks</t>
  </si>
  <si>
    <t xml:space="preserve">BMS-DRINKS FOR FACULTY </t>
  </si>
  <si>
    <t>BHS English Field trip</t>
  </si>
  <si>
    <t>BHS Prom Decorations</t>
  </si>
  <si>
    <t xml:space="preserve">North- KINDER SUPPLIES </t>
  </si>
  <si>
    <t>TIS-PLANT FOR JACOB HARPER</t>
  </si>
  <si>
    <t>TIS-FLOWERS FOR TOY</t>
  </si>
  <si>
    <t>Flowers-death in family- TIS</t>
  </si>
  <si>
    <t xml:space="preserve"> TIS- FLOWERS -EMPLOYEE</t>
  </si>
  <si>
    <t>BALLOON BOUQUET - STUDENT</t>
  </si>
  <si>
    <t>MARK DANCE</t>
  </si>
  <si>
    <t>Refund for box of candy</t>
  </si>
  <si>
    <t>MARK WYNN</t>
  </si>
  <si>
    <t>BHS Choir Trip exps- NYC</t>
  </si>
  <si>
    <t>BHS Student badges</t>
  </si>
  <si>
    <t>BMS-POMS FOR CHEER</t>
  </si>
  <si>
    <t xml:space="preserve">North-Talent SHOW SUPPLIES </t>
  </si>
  <si>
    <t>West - Replenish petty cash</t>
  </si>
  <si>
    <t>TIS-WATER</t>
  </si>
  <si>
    <t>West - Water</t>
  </si>
  <si>
    <t>Banners for Medical City</t>
  </si>
  <si>
    <t>BHE WATER</t>
  </si>
  <si>
    <t xml:space="preserve">West Elem - PICTURES </t>
  </si>
  <si>
    <t xml:space="preserve">TIS-TEACHER APPRECIATION </t>
  </si>
  <si>
    <t>Hope Week Supplies</t>
  </si>
  <si>
    <t>North- Snacks</t>
  </si>
  <si>
    <t xml:space="preserve">BHS Frames - PANO PICS </t>
  </si>
  <si>
    <t>Track meet</t>
  </si>
  <si>
    <t>BMS-CRASH CART</t>
  </si>
  <si>
    <t>North- drinks 4th</t>
  </si>
  <si>
    <t>TIS- DONUTS FOR BUS DRIVER</t>
  </si>
  <si>
    <t>Breakfast Staff DEVELOPMENT</t>
  </si>
  <si>
    <t>North- Writers TABLE</t>
  </si>
  <si>
    <t>North- Crates for KEEPER BOOKS</t>
  </si>
  <si>
    <t>North- Toty Decor</t>
  </si>
  <si>
    <t>BHS Stuco homeless Sheltor</t>
  </si>
  <si>
    <t xml:space="preserve"> February Paw Panty</t>
  </si>
  <si>
    <t>TIS-CAKE AND PUNCH</t>
  </si>
  <si>
    <t>February Paw Panty</t>
  </si>
  <si>
    <t xml:space="preserve">North- DIAG GIFT </t>
  </si>
  <si>
    <t xml:space="preserve">North- Destination IMAGINATION </t>
  </si>
  <si>
    <t>North- Dodge Ball</t>
  </si>
  <si>
    <t>North- Snack gift</t>
  </si>
  <si>
    <t>BMS-CHEER AWARDS</t>
  </si>
  <si>
    <t xml:space="preserve"> TIS-CAKE AND PUNCH</t>
  </si>
  <si>
    <t xml:space="preserve"> West - Min it to WIN IT</t>
  </si>
  <si>
    <t xml:space="preserve">West - DANCE </t>
  </si>
  <si>
    <t>ABIGAIL LYON</t>
  </si>
  <si>
    <t>BHS Contracted service for DRILL TEAM</t>
  </si>
  <si>
    <t>TECH JACKETS/PULLOVERS</t>
  </si>
  <si>
    <t>TECH JACKETS</t>
  </si>
  <si>
    <t>AEROWAVE TECHNOLOGIES</t>
  </si>
  <si>
    <t>Bank Charger</t>
  </si>
  <si>
    <t>W/O #15512- A/C DUCT REMODEL</t>
  </si>
  <si>
    <t>W/O #15587- LG MINI SPLIT</t>
  </si>
  <si>
    <t>ALLIANCE UMPIRE ASSOCIATION</t>
  </si>
  <si>
    <t>Baseball Scrimmage officials</t>
  </si>
  <si>
    <t xml:space="preserve">MEALS REIMBURSEMENT </t>
  </si>
  <si>
    <t xml:space="preserve">WO# 15740 - Replace broken FLOOR CLOSURE </t>
  </si>
  <si>
    <t>EMERGENCY GLASS REPLACEMENT</t>
  </si>
  <si>
    <t>AZLE HIGH SCHOOL ATHLETICS</t>
  </si>
  <si>
    <t>Golf Entry fee</t>
  </si>
  <si>
    <t>BMS-2-WAY RADIOS</t>
  </si>
  <si>
    <t>North- Radios and Batteries</t>
  </si>
  <si>
    <t>Feb 2019 background checks</t>
  </si>
  <si>
    <t>TIS- REVAMP OF STAGE - SOUND EQUIP</t>
  </si>
  <si>
    <t>BEST ATTENDANCE FEBRUARY 2019</t>
  </si>
  <si>
    <t xml:space="preserve">Academic Reading, 1st Term </t>
  </si>
  <si>
    <t>LEGAL SERVICES</t>
  </si>
  <si>
    <t>BEST ATTENDANCE IN FEBRUARY</t>
  </si>
  <si>
    <t>REIMBURSEMENT FOR LICENSE</t>
  </si>
  <si>
    <t>Boys Track Uniforms</t>
  </si>
  <si>
    <t>Girls Track Uniforms</t>
  </si>
  <si>
    <t>Soccer Equipment /attire</t>
  </si>
  <si>
    <t>Golf uniform</t>
  </si>
  <si>
    <t>Printing for MS Boys B-BALL Jerseys</t>
  </si>
  <si>
    <t>Footballs for Middle School</t>
  </si>
  <si>
    <t>Coaching clothes for tennis</t>
  </si>
  <si>
    <t>Supplies for MS Girls</t>
  </si>
  <si>
    <t>Girls Basketball uniform</t>
  </si>
  <si>
    <t>Wrestling uniforms</t>
  </si>
  <si>
    <t>Cross Country attire/supplies</t>
  </si>
  <si>
    <t>BUREAU OF EDUCATION AND RESEARCH</t>
  </si>
  <si>
    <t>BW SOFTWARE</t>
  </si>
  <si>
    <t>ATH, Football Software</t>
  </si>
  <si>
    <t>WO# 15715 - Repair HVAC</t>
  </si>
  <si>
    <t>North- Headphones</t>
  </si>
  <si>
    <t>North- Replacement projector</t>
  </si>
  <si>
    <t>Color Printer for CLASSROOM</t>
  </si>
  <si>
    <t>BHS Printer for Office</t>
  </si>
  <si>
    <t>LIBERTY - Toner for Grade LEVEL</t>
  </si>
  <si>
    <t>W/O #15626- REPLACE LIGHTS IN</t>
  </si>
  <si>
    <t>CHANCE TO SOAR</t>
  </si>
  <si>
    <t>North-  chance to soar Staff</t>
  </si>
  <si>
    <t>CHELSEA ANNE CASNER</t>
  </si>
  <si>
    <t>UIL One act play clinic entry</t>
  </si>
  <si>
    <t>CHRIS JENKINS</t>
  </si>
  <si>
    <t xml:space="preserve">MEALS - REIMBURSEMENT </t>
  </si>
  <si>
    <t>W/O #15555- RE-STRIP PARKING</t>
  </si>
  <si>
    <t>CITY OF FORT WORTH</t>
  </si>
  <si>
    <t xml:space="preserve">RENEW GREASE TRAP PERMITS </t>
  </si>
  <si>
    <t>CLEAR CHANNEL OUTDOOR</t>
  </si>
  <si>
    <t>2019 Contract for Production</t>
  </si>
  <si>
    <t>CROSSPOINT COMMUNICATIONS</t>
  </si>
  <si>
    <t>base charger for Motorola</t>
  </si>
  <si>
    <t>CUMMINS-ALLISON CORP</t>
  </si>
  <si>
    <t>SHREDDER</t>
  </si>
  <si>
    <t>New Desk for HR Receptionist</t>
  </si>
  <si>
    <t>HR - FILE CABINET FOR RECEPTIONIST</t>
  </si>
  <si>
    <t>TIS-PRINTER CARTRIDGES</t>
  </si>
  <si>
    <t>BHS computer for attendance</t>
  </si>
  <si>
    <t>DISTRICT COMPUTERS</t>
  </si>
  <si>
    <t xml:space="preserve">DIR TELECOM BILL </t>
  </si>
  <si>
    <t>DESIREE COYLE</t>
  </si>
  <si>
    <t xml:space="preserve">ENTRY FEES FOR BHS CHOIR </t>
  </si>
  <si>
    <t>ENTRY AND LICENCE FEES FOR BAND UIL</t>
  </si>
  <si>
    <t>Renewal dues</t>
  </si>
  <si>
    <t>EKON-O-PAC, LLC</t>
  </si>
  <si>
    <t>CN BAG SEALER</t>
  </si>
  <si>
    <t>North- Region 11 training</t>
  </si>
  <si>
    <t>ESPECIAL NEEDS, LLC</t>
  </si>
  <si>
    <t>SPECIAL PROGRAMS: MOBILITY SYSTEM</t>
  </si>
  <si>
    <t xml:space="preserve">West - 2ND GRADE </t>
  </si>
  <si>
    <t>Lock boxes for Police Dept.</t>
  </si>
  <si>
    <t>Intoxilyzer for the Police</t>
  </si>
  <si>
    <t>GILMAN GEAR</t>
  </si>
  <si>
    <t xml:space="preserve">ATH, Throwing net for FOOTBALL </t>
  </si>
  <si>
    <t>ATH, Drop in Net</t>
  </si>
  <si>
    <t>WRESTLING TRANSPORTATION</t>
  </si>
  <si>
    <t>W/O #15780- HEATER REPAIR IN</t>
  </si>
  <si>
    <t>REPAIR FOR OVEN AT BREWER</t>
  </si>
  <si>
    <t>Top Oven not working</t>
  </si>
  <si>
    <t>REPAIR FOR DISPOSAL AT NORTH</t>
  </si>
  <si>
    <t>TIS- CAN DO PRINT - DYSLEXIA</t>
  </si>
  <si>
    <t>HARRIS COUNTY TOLL ROAD AUTHORITY</t>
  </si>
  <si>
    <t xml:space="preserve">Tolls for theater clinic </t>
  </si>
  <si>
    <t>Bond renewal for Steve Baker</t>
  </si>
  <si>
    <t>Bond for Shane Denham, Police</t>
  </si>
  <si>
    <t>bond renewal for Steve Baker</t>
  </si>
  <si>
    <t xml:space="preserve">WO#: 13135 - Additional MATERIAL </t>
  </si>
  <si>
    <t>WO#: 15316 - Parts for BHS</t>
  </si>
  <si>
    <t xml:space="preserve">W/O #14721- REPAIR BROKEN WATER LINE </t>
  </si>
  <si>
    <t xml:space="preserve">W/O #15209- PURCHASE PANEL FOR GYM </t>
  </si>
  <si>
    <t xml:space="preserve">WO#: 13135 - Purchase PLUMBING FIXTURES </t>
  </si>
  <si>
    <t xml:space="preserve">W/O #15469- BUILD NEW COOL DOWN ROOM </t>
  </si>
  <si>
    <t xml:space="preserve">W/O #15132- STOCK ITEMS </t>
  </si>
  <si>
    <t>WO#15505 -filling in potholes</t>
  </si>
  <si>
    <t xml:space="preserve">W/O #15428- REPAIR LIGHTS AT BHS </t>
  </si>
  <si>
    <t>W/O #15565- INSTALL CABINET</t>
  </si>
  <si>
    <t xml:space="preserve">W/O #14717- REPLACE AIR COMPRESSOR </t>
  </si>
  <si>
    <t>W/O #15565- CABINET FOR COACH</t>
  </si>
  <si>
    <t>FOR VEHICLE #663 @ OPERATIONS</t>
  </si>
  <si>
    <t xml:space="preserve">W/O #12643- REPAIR LEAKING FAUCET </t>
  </si>
  <si>
    <t xml:space="preserve">W/O #15617- REPLACE FAUCET-BHS </t>
  </si>
  <si>
    <t xml:space="preserve">W/O #15512- PHASE (1) SPED KITCHEN </t>
  </si>
  <si>
    <t xml:space="preserve">W/O #15629- REPLACE FAUCET - TIS </t>
  </si>
  <si>
    <t xml:space="preserve">W/O #15626- REPLACE LIGHTS - TIS </t>
  </si>
  <si>
    <t>W/O #15621- FOR CUSTODIAL</t>
  </si>
  <si>
    <t xml:space="preserve">BMS-"HYDROPHONIC " GRANT </t>
  </si>
  <si>
    <t>BHS Band music</t>
  </si>
  <si>
    <t>JOHNSON, ASHLEY</t>
  </si>
  <si>
    <t xml:space="preserve">BHS Student meals for Law ENFOR- COMP </t>
  </si>
  <si>
    <t xml:space="preserve">BMS-LODGING - TMEA CONFERENCE </t>
  </si>
  <si>
    <t xml:space="preserve">Business Office lodging - TASBO </t>
  </si>
  <si>
    <t xml:space="preserve">BUSINESS OFFICE - ADDITIONAL ROOMS </t>
  </si>
  <si>
    <t xml:space="preserve">Lodging for Counselor CONFERNCE </t>
  </si>
  <si>
    <t>BHS LODGING FOR SCHOOL COUNSELORS CONF</t>
  </si>
  <si>
    <t>2018-2019 AI TEACHER CONTRACT SERV</t>
  </si>
  <si>
    <t>TECH E-RATE MGMT SVCS</t>
  </si>
  <si>
    <t>LAKE WORTH ISD</t>
  </si>
  <si>
    <t xml:space="preserve">Entry Fee Baseball </t>
  </si>
  <si>
    <t>ED311</t>
  </si>
  <si>
    <t>HUMAN RESOURCES - Texas</t>
  </si>
  <si>
    <t>TECH- CLOCKS AT TIS SERVICE</t>
  </si>
  <si>
    <t>W/O #5324- CAULK METAL EDGES</t>
  </si>
  <si>
    <t>TIS - DREMEL 3D PRINTER -</t>
  </si>
  <si>
    <t xml:space="preserve">WO#: 15306 School: BHS WEIGHT ROOM </t>
  </si>
  <si>
    <t>Protective vest</t>
  </si>
  <si>
    <t>direct embroidery and patches</t>
  </si>
  <si>
    <t>Uniform pants for POLICE DEPT</t>
  </si>
  <si>
    <t xml:space="preserve">Hemming of uniform pants </t>
  </si>
  <si>
    <t>uniform shirts embroidered</t>
  </si>
  <si>
    <t>Jacket for POLICE DEPT</t>
  </si>
  <si>
    <t>W/O #7723- REPLACE BUBBLER</t>
  </si>
  <si>
    <t>W/O #15288- RESTROOM REPAIRS- BMS</t>
  </si>
  <si>
    <t xml:space="preserve">W/O #15785- PARTS FOR MOP SINK </t>
  </si>
  <si>
    <t>FUEL</t>
  </si>
  <si>
    <t>RISE - Paper for RISE</t>
  </si>
  <si>
    <t>LIBERTY - Various supplies</t>
  </si>
  <si>
    <t>Office supplies for Police</t>
  </si>
  <si>
    <t>TIS- COPIER PAPER</t>
  </si>
  <si>
    <t>Supplies for Secondary Summer</t>
  </si>
  <si>
    <t>BUSINESS OFFICE - PRINTER</t>
  </si>
  <si>
    <t xml:space="preserve">LIBERTY -Copy paper </t>
  </si>
  <si>
    <t>TIS- ELECTRIC STAPLER</t>
  </si>
  <si>
    <t>Elementary Summer School</t>
  </si>
  <si>
    <t>Copy paper order</t>
  </si>
  <si>
    <t>SPECIAL PROGRAMS: COPY PAPER</t>
  </si>
  <si>
    <t xml:space="preserve">STATE INSPECTIONS </t>
  </si>
  <si>
    <t>W/O #15717- REPAIR HEATER/ AC</t>
  </si>
  <si>
    <t>N2Y</t>
  </si>
  <si>
    <t>SPECIAL PROGRAMS:  N2Y</t>
  </si>
  <si>
    <t xml:space="preserve">Notary renewal for EMPLOYEE </t>
  </si>
  <si>
    <t>NATIONAL ASSOCIATION OF SCHOOL RESOURCE OFFIC</t>
  </si>
  <si>
    <t>Membership for Training for POLICE OFFICERS</t>
  </si>
  <si>
    <t>BHS UIL tolls</t>
  </si>
  <si>
    <t>Toll Fee for Softball</t>
  </si>
  <si>
    <t xml:space="preserve">tolls for drama clinic </t>
  </si>
  <si>
    <t>WO# 15757 - Replace brake PADS</t>
  </si>
  <si>
    <t>CN OFFICE FEBRUARY INVOICES</t>
  </si>
  <si>
    <t>BMS -FOLDERS FOR HISTORY</t>
  </si>
  <si>
    <t>CN OFFICE TONER AND SUPPLIES</t>
  </si>
  <si>
    <t>SPECIAL PROGRAMS: GLOVES</t>
  </si>
  <si>
    <t xml:space="preserve">Summer School Supplies </t>
  </si>
  <si>
    <t>North- Counselor Office</t>
  </si>
  <si>
    <t xml:space="preserve">2018-2019 VISION SERVICES VI STUDENTS </t>
  </si>
  <si>
    <t>PARTSXPRESS</t>
  </si>
  <si>
    <t xml:space="preserve">W/O #15764- REPAIR LIGHTED WARMER </t>
  </si>
  <si>
    <t xml:space="preserve">Football Stadium Supplies - VIP ROOM </t>
  </si>
  <si>
    <t xml:space="preserve">WO# 15702 - Paint for field - TRACK EVENTS </t>
  </si>
  <si>
    <t>POSTAGE BY PHONE METER REFILL</t>
  </si>
  <si>
    <t>REALITYWORKS</t>
  </si>
  <si>
    <t>BHS  FCCLA Wristbands</t>
  </si>
  <si>
    <t>BHS Counselor</t>
  </si>
  <si>
    <t xml:space="preserve">Blue Haze Elem Office Offense REPORT </t>
  </si>
  <si>
    <t xml:space="preserve">WO# 15588 - Replace reserved PARKING SIGNS </t>
  </si>
  <si>
    <t>W/O #15756- FOR WEST SIDE BUILDING</t>
  </si>
  <si>
    <t xml:space="preserve">W/O #15512- REPLACE OLD SIGN AT SPECIAL PROGRAMS </t>
  </si>
  <si>
    <t xml:space="preserve">W/O #14839- DISTRICT- WIDE SERVICE </t>
  </si>
  <si>
    <t>North- class room BOOKS</t>
  </si>
  <si>
    <t>SCHOOL NUTRITION ASSOCIATION</t>
  </si>
  <si>
    <t>CN OFFICE SNA MEMBERSHIPS</t>
  </si>
  <si>
    <t>TIS- LAMINATOR</t>
  </si>
  <si>
    <t xml:space="preserve">SPECIAL PROGRAMS: PT EQUIPMENT </t>
  </si>
  <si>
    <t>tardy books</t>
  </si>
  <si>
    <t xml:space="preserve">FAA - dictionaries for TESTING </t>
  </si>
  <si>
    <t xml:space="preserve">White Settlement PD for VARSITY FOOTBALL </t>
  </si>
  <si>
    <t xml:space="preserve">SPECIAL PROGRAMS: 2018-2019 CONTRACT SPEECH </t>
  </si>
  <si>
    <t>STAAR Prep Materials for 5th</t>
  </si>
  <si>
    <t>Sirius  3rd and 4th Grade</t>
  </si>
  <si>
    <t>Grade 3 &amp; 4  Math Zingers</t>
  </si>
  <si>
    <t xml:space="preserve">CONFERENCE </t>
  </si>
  <si>
    <t>SPECTRUM CORPORATION</t>
  </si>
  <si>
    <t>Practice Segment Timer</t>
  </si>
  <si>
    <t>SPRINGTOWN INDEPENDENT SCHOOL DISTRICT</t>
  </si>
  <si>
    <t>Baseball entry fee</t>
  </si>
  <si>
    <t>BUSINESS OFFICE - LEGAL AD</t>
  </si>
  <si>
    <t xml:space="preserve">W/O #13774- DEODORIZING SERVICE </t>
  </si>
  <si>
    <t xml:space="preserve">2018-2019 CONTRACTED SERVICES - PT </t>
  </si>
  <si>
    <t>CN OFFICE FEB INVOICES</t>
  </si>
  <si>
    <t>CN OFFICE SYSCO FEBRUARY</t>
  </si>
  <si>
    <t>CN OFFICE FEBRUARY SYSCO</t>
  </si>
  <si>
    <t>TARRANT COUNTY CHALLENGE</t>
  </si>
  <si>
    <t>Leo Benavides Award Dinner</t>
  </si>
  <si>
    <t xml:space="preserve">Contract AT Services </t>
  </si>
  <si>
    <t>TRINITY CHRISTIAN ACADEMY</t>
  </si>
  <si>
    <t xml:space="preserve">Proceeds from hosting BASKETBALL TOURNEY </t>
  </si>
  <si>
    <t>TECH TOLL CHARGES</t>
  </si>
  <si>
    <t>BHS CTE tolls</t>
  </si>
  <si>
    <t xml:space="preserve">WSISD UNLIMITED TAX SCHOOL - BOND FEES </t>
  </si>
  <si>
    <t>WO# 15745 - Repair boom lift</t>
  </si>
  <si>
    <t>2nd Round Campus Testing</t>
  </si>
  <si>
    <t xml:space="preserve">Waters, breakfast bars and ETC </t>
  </si>
  <si>
    <t>BHS TOTY supplies</t>
  </si>
  <si>
    <t>FCLC Valentine Class Party</t>
  </si>
  <si>
    <t>BMS-GRANT SUPPLIES</t>
  </si>
  <si>
    <t>Air Mesh Dodge Ball for PE</t>
  </si>
  <si>
    <t>North- 4th STEAM Night</t>
  </si>
  <si>
    <t>North- Supplies for DI Team</t>
  </si>
  <si>
    <t>North-STEAM night supplies</t>
  </si>
  <si>
    <t>North- Luncheon for TA's</t>
  </si>
  <si>
    <t>Makerspace supplies</t>
  </si>
  <si>
    <t xml:space="preserve">supplies for Destination IMAGINATION </t>
  </si>
  <si>
    <t>Supplies &amp; Food</t>
  </si>
  <si>
    <t xml:space="preserve">Valentine Breakfast </t>
  </si>
  <si>
    <t xml:space="preserve">Frames and gift bags </t>
  </si>
  <si>
    <t xml:space="preserve">Snacks and drinks for Tuesday CLASSES </t>
  </si>
  <si>
    <t>SPECIAL PROGRAMS: PRIDE</t>
  </si>
  <si>
    <t>interest charges on Walmart</t>
  </si>
  <si>
    <t xml:space="preserve">Dual Language Water and SNACKS </t>
  </si>
  <si>
    <t>waste connections bill</t>
  </si>
  <si>
    <t xml:space="preserve">BHS Gas for EMPLOYEE </t>
  </si>
  <si>
    <t xml:space="preserve">BHS Gas card for EMPLOYEE </t>
  </si>
  <si>
    <t xml:space="preserve">Gas card for EMPLOYEE </t>
  </si>
  <si>
    <t xml:space="preserve">Health services - Nurses SYMPOSIUM </t>
  </si>
  <si>
    <t>Bi district fee for Theater</t>
  </si>
  <si>
    <t xml:space="preserve">Hotel - TCEA CONVENTION </t>
  </si>
  <si>
    <t>BHS Lodging for SCHOOL COUNSELORS CONF</t>
  </si>
  <si>
    <t xml:space="preserve">BMS-LODGING FOR TMEA CONF </t>
  </si>
  <si>
    <t>Laserfiche Renewal</t>
  </si>
  <si>
    <t>ATH, pregame meal for soccer</t>
  </si>
  <si>
    <t>ATH, Boys Soccer post playoff</t>
  </si>
  <si>
    <t>supplies-BHE</t>
  </si>
  <si>
    <t>Shirts for DAEP Students</t>
  </si>
  <si>
    <t>BHS Cheer banner</t>
  </si>
  <si>
    <t>North- Phone Cords</t>
  </si>
  <si>
    <t xml:space="preserve">FCLC Classroom Supplies </t>
  </si>
  <si>
    <t>BHE megaphones</t>
  </si>
  <si>
    <t>BLAKE MCDOWELL</t>
  </si>
  <si>
    <t>refund on senior celebration</t>
  </si>
  <si>
    <t>BOOSTER ENTERPRISES INC</t>
  </si>
  <si>
    <t>deposit Boosterthon</t>
  </si>
  <si>
    <t xml:space="preserve"> Admin Jackets</t>
  </si>
  <si>
    <t xml:space="preserve"> Baseball Spring Equipment</t>
  </si>
  <si>
    <t xml:space="preserve"> Polo for staff</t>
  </si>
  <si>
    <t>Sub Varsity GEAR</t>
  </si>
  <si>
    <t xml:space="preserve">GEAR FOR STUDENTS </t>
  </si>
  <si>
    <t xml:space="preserve"> Jerseys for Softball</t>
  </si>
  <si>
    <t>Boys soccer</t>
  </si>
  <si>
    <t>CASH COW FUNDRAISING</t>
  </si>
  <si>
    <t>BMS- BAND Popcorn Fundraiser</t>
  </si>
  <si>
    <t xml:space="preserve">BMS-CHICKEN SANDWICHES </t>
  </si>
  <si>
    <t>BHS Yearbook working lunch</t>
  </si>
  <si>
    <t xml:space="preserve">Registration- NURSE SYMPOSIUM </t>
  </si>
  <si>
    <t>BHS Dual credit field trip</t>
  </si>
  <si>
    <t>DFW DRAPE AND LIGHTING LLC</t>
  </si>
  <si>
    <t>BHS Prom Decor</t>
  </si>
  <si>
    <t>DRUMFIT USA CORPORATION</t>
  </si>
  <si>
    <t>FINE ARTS- DRUMFIT FOR PE</t>
  </si>
  <si>
    <t>FAITH EGLOFF</t>
  </si>
  <si>
    <t xml:space="preserve">Bus drop off pick up for SOFTBALL </t>
  </si>
  <si>
    <t>JESSICA ULLOA</t>
  </si>
  <si>
    <t>KAREN KELLY</t>
  </si>
  <si>
    <t xml:space="preserve">Refund FOR STUDENT </t>
  </si>
  <si>
    <t>LISA EDMUNDS</t>
  </si>
  <si>
    <t>West - TOTY meals</t>
  </si>
  <si>
    <t>North-Office</t>
  </si>
  <si>
    <t>MGM PRINTING INC</t>
  </si>
  <si>
    <t xml:space="preserve">BMS-SWEATSHIRTS </t>
  </si>
  <si>
    <t>BHS Prom supplies</t>
  </si>
  <si>
    <t>BHS prom decor</t>
  </si>
  <si>
    <t>To replenish petty cash</t>
  </si>
  <si>
    <t>BHS Positive Proof name</t>
  </si>
  <si>
    <t>TIS-MUSIC FESTIVAL</t>
  </si>
  <si>
    <t>RON CLARK ACADEMY</t>
  </si>
  <si>
    <t xml:space="preserve">Registration Fee </t>
  </si>
  <si>
    <t xml:space="preserve"> FAA snack shack</t>
  </si>
  <si>
    <t>Hospitality for BEN DAVIS RELAYS</t>
  </si>
  <si>
    <t xml:space="preserve">Drinks for BEN DAVIS RELAYS </t>
  </si>
  <si>
    <t>TIS-Food/paper</t>
  </si>
  <si>
    <t>North- Crash Cart</t>
  </si>
  <si>
    <t xml:space="preserve">BMS- ROUND TABLE </t>
  </si>
  <si>
    <t xml:space="preserve">BHS Teacher WORKING LUNCH </t>
  </si>
  <si>
    <t>BHS student INCENTIVE</t>
  </si>
  <si>
    <t>TIS kitchen</t>
  </si>
  <si>
    <t xml:space="preserve">FAA TOTY RECEPTION </t>
  </si>
  <si>
    <t xml:space="preserve">BMS-APPETIZERS FOR MEETING </t>
  </si>
  <si>
    <t xml:space="preserve">Teacher of the YR RECEPTION </t>
  </si>
  <si>
    <t>North- Toty Cake/ Flowers</t>
  </si>
  <si>
    <t>BHS snacks for testing day</t>
  </si>
  <si>
    <t>BHE food for TOY Banquet</t>
  </si>
  <si>
    <t>BHS Student Attendance Celebration</t>
  </si>
  <si>
    <t xml:space="preserve"> Benchmark and Snack Shack</t>
  </si>
  <si>
    <t xml:space="preserve"> North- Granola BARS - color run</t>
  </si>
  <si>
    <t>SCHLITTERBAHN WATERPARK &amp; RESORT</t>
  </si>
  <si>
    <t>BHS Band trip deposit</t>
  </si>
  <si>
    <t>final pymnt playground bounce house</t>
  </si>
  <si>
    <t>BHE House shirts</t>
  </si>
  <si>
    <t>Uniforms 2019 Season</t>
  </si>
  <si>
    <t>West - STAAR tees</t>
  </si>
  <si>
    <t>FAA UIL T-SHIRTS</t>
  </si>
  <si>
    <t>TIS-BAND Popcorn Fundraiser</t>
  </si>
  <si>
    <t>BHS Theatre Supplies</t>
  </si>
  <si>
    <t>ATH, Soccer playoff's post Game</t>
  </si>
  <si>
    <t>TECH PENS FOR BEAR BYTES</t>
  </si>
  <si>
    <t>Stadium VIP Room Supplies</t>
  </si>
  <si>
    <t xml:space="preserve">W/O #15959-  SUPPLIES - TIS </t>
  </si>
  <si>
    <t xml:space="preserve">W/O #15717- HEATER REPAIR - BHS </t>
  </si>
  <si>
    <t>ALLDATA, LLC.</t>
  </si>
  <si>
    <t xml:space="preserve">SUBSCRIPTION RENEWAL </t>
  </si>
  <si>
    <t>AMANDA SLADEK</t>
  </si>
  <si>
    <t>BHS Drill team judges</t>
  </si>
  <si>
    <t>West - misc. supplies</t>
  </si>
  <si>
    <t>BMS-GENERAL OFFICE SUPPLIES</t>
  </si>
  <si>
    <t xml:space="preserve">Table top sign stands </t>
  </si>
  <si>
    <t>ART supplies</t>
  </si>
  <si>
    <t xml:space="preserve">4th grade supplies   </t>
  </si>
  <si>
    <t>North- Grant SUPPLIES</t>
  </si>
  <si>
    <t>wireless presenter</t>
  </si>
  <si>
    <t xml:space="preserve">BHS Grant </t>
  </si>
  <si>
    <t xml:space="preserve">West - all grades supplies </t>
  </si>
  <si>
    <t>FINE ARTS - document camera</t>
  </si>
  <si>
    <t>TECH WIRELESS PRESENTER</t>
  </si>
  <si>
    <t>West - Classroom supplies</t>
  </si>
  <si>
    <t>North- 3D Printer Filament</t>
  </si>
  <si>
    <t>SUPPLIES FOR OPERATIONS</t>
  </si>
  <si>
    <t>DAEP - headphones for student</t>
  </si>
  <si>
    <t xml:space="preserve">BMS-GAMES AND PUZZLES </t>
  </si>
  <si>
    <t>West - Counselors supplies</t>
  </si>
  <si>
    <t>SPECIAL PROGRAMS: PT</t>
  </si>
  <si>
    <t>HP Laserjet ink cartridges</t>
  </si>
  <si>
    <t>North- Books for Counselor</t>
  </si>
  <si>
    <t>Books for GT</t>
  </si>
  <si>
    <t xml:space="preserve">Training hurdles for TRACK </t>
  </si>
  <si>
    <t>West - Staff supplies</t>
  </si>
  <si>
    <t>West - Teacher classroom</t>
  </si>
  <si>
    <t xml:space="preserve">BHS Calculators </t>
  </si>
  <si>
    <t>BLUE HAZE - Supplies</t>
  </si>
  <si>
    <t>BHS Counselor supplies</t>
  </si>
  <si>
    <t>book for 3rd grade math</t>
  </si>
  <si>
    <t>SPECIAL PROGRAMS: FIDGET ITEMS</t>
  </si>
  <si>
    <t>FAA ATTENDANCE INCENTIVE</t>
  </si>
  <si>
    <t>RISE - Circuit Mat for Rise</t>
  </si>
  <si>
    <t>BMS-PLASTIC SLEEVES FOR ID'S</t>
  </si>
  <si>
    <t>INSTRUCTION - First Days - SCHOOL</t>
  </si>
  <si>
    <t xml:space="preserve">West - Classroom supplies </t>
  </si>
  <si>
    <t>BMS-ID PRINTING CARDS</t>
  </si>
  <si>
    <t>BHS Mattress for Health</t>
  </si>
  <si>
    <t>BLUE HAZE - megaphones</t>
  </si>
  <si>
    <t>West Elem. - School / OFFICE SUPPLIES</t>
  </si>
  <si>
    <t>West - grade level supplies</t>
  </si>
  <si>
    <t xml:space="preserve">Items for Grant </t>
  </si>
  <si>
    <t xml:space="preserve">SPECIAL PROGRAMS: SPECIAL OLYMPICS </t>
  </si>
  <si>
    <t xml:space="preserve">supplies 4th grade </t>
  </si>
  <si>
    <t xml:space="preserve">WO# 15597 - Replace broken WINDOW </t>
  </si>
  <si>
    <t>TECH BEAR BYTES RAFFLE ITEMS</t>
  </si>
  <si>
    <t>Competition volleyballs</t>
  </si>
  <si>
    <t>Boys soccer clothing</t>
  </si>
  <si>
    <t>ATH, BMS Track Sweats</t>
  </si>
  <si>
    <t>Soft Ball  Screens</t>
  </si>
  <si>
    <t>WO# 15305 - Purchase uniform</t>
  </si>
  <si>
    <t>Girls Basketball coaches gear</t>
  </si>
  <si>
    <t>Baseball hats, jackets,</t>
  </si>
  <si>
    <t>Uniforms</t>
  </si>
  <si>
    <t>Girls Basketball Scorebooks</t>
  </si>
  <si>
    <t>Athletic supplies and apparel</t>
  </si>
  <si>
    <t>W/O #5361- Wall Pad Replacement</t>
  </si>
  <si>
    <t>Nike Sideline supplies</t>
  </si>
  <si>
    <t>CALES PSYCHOLOGY AND COUNSELING</t>
  </si>
  <si>
    <t>FEES FOR A PSYCHOLOGICAL EVAL</t>
  </si>
  <si>
    <t xml:space="preserve">LIBERTY - Toner for Grade LEVEL </t>
  </si>
  <si>
    <t>REPAIR/ REPLACE LIGHTS</t>
  </si>
  <si>
    <t>Water Services for 02.09.2019</t>
  </si>
  <si>
    <t>WATER SERVICE FOR 02.08.2019</t>
  </si>
  <si>
    <t>Ath, Tables for trainers</t>
  </si>
  <si>
    <t>Entry and license fee for Choir</t>
  </si>
  <si>
    <t>DOUG GARMAN PIANO SERVICE</t>
  </si>
  <si>
    <t>BHS Choir Piano tuning</t>
  </si>
  <si>
    <t>Drug Testing, March, 2019.</t>
  </si>
  <si>
    <t>ENGINEERED AIR</t>
  </si>
  <si>
    <t>W/O #15781- OAU #1 NOT WORKING</t>
  </si>
  <si>
    <t>W/O #15566- REPLACE THE HVAC</t>
  </si>
  <si>
    <t xml:space="preserve">W/O #15512- INSTALL CONTROLLER </t>
  </si>
  <si>
    <t>ENVOY GLOBAL, INC</t>
  </si>
  <si>
    <t>Contract Service fees for ESL</t>
  </si>
  <si>
    <t>Tech Renewal Resource Manager</t>
  </si>
  <si>
    <t>FORT WORTH NATURE CENTER &amp; REFUGE</t>
  </si>
  <si>
    <t xml:space="preserve">West -  4th GRADE FIELD TRIP </t>
  </si>
  <si>
    <t>BHS Remainder of balance - Graduation</t>
  </si>
  <si>
    <t>West - grade level field trip</t>
  </si>
  <si>
    <t>Trainer hose storage for rio Carts</t>
  </si>
  <si>
    <t xml:space="preserve">Absence Management </t>
  </si>
  <si>
    <t>FAN BUSSES FOR BASKETBALL</t>
  </si>
  <si>
    <t xml:space="preserve">Buses for Baseball </t>
  </si>
  <si>
    <t>Buses for basketball playoff</t>
  </si>
  <si>
    <t xml:space="preserve">Buses for Boys Soccer </t>
  </si>
  <si>
    <t>Bus for Cheer TO  Basketball</t>
  </si>
  <si>
    <t>BUSINESS OFFICE - FAN BUS</t>
  </si>
  <si>
    <t xml:space="preserve">Bus Request for Choir </t>
  </si>
  <si>
    <t xml:space="preserve">Fan Bus  </t>
  </si>
  <si>
    <t>Bus for Family Community</t>
  </si>
  <si>
    <t>BHS Bus Use</t>
  </si>
  <si>
    <t>Bus for Golf Feb 21</t>
  </si>
  <si>
    <t>Bus Use Special Programs</t>
  </si>
  <si>
    <t xml:space="preserve">Buses for power-lifting </t>
  </si>
  <si>
    <t xml:space="preserve">Buses for Softball </t>
  </si>
  <si>
    <t>Buses for Boy's and Girls Track</t>
  </si>
  <si>
    <t>bus-- February 19, 2019   1st GRADE</t>
  </si>
  <si>
    <t>bus for 2nd grade to casa</t>
  </si>
  <si>
    <t>Buses for BMS boys and girls TRACK</t>
  </si>
  <si>
    <t>Bus Request for Drill Team</t>
  </si>
  <si>
    <t>Bus for Drill Team to go to BMS</t>
  </si>
  <si>
    <t>North- Bus for 1st grade trip</t>
  </si>
  <si>
    <t xml:space="preserve">North- Boyer Field trip </t>
  </si>
  <si>
    <t>BUSSES FOR SPELLING BEE</t>
  </si>
  <si>
    <t>TIS - TRANSPORTATION</t>
  </si>
  <si>
    <t>TIS-OVERAGE ON BUST COST</t>
  </si>
  <si>
    <t xml:space="preserve">TIS - TRANSPORTATION </t>
  </si>
  <si>
    <t>BMS-TRANSPORTATION FOR UIL</t>
  </si>
  <si>
    <t>Bus for UIL Academic</t>
  </si>
  <si>
    <t xml:space="preserve">BHS/ PO to cover overage -UIL </t>
  </si>
  <si>
    <t>West - grade level trip - PK</t>
  </si>
  <si>
    <t>West - Field trip</t>
  </si>
  <si>
    <t xml:space="preserve">Bus for Winter Guard </t>
  </si>
  <si>
    <t>BHS/ PO to cover overage -UIL</t>
  </si>
  <si>
    <t>GOMEZ FLOOR COVERING, INC</t>
  </si>
  <si>
    <t>WO# 15789 - Install carpet- BHS</t>
  </si>
  <si>
    <t>W/O #15512- REPLACE CONDENSER</t>
  </si>
  <si>
    <t>Work on Liberty Dish Machine</t>
  </si>
  <si>
    <t xml:space="preserve">SPECIAL PROGRAMS: DECOR </t>
  </si>
  <si>
    <t>W/O #15596- FOR COMPRESSOR @ BHS</t>
  </si>
  <si>
    <t>WO# 15512 - SPED KItchen</t>
  </si>
  <si>
    <t>BHS  Lodging for MGMT COMP</t>
  </si>
  <si>
    <t>Ron Clark hotel reservations</t>
  </si>
  <si>
    <t>Child Nutrition Supplies</t>
  </si>
  <si>
    <t>Instructional Items for 1st</t>
  </si>
  <si>
    <t>FINE ARTS - horseshoe table</t>
  </si>
  <si>
    <t>LYNX SYSTEM DEVELOPERS INC</t>
  </si>
  <si>
    <t>ATH, Radio Lynx system</t>
  </si>
  <si>
    <t>hats and embroidery</t>
  </si>
  <si>
    <t>hats for Police Dept</t>
  </si>
  <si>
    <t>Liner belt for Doug Huseman</t>
  </si>
  <si>
    <t>BHS Meals  for STUDENTS - FCCLA STATE</t>
  </si>
  <si>
    <t xml:space="preserve">W/O #11975- STOCK ITEMS - PLUMBER </t>
  </si>
  <si>
    <t>W/O #15288- REPAIR MISC. ISSUES</t>
  </si>
  <si>
    <t xml:space="preserve">copy paper </t>
  </si>
  <si>
    <t>Tabs for Fundraising Packets</t>
  </si>
  <si>
    <t>BMS- COPY PAPER</t>
  </si>
  <si>
    <t>BUSINESS OFFICE - SORTER, SUPPLIES</t>
  </si>
  <si>
    <t>BHS general supplies</t>
  </si>
  <si>
    <t>Crates for Testing Supplies</t>
  </si>
  <si>
    <t>TECH OFFICE SUPPLIES</t>
  </si>
  <si>
    <t>Records Dept - pens, pencils, ETC</t>
  </si>
  <si>
    <t>Printer Laser Jet Toner</t>
  </si>
  <si>
    <t>W/O #15512- PHASE- 1 PLUMBING</t>
  </si>
  <si>
    <t>W/O #15295- REBUILD GEOTHERMAL WATER RUMP</t>
  </si>
  <si>
    <t>ATH, National Athletic CLINICAL</t>
  </si>
  <si>
    <t>02/27/19- VEHICLE #658, TOLL</t>
  </si>
  <si>
    <t>BMS- TOLLS FOR BOYS ATHLETICS</t>
  </si>
  <si>
    <t>10.00 fee on bill</t>
  </si>
  <si>
    <t>West - TOTY cake</t>
  </si>
  <si>
    <t>BMS-TUTORIAL SNACKS</t>
  </si>
  <si>
    <t>Child Nutrition Food</t>
  </si>
  <si>
    <t>READSPEAKER LLC</t>
  </si>
  <si>
    <t>ReadSpeaker</t>
  </si>
  <si>
    <t>BHS CTE brochures</t>
  </si>
  <si>
    <t>TIS-SNACKS FOR TUTORIALS</t>
  </si>
  <si>
    <t>BMS-CAKE AND FLOWERS - TOY</t>
  </si>
  <si>
    <t xml:space="preserve">MISCELLANEOUS SUPPLIES </t>
  </si>
  <si>
    <t>Student incentives for 4th</t>
  </si>
  <si>
    <t>LUNCH FOR OPERATIONS DEPT.</t>
  </si>
  <si>
    <t>West - Replenish staff drinks</t>
  </si>
  <si>
    <t>snacks for instructional</t>
  </si>
  <si>
    <t>BHS Scantron machine</t>
  </si>
  <si>
    <t>Quarterly Demographic Services</t>
  </si>
  <si>
    <t>BHS  Lab stools for Engineering</t>
  </si>
  <si>
    <t>BLUE HAZE - gradebooks/lesson</t>
  </si>
  <si>
    <t>BHS Lamintation</t>
  </si>
  <si>
    <t>SEAQUEST INTERACTIVE AQUARIUM</t>
  </si>
  <si>
    <t>FCLC &amp; Liberty PPCD Field TRIP</t>
  </si>
  <si>
    <t>SEIDLER, RACHEL</t>
  </si>
  <si>
    <t>refund for overpayment -FMLA</t>
  </si>
  <si>
    <t>W/O #15931- REPAINT OFFICE</t>
  </si>
  <si>
    <t>W/O #15154- FOR DOOR &amp; WINDOW</t>
  </si>
  <si>
    <t>W/O #15860- PAINTING FOR KITCHEN</t>
  </si>
  <si>
    <t>SkillsUSA State competition</t>
  </si>
  <si>
    <t>Mike Mattos on site PD</t>
  </si>
  <si>
    <t>BMS-CABLING FOR NEW CAMPUS</t>
  </si>
  <si>
    <t xml:space="preserve">TAP Hearing Legal Notice </t>
  </si>
  <si>
    <t xml:space="preserve">Laundry Carts and Dolly </t>
  </si>
  <si>
    <t xml:space="preserve">TABC Clinic Registration </t>
  </si>
  <si>
    <t>Student state conference entry</t>
  </si>
  <si>
    <t>registration fees  TEPSA June</t>
  </si>
  <si>
    <t>State leadership conference</t>
  </si>
  <si>
    <t>Replacement Stools for MS</t>
  </si>
  <si>
    <t>UNITED VOLLEYBALL SUPPLY LLC</t>
  </si>
  <si>
    <t>BHS Theater stage mat</t>
  </si>
  <si>
    <t>FAA nurse office spring Supplies</t>
  </si>
  <si>
    <t>2018-2019 Copier Lease Pymt</t>
  </si>
  <si>
    <t>West - UIL tees</t>
  </si>
  <si>
    <t>North-  UIL T-shirts</t>
  </si>
  <si>
    <t>FCCLA REGIONAL COMP</t>
  </si>
  <si>
    <t>PARKING DECA STATE COMP</t>
  </si>
  <si>
    <t>GOINGS, CARA</t>
  </si>
  <si>
    <t>HOWARD, MAGGIE</t>
  </si>
  <si>
    <t>BAILEY, PAMELA</t>
  </si>
  <si>
    <t>ALEXANDER, LAUREN</t>
  </si>
  <si>
    <t>BRADSHAW, RANDALL</t>
  </si>
  <si>
    <t xml:space="preserve">BHS- ADDITIONAL SERVICES </t>
  </si>
  <si>
    <t>ADDITIONAL FEBRUARY SERVICES</t>
  </si>
  <si>
    <t>HANSON, VICKIE</t>
  </si>
  <si>
    <t>HUGHES, HANNAH</t>
  </si>
  <si>
    <t>SEETON, JEFFREY</t>
  </si>
  <si>
    <t>THOMPSON, ALYSSA</t>
  </si>
  <si>
    <t>Meals for Students</t>
  </si>
  <si>
    <t>FLASHBAY INC</t>
  </si>
  <si>
    <t>INSTRUCTION - Flash Drives</t>
  </si>
  <si>
    <t>Partons Pizza for FCLC</t>
  </si>
  <si>
    <t xml:space="preserve">AGENDA MEETING LUNCH W/ BOARD PRESIDENT </t>
  </si>
  <si>
    <t xml:space="preserve">Tumblers for Diagnostician's GIFTS </t>
  </si>
  <si>
    <t>BUSINESS OFFICE - TOLL TAG</t>
  </si>
  <si>
    <t>Gift Bags for Counselor</t>
  </si>
  <si>
    <t xml:space="preserve">Dollar Tree- gift bags for DIAG'S </t>
  </si>
  <si>
    <t>Education Foundation Board Meeting</t>
  </si>
  <si>
    <t xml:space="preserve">Business luncheon </t>
  </si>
  <si>
    <t>23 $20 Rave Gift Cards for Staff of the Month</t>
  </si>
  <si>
    <t>HARD 8 THE COLONY</t>
  </si>
  <si>
    <t>Tech Staff Developement</t>
  </si>
  <si>
    <t>WHIRLYBALL LASERWHIRLD</t>
  </si>
  <si>
    <t>FAIRMONT AUSTIN HOTEL</t>
  </si>
  <si>
    <t xml:space="preserve">Parking expense -TASA </t>
  </si>
  <si>
    <t xml:space="preserve">BHS Meals for students -SKILLS USA </t>
  </si>
  <si>
    <t>ATH, Playoff Soccer pregame Meal</t>
  </si>
  <si>
    <t>North- Bounce House For Field Day</t>
  </si>
  <si>
    <t>MARK OF EXCELLENCE PIZZA COMPANY</t>
  </si>
  <si>
    <t>Boys Soccer playoff post game Meal</t>
  </si>
  <si>
    <t>Business lunch with Board Members</t>
  </si>
  <si>
    <t>GRAND HYATT SAN ANTONIO</t>
  </si>
  <si>
    <t>fingerprint codes</t>
  </si>
  <si>
    <t>NSBA 2019 CONVENTION FEES</t>
  </si>
  <si>
    <t>SOLARWINDS</t>
  </si>
  <si>
    <t>TECH SOLARWINDS RENEWAL</t>
  </si>
  <si>
    <t>SPRING CREEK BARBEQUE</t>
  </si>
  <si>
    <t>Business lunch  for Retired Teachers Assoc</t>
  </si>
  <si>
    <t>Tumblers for Speech Therapist</t>
  </si>
  <si>
    <t>Acct# 254774 BHS Prom shirts</t>
  </si>
  <si>
    <t>ALLEY CATS ENTERTAINMENT</t>
  </si>
  <si>
    <t>West - 3rd grade field trip</t>
  </si>
  <si>
    <t>BIG KAHUNA FUNDRAISING</t>
  </si>
  <si>
    <t>Liberty Fundraising Chocolate</t>
  </si>
  <si>
    <t>Districts track meet meeting Dinner</t>
  </si>
  <si>
    <t>BREWER GIRLS BASKETBALL BOOSTER CLUB</t>
  </si>
  <si>
    <t xml:space="preserve">Proceeds for Banner sale </t>
  </si>
  <si>
    <t>BROTHERS CHOW DOWN</t>
  </si>
  <si>
    <t xml:space="preserve">BHS UIL comp meals 3/21 </t>
  </si>
  <si>
    <t>CENTER FOR EDUCATION AND EMPLOYMENT LAW</t>
  </si>
  <si>
    <t>Guide for Police Department</t>
  </si>
  <si>
    <t>COMPASS BANK MASTER CARD</t>
  </si>
  <si>
    <t xml:space="preserve">23 $20 Rave Gift Cards -TEACHER/SUPPORT STAFF </t>
  </si>
  <si>
    <t>Liberty Additional student- Trip</t>
  </si>
  <si>
    <t>BHS FFA supplies and contest Fees</t>
  </si>
  <si>
    <t>Attendance Award- Bear Bytes</t>
  </si>
  <si>
    <t>FRESH COUNTRY FOOD SERVICES INC</t>
  </si>
  <si>
    <t>BHS FFA fundraiser</t>
  </si>
  <si>
    <t>JENNIFER HOLLAND</t>
  </si>
  <si>
    <t>BHS Meals STUCO students TASC</t>
  </si>
  <si>
    <t>Districts track meeting lunch</t>
  </si>
  <si>
    <t>CUS42548  Track Items</t>
  </si>
  <si>
    <t xml:space="preserve">BHS STUCO SUPPLIES </t>
  </si>
  <si>
    <t>Districts Track meeting Lunch</t>
  </si>
  <si>
    <t>literacy footprints for Kinder</t>
  </si>
  <si>
    <t>PLAYGROUND SOLUTIONS OF TEXAS INC</t>
  </si>
  <si>
    <t>BHE PLAYGROUND EQUIPMENT</t>
  </si>
  <si>
    <t>POTBELLY SANDWICH WORKS, LLC</t>
  </si>
  <si>
    <t>FAA LUNCH FOR STAAR TESTING</t>
  </si>
  <si>
    <t>Comfort Masters Banner</t>
  </si>
  <si>
    <t>SHINDIGZ</t>
  </si>
  <si>
    <t xml:space="preserve">BHS Prom SUPPLIES </t>
  </si>
  <si>
    <t>STEPHANIE BALLARO</t>
  </si>
  <si>
    <t>BHS Band competition meals</t>
  </si>
  <si>
    <t>TCC Dual Credit Tuition for SPRING 2019</t>
  </si>
  <si>
    <t>BMS-WINNING HOUSE LUNCH</t>
  </si>
  <si>
    <t xml:space="preserve">BHS HONEYCOMB COSTUMES </t>
  </si>
  <si>
    <t>BHE UIL tshirts</t>
  </si>
  <si>
    <t>BHS Meal money - FCCLA STATE CONF</t>
  </si>
  <si>
    <t>District Track Meet Meeting</t>
  </si>
  <si>
    <t xml:space="preserve">Gift Cards for TEACHER/STAFF OF THE MONTH </t>
  </si>
  <si>
    <t>HEART OF WACO HOME</t>
  </si>
  <si>
    <t>Teacher Summer Retreat</t>
  </si>
  <si>
    <t>EL PASEO</t>
  </si>
  <si>
    <t>Business Lunch on 3-1-19</t>
  </si>
  <si>
    <t>Vehicle Registration Fee</t>
  </si>
  <si>
    <t>ABECEDARIAN ABC, LLC</t>
  </si>
  <si>
    <t>North-  Kinder Supplies</t>
  </si>
  <si>
    <t>cameras</t>
  </si>
  <si>
    <t>ATH, Mats for pole vault pit</t>
  </si>
  <si>
    <t>W/O #15627- REPAIR UNIT - AUDITORIUM</t>
  </si>
  <si>
    <t>W/O #15989- REMOVE MUSTY ODOR- CN</t>
  </si>
  <si>
    <t>W/O #16077- A/C REPAIR - BMS</t>
  </si>
  <si>
    <t>POSTAGE FOR UIL SCRIPTS</t>
  </si>
  <si>
    <t>Cases of electrolyte Drinks</t>
  </si>
  <si>
    <t>Playoff Soccer supplies</t>
  </si>
  <si>
    <t>BHS Law enforcement equipment</t>
  </si>
  <si>
    <t>BEAM</t>
  </si>
  <si>
    <t>BEAM Ehibitor Sponsor, Bronz LEVEL</t>
  </si>
  <si>
    <t>TEACHER ATTENDANCE FOR MARCH</t>
  </si>
  <si>
    <t xml:space="preserve">MET GOAL ATTENDANCE - MARCH </t>
  </si>
  <si>
    <t xml:space="preserve">BEST STUDENT ATTENDANCE </t>
  </si>
  <si>
    <t>Golf supplies and apparel</t>
  </si>
  <si>
    <t>Brewer Hats</t>
  </si>
  <si>
    <t>Girls Basketball Jersey</t>
  </si>
  <si>
    <t>W/O #15227- REPLACE BACKBOARD</t>
  </si>
  <si>
    <t>W/O #15470- REPLACE NETTING</t>
  </si>
  <si>
    <t>BMS Soccer supplies</t>
  </si>
  <si>
    <t xml:space="preserve">W/O #15762- HEATER REPAIR - WEST </t>
  </si>
  <si>
    <t xml:space="preserve">W/O #15704- A/C REPAIR -SPECIAL PROG </t>
  </si>
  <si>
    <t xml:space="preserve">FINE ARTS - toner for Brother PRINTER </t>
  </si>
  <si>
    <t>projector bulbs</t>
  </si>
  <si>
    <t>Liberty: Toner for teachers</t>
  </si>
  <si>
    <t>W/O #15236- CHANGE OUT LIGHT</t>
  </si>
  <si>
    <t>Bear Bytes Technology Expo-</t>
  </si>
  <si>
    <t>Reimbursement for Baggage Fees</t>
  </si>
  <si>
    <t>Pizza for Tech kids</t>
  </si>
  <si>
    <t>CITY OF WHITE SETTLEMENT</t>
  </si>
  <si>
    <t>ANNUAL FIRE INSPECTION @ FINE ARTS</t>
  </si>
  <si>
    <t>ANNUAL FIRE INSPECTION @ LIBERTY</t>
  </si>
  <si>
    <t>ANNUAL FIRE INSPECTION @ WEST</t>
  </si>
  <si>
    <t>CHILD NUTRITION COMMODITY</t>
  </si>
  <si>
    <t>Health services - Nurses Cook</t>
  </si>
  <si>
    <t>Antennas for radios</t>
  </si>
  <si>
    <t>Covering overage for shipping</t>
  </si>
  <si>
    <t xml:space="preserve">SPECIAL PROGRAMS: CHAIRS </t>
  </si>
  <si>
    <t>TECH MOBILE ADAPTER</t>
  </si>
  <si>
    <t>TIS:  CARTRIDGE</t>
  </si>
  <si>
    <t>CHILD NUTRITION TONER</t>
  </si>
  <si>
    <t>WSISD Records Department</t>
  </si>
  <si>
    <t xml:space="preserve">Return Address Envelopes </t>
  </si>
  <si>
    <t>DRAMATIC PUBLISHING</t>
  </si>
  <si>
    <t>BMS-PLAYSCRIPT FOR DRAMA</t>
  </si>
  <si>
    <t>Fall School Safety CONF</t>
  </si>
  <si>
    <t>Field Trip fees for PK/K Dual</t>
  </si>
  <si>
    <t>Field Trip Fees for PK/K Dual</t>
  </si>
  <si>
    <t>Reimbursement for Baggage</t>
  </si>
  <si>
    <t>ATH,  Mats</t>
  </si>
  <si>
    <t>BHS Shirts for Special Olympics</t>
  </si>
  <si>
    <t>Freight</t>
  </si>
  <si>
    <t>Face Paint for Back to School</t>
  </si>
  <si>
    <t>Purchase of COGAT 7 Testing</t>
  </si>
  <si>
    <t>SERVICE CALL ON FIRE EXTINGUISHER</t>
  </si>
  <si>
    <t>INTERQUEST DETECTION CANINES</t>
  </si>
  <si>
    <t>Canine Drug Detection Service</t>
  </si>
  <si>
    <t>LEADERSHIP TEAM MEETING MEAL</t>
  </si>
  <si>
    <t xml:space="preserve">BMS-DIGITAL E-BOOKS FOR LIBRARY </t>
  </si>
  <si>
    <t xml:space="preserve">AI TEACHER CONTRACT SERVICES </t>
  </si>
  <si>
    <t>KELLER ISD FINE ARTS OFFICE</t>
  </si>
  <si>
    <t xml:space="preserve">PAYMENT FOR AREA FEE UIL ONE ACT PLAY </t>
  </si>
  <si>
    <t>LD ACQUISITION COMPANY 17 LLC</t>
  </si>
  <si>
    <t>PAYMENT FOR TC187318 PERIOD FEB 2019-JAN 2020</t>
  </si>
  <si>
    <t>TECH BHS MASTER CLOCK</t>
  </si>
  <si>
    <t>TECH NES EXTERIOR INTERCOM</t>
  </si>
  <si>
    <t xml:space="preserve">W/O #15512- ADDITIONAL MATERIAL </t>
  </si>
  <si>
    <t>LRP PUBLICATIONS</t>
  </si>
  <si>
    <t>Software Program for Staff DEVELOPMENT</t>
  </si>
  <si>
    <t>STOCK ITEMS FOR PLUMBER</t>
  </si>
  <si>
    <t>Copy paper and supplies</t>
  </si>
  <si>
    <t>North- Copy Paper</t>
  </si>
  <si>
    <t>bhs Counselor supplies</t>
  </si>
  <si>
    <t>Stock Paper, Bright Colors</t>
  </si>
  <si>
    <t>TIS;  PRINTER CARTRIDGES</t>
  </si>
  <si>
    <t>TIS  - SUPPLIES</t>
  </si>
  <si>
    <t>TIS:  CARTRIDGES</t>
  </si>
  <si>
    <t>Summer School Supplies, ESL</t>
  </si>
  <si>
    <t>DAEP - Toner / ink printer</t>
  </si>
  <si>
    <t>DAEP - Classroom supply</t>
  </si>
  <si>
    <t>items for sub orientation</t>
  </si>
  <si>
    <t>SUPPLIES FOR ADMIN OFFICE</t>
  </si>
  <si>
    <t xml:space="preserve">Liberty Various Supplies </t>
  </si>
  <si>
    <t>Liberty: Paper for teacher</t>
  </si>
  <si>
    <t>FOR SHOP TRUCK #698</t>
  </si>
  <si>
    <t>STATE INSPECTION FOR VEHICLE 663</t>
  </si>
  <si>
    <t>W/O #15717- A/C REPAIR IN GYM</t>
  </si>
  <si>
    <t xml:space="preserve">W/O #15646- REPLACE CRACKED BOWL - FAA </t>
  </si>
  <si>
    <t>W/O #15636- RESTOCK PLUMBING</t>
  </si>
  <si>
    <t xml:space="preserve">TOLL TAG CHARGES 2.19.19 </t>
  </si>
  <si>
    <t xml:space="preserve">TOLL TAG CHARGES </t>
  </si>
  <si>
    <t xml:space="preserve">MET GOAL ATTENDANCE FOR STUDENTS </t>
  </si>
  <si>
    <t>Child Nutrition Office Supplies</t>
  </si>
  <si>
    <t>2019 Office Supplies</t>
  </si>
  <si>
    <t>CN OFFICE OFFICE SUPPLIES</t>
  </si>
  <si>
    <t>West - classroom supplies</t>
  </si>
  <si>
    <t>North- pre-k games, pencils</t>
  </si>
  <si>
    <t xml:space="preserve">W/O #15650- REPAIR WARMER- BMS </t>
  </si>
  <si>
    <t>BMS-COFFEE SERVICE FOR END OF YR</t>
  </si>
  <si>
    <t>Renaissance Webinar Hourly</t>
  </si>
  <si>
    <t>FAA RENAISSANCE SUBSCRIPTON RENEWAL</t>
  </si>
  <si>
    <t>North- Design Process Posters</t>
  </si>
  <si>
    <t>ATH, Tables for ATH.</t>
  </si>
  <si>
    <t>BHS butcher paper</t>
  </si>
  <si>
    <t>Liberty PE footballs</t>
  </si>
  <si>
    <t>SPECIAL PROGRAMS:</t>
  </si>
  <si>
    <t>STAAR SOLUTIONS</t>
  </si>
  <si>
    <t xml:space="preserve">Registration fee </t>
  </si>
  <si>
    <t>SOUTHWEST ATHLETIC TRAINERS ASSOCIATION</t>
  </si>
  <si>
    <t>ATH, SWATA Trainers Annual</t>
  </si>
  <si>
    <t>TCC Spring Tuition Payment</t>
  </si>
  <si>
    <t>TARRRANT COUNTY ELECTIONS ADMINISTRATION</t>
  </si>
  <si>
    <t xml:space="preserve">Joint Election Services </t>
  </si>
  <si>
    <t>BHS Registration for TASC CONF</t>
  </si>
  <si>
    <t>TEXAS ASSOCIATION OF SCHOOL NUTRITION</t>
  </si>
  <si>
    <t>CHILD NUTRITION WOrKSHOP REGISTRATION</t>
  </si>
  <si>
    <t>Teas Education News, 40 issue</t>
  </si>
  <si>
    <t xml:space="preserve">TSI Test Units, Accuplacer, SITE ID </t>
  </si>
  <si>
    <t>TOXOPTIX LLC</t>
  </si>
  <si>
    <t xml:space="preserve">POLICE DEPT - SFST's </t>
  </si>
  <si>
    <t>WASTE MGMT SERVICES</t>
  </si>
  <si>
    <t>WEST MUSIC</t>
  </si>
  <si>
    <t>"Orff Alive" Grant</t>
  </si>
  <si>
    <t>GASES &amp; TANK RENTALS FOR OPERATIONS</t>
  </si>
  <si>
    <t xml:space="preserve">PAYMENT FOR BHE AFTER SCHOOL PROGRAM </t>
  </si>
  <si>
    <t xml:space="preserve">Fuel for travel </t>
  </si>
  <si>
    <t>W/O #15730- FOR DISTRICT-WIDE USE</t>
  </si>
  <si>
    <t>PATRICIA ELLIS</t>
  </si>
  <si>
    <t>BHS UIL comp meals 3/21 &amp; 3/22</t>
  </si>
  <si>
    <t>Mileage and meals for THSADA</t>
  </si>
  <si>
    <t>Business Lunch Meeting 3/8/19</t>
  </si>
  <si>
    <t>registration for Honeycomb Camp</t>
  </si>
  <si>
    <t>BHS Senior celebration 2019  Ex;penses</t>
  </si>
  <si>
    <t>BREWER SOCCER BOOSTER CLUB</t>
  </si>
  <si>
    <t>BHS soccer  50/50 split of Tourney Gate</t>
  </si>
  <si>
    <t>BRYNET VENTURES LLC</t>
  </si>
  <si>
    <t>Deposit BHE arcade games</t>
  </si>
  <si>
    <t>BHS Sr celebration 2019 food</t>
  </si>
  <si>
    <t xml:space="preserve">BMS-REGISTRATION FEES AND TSHIRTS </t>
  </si>
  <si>
    <t>BHE pizza- attendance</t>
  </si>
  <si>
    <t>BMS-CHEER BANQUET FINAL PYMt</t>
  </si>
  <si>
    <t>CLOWNING AROUND</t>
  </si>
  <si>
    <t>BHs SR CEL 2019 entertainers</t>
  </si>
  <si>
    <t>BHS Prom custom audio</t>
  </si>
  <si>
    <t xml:space="preserve">BHS Dual credit english field TRIP </t>
  </si>
  <si>
    <t>BHS Prom 2019 DJ</t>
  </si>
  <si>
    <t xml:space="preserve"> BHS Art dept</t>
  </si>
  <si>
    <t xml:space="preserve">  North- Pond Rocks</t>
  </si>
  <si>
    <t>BHS CBI supplies</t>
  </si>
  <si>
    <t>BMS-GIFT CARDS FOR PERFECT ATTEND</t>
  </si>
  <si>
    <t>HYPER TECHNOLOGIES</t>
  </si>
  <si>
    <t>BMS-SUBSCRIPTION RENEWAL</t>
  </si>
  <si>
    <t>INSECT LORE</t>
  </si>
  <si>
    <t>BHE caterpillars   2nd grade</t>
  </si>
  <si>
    <t xml:space="preserve">BHE appreciation LUNCH </t>
  </si>
  <si>
    <t>BHS Cheer TRYOUTS</t>
  </si>
  <si>
    <t>KATELYN TUCKER</t>
  </si>
  <si>
    <t>BHS Cheer teacher</t>
  </si>
  <si>
    <t xml:space="preserve">Game worker for BMS ZONE MEET </t>
  </si>
  <si>
    <t>KONA ICE</t>
  </si>
  <si>
    <t xml:space="preserve">North- Snowcones for BENCHMARK INCENTIVE </t>
  </si>
  <si>
    <t>TIS CARD FILE</t>
  </si>
  <si>
    <t>FCLC Daily Bear Care Sheets</t>
  </si>
  <si>
    <t>SCARBOROUGH FAIRE</t>
  </si>
  <si>
    <t>SMISC HOLDINGS LLC DBA SMI PROPERTIES</t>
  </si>
  <si>
    <t xml:space="preserve">BHS Field Trip for ACHITECTURE </t>
  </si>
  <si>
    <t>BHE moral luncheon</t>
  </si>
  <si>
    <t>BHS SR celebration 2019 food</t>
  </si>
  <si>
    <t>THE MEN'S WAREHOUSE, INC</t>
  </si>
  <si>
    <t>BHS assistance with prom tux</t>
  </si>
  <si>
    <t xml:space="preserve">STAND UP DESKS FOR BUSINESS OFFICE </t>
  </si>
  <si>
    <t>Shirts for UIL</t>
  </si>
  <si>
    <t>Bookfair start up money</t>
  </si>
  <si>
    <t xml:space="preserve">BHS Emergency purchase- TRAILER </t>
  </si>
  <si>
    <t>W/O #15717- REPAIR A/C UNIT</t>
  </si>
  <si>
    <t>REIMBURSEMENT FOR FEDEX AND UIL</t>
  </si>
  <si>
    <t>ATH, Training room supplies</t>
  </si>
  <si>
    <t>Records Dept - Notary renewal</t>
  </si>
  <si>
    <t>REPLACE WINDOW IN EXTERIOR</t>
  </si>
  <si>
    <t xml:space="preserve">W/O #15914- REPLACE BROKEN WINDOW </t>
  </si>
  <si>
    <t>ARCHITECTURE AND DESIGN FOUNDATION</t>
  </si>
  <si>
    <t xml:space="preserve">BHS Architecture and design TRIP </t>
  </si>
  <si>
    <t>Reimbursement Travel Expenses</t>
  </si>
  <si>
    <t>BOHANNON, ALICIA</t>
  </si>
  <si>
    <t>UIL REGIONAL ACADEMICS COMP</t>
  </si>
  <si>
    <t>BREG INC.</t>
  </si>
  <si>
    <t>ATH, Knee Braces for FB</t>
  </si>
  <si>
    <t>Girls Basketballs</t>
  </si>
  <si>
    <t>Girls Track Jackets</t>
  </si>
  <si>
    <t>Team Track Backpacks</t>
  </si>
  <si>
    <t>Track Steel shot</t>
  </si>
  <si>
    <t>Uniforms pants/hoodies</t>
  </si>
  <si>
    <t>Baseball Tees</t>
  </si>
  <si>
    <t>SPECIALS PROGRAMS: PRINTER</t>
  </si>
  <si>
    <t>BHS Technology for CTE quote</t>
  </si>
  <si>
    <t>Replacement cartridges for HP</t>
  </si>
  <si>
    <t>Liberty toner for teachers</t>
  </si>
  <si>
    <t xml:space="preserve">W/O #7895- REPLACEMENT - GIELS RR -NORTH </t>
  </si>
  <si>
    <t>Staff breakfast.</t>
  </si>
  <si>
    <t>North- STAAR Breakfast</t>
  </si>
  <si>
    <t>DAVID MARK BRADY</t>
  </si>
  <si>
    <t xml:space="preserve">ATH, Track meet referee </t>
  </si>
  <si>
    <t>BHS Toner for Counselors</t>
  </si>
  <si>
    <t>DAEP - Toner / printer ink</t>
  </si>
  <si>
    <t>DINOSAUR WORLD</t>
  </si>
  <si>
    <t>West - Student field trip</t>
  </si>
  <si>
    <t>LICENSE NUMBER WEB236400</t>
  </si>
  <si>
    <t>Badges for officers in Police</t>
  </si>
  <si>
    <t>FLIGHT DECK TRAMPOLINE PARK, LLC</t>
  </si>
  <si>
    <t>West - grade level trip</t>
  </si>
  <si>
    <t>Registration Fee for KINDER</t>
  </si>
  <si>
    <t>Registration Fee for Pre K</t>
  </si>
  <si>
    <t>W/O #15290- GEOTHERMAL WATER</t>
  </si>
  <si>
    <t xml:space="preserve">W/O #15744- REPLACE LIGHTS - LIBERTY </t>
  </si>
  <si>
    <t xml:space="preserve">W/O #15684- CLEAN MOLD - BMS </t>
  </si>
  <si>
    <t>W/O #15689- FLOOR REPAIR IN CAFÉ</t>
  </si>
  <si>
    <t xml:space="preserve">W/O #15512- PHASE (1) RENOVATION </t>
  </si>
  <si>
    <t xml:space="preserve">W/O #15751- INSTALL RESERVED POLES </t>
  </si>
  <si>
    <t xml:space="preserve">W/O #15672- NEW BLINDS FOR BMS </t>
  </si>
  <si>
    <t>W/O #15810- REPLACE LIGHTS IN GYM</t>
  </si>
  <si>
    <t xml:space="preserve">W/O #15847- FOR LOCKSMITH'S USE </t>
  </si>
  <si>
    <t>WO# 15815 - Remove DESK - ADMIN</t>
  </si>
  <si>
    <t xml:space="preserve">W/O #15842- ADD DOORBELL - KITCHEN </t>
  </si>
  <si>
    <t>W/O #15922-  RESERVED PARKING</t>
  </si>
  <si>
    <t xml:space="preserve">WO#: 15512 School: Special PROGRAMS </t>
  </si>
  <si>
    <t>03/26/19- FOR BEAR BYTES EXPO</t>
  </si>
  <si>
    <t>PAYMENT FOR WHITE SETTLEMENT</t>
  </si>
  <si>
    <t>IAN MONSEES</t>
  </si>
  <si>
    <t>BHS teacher expenses</t>
  </si>
  <si>
    <t>JEANS RESTAURANT SUPPLY</t>
  </si>
  <si>
    <t>DISHWASHER FOR TANNAHILL AND BMS</t>
  </si>
  <si>
    <t>BHS  Lodging for students - LAW ENFORCEMENT COMP</t>
  </si>
  <si>
    <t>BHS Lodging for TSPA STATE COMP HOTEL</t>
  </si>
  <si>
    <t>BHS Lodging for SkillsUSA Hotel</t>
  </si>
  <si>
    <t>NSBA 2019 Convention Hotel</t>
  </si>
  <si>
    <t>BHS Lodging for FCCLA STATE</t>
  </si>
  <si>
    <t>KRANOS CORPORATION DBA SCHUTT</t>
  </si>
  <si>
    <t>ATH, Football Gear</t>
  </si>
  <si>
    <t>ATH, Football helmet, Shoulder Pads</t>
  </si>
  <si>
    <t xml:space="preserve">Liberty Storage Unit </t>
  </si>
  <si>
    <t>Service for NES Clocks</t>
  </si>
  <si>
    <t>Embroidery Patches</t>
  </si>
  <si>
    <t xml:space="preserve">W/O #15442- REPAIR SINKS - NORTH </t>
  </si>
  <si>
    <t>MUELLER INC.</t>
  </si>
  <si>
    <t xml:space="preserve">REPLACE SECTION FENCE - SOFTBALL </t>
  </si>
  <si>
    <t>NATIONAL RECREATION AND PARK ASSOCIATION</t>
  </si>
  <si>
    <t>PLAYGROUND INSPECTION CERT</t>
  </si>
  <si>
    <t>ATH, Boys Soccer playoff</t>
  </si>
  <si>
    <t xml:space="preserve">Toll Charges for MARCH </t>
  </si>
  <si>
    <t>CTE tolls</t>
  </si>
  <si>
    <t>EQUIPMENT REPAIRS SUPPLIES</t>
  </si>
  <si>
    <t>TIS - SELF INKING STAMP</t>
  </si>
  <si>
    <t>2019 Summer Office Supplies</t>
  </si>
  <si>
    <t xml:space="preserve">Student Planners </t>
  </si>
  <si>
    <t>TIS;  LIBRARY SUPPLIES</t>
  </si>
  <si>
    <t>CHILD NUTRITION COFFEE MAKER</t>
  </si>
  <si>
    <t xml:space="preserve">North- Grad supplies </t>
  </si>
  <si>
    <t>P.C.C. INC</t>
  </si>
  <si>
    <t xml:space="preserve">Air purification unit </t>
  </si>
  <si>
    <t>BHS Food for theater</t>
  </si>
  <si>
    <t>Reimbursement for NSBA</t>
  </si>
  <si>
    <t>TECH LAPTOP PICKUP FORMS</t>
  </si>
  <si>
    <t xml:space="preserve">Business Cards for POLICE </t>
  </si>
  <si>
    <t>SCHED</t>
  </si>
  <si>
    <t>TECH RENEWAL SCHED</t>
  </si>
  <si>
    <t xml:space="preserve">SPECIAL PROGRAMS: CONTRACTED SERVICE </t>
  </si>
  <si>
    <t>W/O #15975- RE-STOCK PAINTER</t>
  </si>
  <si>
    <t>TECH-STADIUM CABLE REPAIR</t>
  </si>
  <si>
    <t>Internal Cabling for Exterior</t>
  </si>
  <si>
    <t>Child Nutrition Non-Food</t>
  </si>
  <si>
    <t>CN  WAREHOUSE COST</t>
  </si>
  <si>
    <t>Membership Renewal</t>
  </si>
  <si>
    <t xml:space="preserve">SAFETY DEVICE </t>
  </si>
  <si>
    <t>TEXAS TECH - UIL</t>
  </si>
  <si>
    <t xml:space="preserve">ONE ACT PLAY FEE </t>
  </si>
  <si>
    <t>Board Meeting Dinner  April</t>
  </si>
  <si>
    <t>Meal for In Service</t>
  </si>
  <si>
    <t xml:space="preserve">Toll Charges  </t>
  </si>
  <si>
    <t xml:space="preserve">UniBind plastic covers </t>
  </si>
  <si>
    <t>UNIT SETS UNLIMITED</t>
  </si>
  <si>
    <t>BMS-DRAMA SETS</t>
  </si>
  <si>
    <t>BUSINESS OFFICE - STAND UP DESKS</t>
  </si>
  <si>
    <t>BHS Nurse office spring</t>
  </si>
  <si>
    <t xml:space="preserve">Choir TRIP TO NYC - REIMBURSEMENT </t>
  </si>
  <si>
    <t>Fuel for Buses</t>
  </si>
  <si>
    <t>TINIUS, DEBORAH</t>
  </si>
  <si>
    <t>WHITESIDE, JOE</t>
  </si>
  <si>
    <t>REIMBURSEMENT FOR RENEWAL OF CDL</t>
  </si>
  <si>
    <t>MEALS FOR STUDENTS ATTENDING UIL</t>
  </si>
  <si>
    <t>Admission Fee for 3rd Grade:</t>
  </si>
  <si>
    <t>Student Team meals for Track Meets</t>
  </si>
  <si>
    <t>Apparel for Special Programs</t>
  </si>
  <si>
    <t xml:space="preserve">BHS Theater SHIRTS </t>
  </si>
  <si>
    <t>BHS flowers for PROM</t>
  </si>
  <si>
    <t>ASHLEIGH CALDWELL</t>
  </si>
  <si>
    <t>Pay for working BMS Zone Meet</t>
  </si>
  <si>
    <t xml:space="preserve">BMS- New PRINTER </t>
  </si>
  <si>
    <t>COLLEGE ENTRANCE EXAMINATION BOARD</t>
  </si>
  <si>
    <t>BHS PSAT tests 2018-19</t>
  </si>
  <si>
    <t xml:space="preserve">BHS toner </t>
  </si>
  <si>
    <t>BMS-DONUTS FACULTY BREAKFAST</t>
  </si>
  <si>
    <t>BMS-DONUTS FOR STAAR TESTING</t>
  </si>
  <si>
    <t>BHE Pre-K Zoo Admissions</t>
  </si>
  <si>
    <t>Bus to Tannahill  for 4th</t>
  </si>
  <si>
    <t>North- bus 4th gd Stockyards</t>
  </si>
  <si>
    <t>BHS bus Dallas Majestic</t>
  </si>
  <si>
    <t>bus-- March 4 tannahill tour</t>
  </si>
  <si>
    <t>BHS Prom 2019 Supplies</t>
  </si>
  <si>
    <t>DecorTOTY</t>
  </si>
  <si>
    <t>West - Cover shortage for GYTO CONF</t>
  </si>
  <si>
    <t>BHS Honors night</t>
  </si>
  <si>
    <t>AWARD RIBBONS</t>
  </si>
  <si>
    <t>KAYLIE MCPHERSON</t>
  </si>
  <si>
    <t>BHS Meals World Culinary</t>
  </si>
  <si>
    <t>BHS Theater costumes</t>
  </si>
  <si>
    <t>BHS Planner</t>
  </si>
  <si>
    <t>North-Notebooks/dividers</t>
  </si>
  <si>
    <t>LUNCH FOR STAAR TESTING</t>
  </si>
  <si>
    <t>PEAKS TARPS</t>
  </si>
  <si>
    <t>TIS- Flame Retardant Curtains</t>
  </si>
  <si>
    <t>Starter for BMS Zone Meet</t>
  </si>
  <si>
    <t>BMS-TOLL EXPENSES TMEA CONF</t>
  </si>
  <si>
    <t>U.S. GAMES</t>
  </si>
  <si>
    <t>FIELD DAY SUPPLIES</t>
  </si>
  <si>
    <t>BHS Stuco shirts</t>
  </si>
  <si>
    <t>Fuzzy's Ap Appreciation LUNCH</t>
  </si>
  <si>
    <t>BHS Prom lunch for student HELPERS</t>
  </si>
  <si>
    <t xml:space="preserve">REIMBURSEMENT FOR FED EX UIL </t>
  </si>
  <si>
    <t>ARGENT DATA SYSTEMS, INC.</t>
  </si>
  <si>
    <t>wind/rain sensor for GRANT</t>
  </si>
  <si>
    <t>INSTALL &amp; PROGRAM NEW REPEATER</t>
  </si>
  <si>
    <t>Invoice for additional EXPENSES</t>
  </si>
  <si>
    <t>BECKY BENEFIEL</t>
  </si>
  <si>
    <t>reimburse for fingerprinting</t>
  </si>
  <si>
    <t>Reimburse for Tuition</t>
  </si>
  <si>
    <t>A/C REPAIR IN GYM</t>
  </si>
  <si>
    <t>CHANGE OUT LIGHT</t>
  </si>
  <si>
    <t>CHANDRA O'LEARY</t>
  </si>
  <si>
    <t>CIRCLE J FABRICATIONS, INC</t>
  </si>
  <si>
    <t>BHS CTE Welding clinic entry</t>
  </si>
  <si>
    <t>Drinks</t>
  </si>
  <si>
    <t>DAN ST. ROMAIN EDUCATIONAL CONSULTING, LLC</t>
  </si>
  <si>
    <t>Bilingual Character Education</t>
  </si>
  <si>
    <t>Laptops</t>
  </si>
  <si>
    <t>Liberty Return Address</t>
  </si>
  <si>
    <t>ERNIE HOLLAND</t>
  </si>
  <si>
    <t>Reimbursement for Travel</t>
  </si>
  <si>
    <t>FCCLA BREWER HIGH SCHOOL</t>
  </si>
  <si>
    <t>FORT WORTH ISD</t>
  </si>
  <si>
    <t>Boys Soccer Area- Final</t>
  </si>
  <si>
    <t>Online program for tracking</t>
  </si>
  <si>
    <t>supplies for Police Dept.</t>
  </si>
  <si>
    <t>GENERAL BINDING CORPORATION</t>
  </si>
  <si>
    <t>Laminating Film</t>
  </si>
  <si>
    <t>West - grade level</t>
  </si>
  <si>
    <t>Buses for Baseball Feb</t>
  </si>
  <si>
    <t>Buses for Boys Soccer playoff</t>
  </si>
  <si>
    <t>Buses for Boy's and Girls</t>
  </si>
  <si>
    <t>Bus to take Cheer to the Airport</t>
  </si>
  <si>
    <t>BHS Cheer to cover cost Bus</t>
  </si>
  <si>
    <t>BHS Cheer to cover cost for BUS</t>
  </si>
  <si>
    <t>FAN BUS FOR BOYS SOCCER GAME</t>
  </si>
  <si>
    <t>Buses for spring golf.  Feb</t>
  </si>
  <si>
    <t>BHS BHS Band to Tarleton</t>
  </si>
  <si>
    <t>BHS/ To cover cost for Band</t>
  </si>
  <si>
    <t>BHS Theatre to Chisolm Trail</t>
  </si>
  <si>
    <t>Bus for BHS Theatre to Chisolm Trail</t>
  </si>
  <si>
    <t>BHS/ Bus request for UIL</t>
  </si>
  <si>
    <t>Bus for Winter Guard to Azle</t>
  </si>
  <si>
    <t>BHS Bus for Band to WINTER GUARD COMP</t>
  </si>
  <si>
    <t>BHS Family Consumer Science</t>
  </si>
  <si>
    <t>BHS Band to cover cost for Bus</t>
  </si>
  <si>
    <t>Buses for BMS Tennis March</t>
  </si>
  <si>
    <t>Bus for 1st grade trip to</t>
  </si>
  <si>
    <t>BHS/ Bus request for Drill Team</t>
  </si>
  <si>
    <t xml:space="preserve">Bus trip to HOSA </t>
  </si>
  <si>
    <t>North- 2nd to UTA March 8,</t>
  </si>
  <si>
    <t xml:space="preserve">North- Buses for 4th grade </t>
  </si>
  <si>
    <t>North- Buses for Tannahill</t>
  </si>
  <si>
    <t>West - 4th Grade tour</t>
  </si>
  <si>
    <t xml:space="preserve">West - to cover the SHORTAGE </t>
  </si>
  <si>
    <t xml:space="preserve">CHILD NUTRITION REPAIR </t>
  </si>
  <si>
    <t>CN  REPAIRS NEEDED AT NORTH</t>
  </si>
  <si>
    <t>HOLIDAYS N' TRAVEL</t>
  </si>
  <si>
    <t>LODGING AND AIRFARE -FCCLA COMP</t>
  </si>
  <si>
    <t xml:space="preserve"> Lodging for Conference</t>
  </si>
  <si>
    <t>Hotel for UIL</t>
  </si>
  <si>
    <t>SPECIAL PROGRAMS: HOTEL</t>
  </si>
  <si>
    <t>Business Office lodging for TASBO</t>
  </si>
  <si>
    <t>KELLER HIGH SCHOOL</t>
  </si>
  <si>
    <t>Entry Fee for area track meet</t>
  </si>
  <si>
    <t>KELLI M. HARTER</t>
  </si>
  <si>
    <t>Reimburse for re-fingerprinting</t>
  </si>
  <si>
    <t xml:space="preserve">REPAIR ALL LOCKERS </t>
  </si>
  <si>
    <t>Food for Child Nutrition</t>
  </si>
  <si>
    <t xml:space="preserve">Uniform pants and polos </t>
  </si>
  <si>
    <t>BHS Theater supplies</t>
  </si>
  <si>
    <t>Supplies for Finance &amp; OPERATIONS</t>
  </si>
  <si>
    <t>NETSYNC NETWORK SOLUTIONS</t>
  </si>
  <si>
    <t>TECH BATTERY BACKUPS</t>
  </si>
  <si>
    <t>TIS- NOTARY LICENSE</t>
  </si>
  <si>
    <t xml:space="preserve">Flares for police dept. </t>
  </si>
  <si>
    <t>CN WATER FILTERS</t>
  </si>
  <si>
    <t xml:space="preserve">Various Spanish books </t>
  </si>
  <si>
    <t xml:space="preserve">BHS Coffee </t>
  </si>
  <si>
    <t xml:space="preserve">Drinking water for Staff </t>
  </si>
  <si>
    <t>Math Manipulative Resources</t>
  </si>
  <si>
    <t xml:space="preserve">Michael Dickinson Business cards </t>
  </si>
  <si>
    <t>Reminder Stickers for Family</t>
  </si>
  <si>
    <t>Tables for Stadium</t>
  </si>
  <si>
    <t>TIS:  SUPPLIES AND FLAGS</t>
  </si>
  <si>
    <t>contracted speech - SPECIAL PROGRAMS: 2018-2019</t>
  </si>
  <si>
    <t>TECH MATERIALS FOR NETWORK</t>
  </si>
  <si>
    <t>SPECIAL PROGRAMS: BOUNCE HOUSES</t>
  </si>
  <si>
    <t xml:space="preserve">CONTRACTED SERVICES - PT </t>
  </si>
  <si>
    <t>Quarterly Payment</t>
  </si>
  <si>
    <t>AP Summer Institute, TCU,</t>
  </si>
  <si>
    <t>BHS Graduation cords for top 10%</t>
  </si>
  <si>
    <t xml:space="preserve">Year subscription renewal </t>
  </si>
  <si>
    <t>BHS Science dept equipment</t>
  </si>
  <si>
    <t xml:space="preserve">March payment </t>
  </si>
  <si>
    <t>EOC breakfast for RISE</t>
  </si>
  <si>
    <t>WHEELAND, BRANDON</t>
  </si>
  <si>
    <t>ESL Testing Reimbursement,</t>
  </si>
  <si>
    <t>Reimbursement for AT LICENSE RENEWAL</t>
  </si>
  <si>
    <t xml:space="preserve">Additional Janitorial SERVICES </t>
  </si>
  <si>
    <t>Reimbursment for Travel</t>
  </si>
  <si>
    <t>HOWETH, JEFFREY</t>
  </si>
  <si>
    <t>ALL FOR KIDZ, INC.</t>
  </si>
  <si>
    <t>West - Pay it forward Fundraiser</t>
  </si>
  <si>
    <t>FAA aprons</t>
  </si>
  <si>
    <t>North- Portuguese Books</t>
  </si>
  <si>
    <t>North- Animals mask for STAAR</t>
  </si>
  <si>
    <t>North- Staff teacher</t>
  </si>
  <si>
    <t>TIS;  BOOKS</t>
  </si>
  <si>
    <t>Ipad chargers for football</t>
  </si>
  <si>
    <t>TIS- SUPPLIES - TESTING NEEDS</t>
  </si>
  <si>
    <t>1st grade-- supplies</t>
  </si>
  <si>
    <t xml:space="preserve">BMS-COFFEE CUPS AND ID CARDS </t>
  </si>
  <si>
    <t>BHS lanyards for student use</t>
  </si>
  <si>
    <t>BHS Prom decor</t>
  </si>
  <si>
    <t>FAA CHOIR MUSICAL</t>
  </si>
  <si>
    <t xml:space="preserve">Credit </t>
  </si>
  <si>
    <t>BHS  Sr celebration 2019</t>
  </si>
  <si>
    <t>CAROLYN BELL</t>
  </si>
  <si>
    <t xml:space="preserve">TIS- SHIPPING CHARGES </t>
  </si>
  <si>
    <t>CHICKEN EXPRESS OF WHITE SETTLEMENT</t>
  </si>
  <si>
    <t>BHS New teacher luncheon</t>
  </si>
  <si>
    <t>Pizza for students.</t>
  </si>
  <si>
    <t xml:space="preserve">TIS-  PIZZA FOR EDIBLE CAR PARTY </t>
  </si>
  <si>
    <t>EF EXPLORE AMERICA, INC.</t>
  </si>
  <si>
    <t>BHS GIC Trip</t>
  </si>
  <si>
    <t>Freight cost-badge repair</t>
  </si>
  <si>
    <t>Kinder Zoo Field Trip 4/26/19</t>
  </si>
  <si>
    <t>BHS Coffee House field trip</t>
  </si>
  <si>
    <t>BMS Band medals</t>
  </si>
  <si>
    <t>JOSHUA ISD</t>
  </si>
  <si>
    <t>BMS BAND ENTRY</t>
  </si>
  <si>
    <t>LAKEISHA HOLDEN</t>
  </si>
  <si>
    <t>Reimbursement on cookies</t>
  </si>
  <si>
    <t>BHS headphones</t>
  </si>
  <si>
    <t>BHE water coolers</t>
  </si>
  <si>
    <t xml:space="preserve">BHE snacks COUNSELORS OFFICE </t>
  </si>
  <si>
    <t>West - Min to Win</t>
  </si>
  <si>
    <t>BMS-TV FOR STUDENT PERFECT ATTEND</t>
  </si>
  <si>
    <t>food Toty luncheon</t>
  </si>
  <si>
    <t>BHS Cheer banquet</t>
  </si>
  <si>
    <t xml:space="preserve"> BHS prom decor </t>
  </si>
  <si>
    <t>BHS prom decor &amp; awards</t>
  </si>
  <si>
    <t xml:space="preserve">BHS prom decor </t>
  </si>
  <si>
    <t xml:space="preserve"> BHS Coffee house</t>
  </si>
  <si>
    <t xml:space="preserve"> TIS- WESTER SHOWER</t>
  </si>
  <si>
    <t xml:space="preserve"> FAA- DI PARENT THANK YOU </t>
  </si>
  <si>
    <t xml:space="preserve">BHE supplies </t>
  </si>
  <si>
    <t xml:space="preserve">North- Perfect ATTENDANCE </t>
  </si>
  <si>
    <t>North-Talent show</t>
  </si>
  <si>
    <t>North-Award party</t>
  </si>
  <si>
    <t>North- Cub academy</t>
  </si>
  <si>
    <t>BHS Coffee  house</t>
  </si>
  <si>
    <t>Liberty Dessert Supplies</t>
  </si>
  <si>
    <t>North- Popsicle's</t>
  </si>
  <si>
    <t>TIS- EDIBLE CAR</t>
  </si>
  <si>
    <t>STAAR incentives</t>
  </si>
  <si>
    <t>BHS Teacher development</t>
  </si>
  <si>
    <t>PEREZ, CALVIN JR</t>
  </si>
  <si>
    <t xml:space="preserve">ATH, Student Meals for DISTRICT TRACK MEET </t>
  </si>
  <si>
    <t xml:space="preserve">Licensed Child Care Fee </t>
  </si>
  <si>
    <t>PARKING FEES AND GAS FOR UIL</t>
  </si>
  <si>
    <t xml:space="preserve">GAS AND PARKING FOR UIL </t>
  </si>
  <si>
    <t>BHS Print books for BHS</t>
  </si>
  <si>
    <t>ATH HP Toner for trainers</t>
  </si>
  <si>
    <t>FAA 6th grade math</t>
  </si>
  <si>
    <t>ATH medical knee walker</t>
  </si>
  <si>
    <t>BHS Stage supplies</t>
  </si>
  <si>
    <t>library supplies</t>
  </si>
  <si>
    <t>Books for Professional Development</t>
  </si>
  <si>
    <t>Liberty Supplies</t>
  </si>
  <si>
    <t>SPECIAL PROGRAMS: SENSORY</t>
  </si>
  <si>
    <t>West - grades goal reward day</t>
  </si>
  <si>
    <t>SPECIAL PROGRAMS: SUPPLIES</t>
  </si>
  <si>
    <t>BHS law enforcement supplies</t>
  </si>
  <si>
    <t>SPECIAL PROGRAMS: WOBBLE CHAIRS</t>
  </si>
  <si>
    <t>North- 1st grade outdoor</t>
  </si>
  <si>
    <t>BHS curtains for stage</t>
  </si>
  <si>
    <t>North-1st grade supplies</t>
  </si>
  <si>
    <t xml:space="preserve">Audio Devices for Dual LANGUAGE </t>
  </si>
  <si>
    <t>Spanish Literature Resources</t>
  </si>
  <si>
    <t>Gift Bags for Football of the WEEK</t>
  </si>
  <si>
    <t>Books for HR</t>
  </si>
  <si>
    <t>DAEP  -  spanish dictionary</t>
  </si>
  <si>
    <t>ATH, Color Toner Trainer</t>
  </si>
  <si>
    <t>North- Pre-k Microscope</t>
  </si>
  <si>
    <t xml:space="preserve">STEM Learning Resources </t>
  </si>
  <si>
    <t>Supplies for ESL</t>
  </si>
  <si>
    <t>FAMILY RESOURCE:</t>
  </si>
  <si>
    <t>SPECIAL PROGRAMS: WEIGHTED</t>
  </si>
  <si>
    <t>Headsets for English Language</t>
  </si>
  <si>
    <t>West - Office supplies</t>
  </si>
  <si>
    <t>West classroom supplies</t>
  </si>
  <si>
    <t>West - Principal office</t>
  </si>
  <si>
    <t>West - Principal/ office misc</t>
  </si>
  <si>
    <t>BHS Ag Dept CTE</t>
  </si>
  <si>
    <t>Family Resource Supplies</t>
  </si>
  <si>
    <t>West - Principal office Supplies</t>
  </si>
  <si>
    <t>BMS-ID PRINTING SUPPLIES</t>
  </si>
  <si>
    <t>Library books</t>
  </si>
  <si>
    <t>W/O #16148- INSTALL MAGNET IN DOOR</t>
  </si>
  <si>
    <t>W/O #16251- GLASS BUSTED IN GYM</t>
  </si>
  <si>
    <t>BHS NOC Service 04.09.2019 to 5-8-19</t>
  </si>
  <si>
    <t>AWC, INC.</t>
  </si>
  <si>
    <t>W/O #16149- REPAIR VENT- TIS</t>
  </si>
  <si>
    <t>background checks for March</t>
  </si>
  <si>
    <t>W/O #16186- TREE MAINTENANCE</t>
  </si>
  <si>
    <t xml:space="preserve">W/O #16172- A/C REPAIR - WEST </t>
  </si>
  <si>
    <t>W/O #16210- A/C REPAIR - BMS</t>
  </si>
  <si>
    <t>CATHOLIC CHARITIES TRANSLATION &amp; INTERPRETERS</t>
  </si>
  <si>
    <t xml:space="preserve">SPECIAL PROGRAMS: INTERPRETATION </t>
  </si>
  <si>
    <t>LIBERTY -Printer for teachers</t>
  </si>
  <si>
    <t>WO# 14364 - Electrical finish</t>
  </si>
  <si>
    <t>BHS Drill team judge</t>
  </si>
  <si>
    <t>COYLE, DESIREE</t>
  </si>
  <si>
    <t>Fees</t>
  </si>
  <si>
    <t xml:space="preserve">North- Library Bookmarks </t>
  </si>
  <si>
    <t>Long Distance Charges</t>
  </si>
  <si>
    <t>BHS travel for Employee</t>
  </si>
  <si>
    <t>GAMEBREAKER HELMETS</t>
  </si>
  <si>
    <t>Football Helmets</t>
  </si>
  <si>
    <t>HELLAS CONSTRUCTION, INC</t>
  </si>
  <si>
    <t xml:space="preserve">W/O #16079- REPAIR PITCHERS MOUND </t>
  </si>
  <si>
    <t xml:space="preserve">W/O #16238- REPAIR TRAULSEN FRIDGE </t>
  </si>
  <si>
    <t>LEADERSHIP TEAM MEETING FOOD</t>
  </si>
  <si>
    <t>lodging for TAGT Conference</t>
  </si>
  <si>
    <t>TECH BMS CLOCK CONTROLLER</t>
  </si>
  <si>
    <t>Safety vest and rain jacket</t>
  </si>
  <si>
    <t>MANDY JENKINS</t>
  </si>
  <si>
    <t>Student meals for Special Olympics</t>
  </si>
  <si>
    <t>West - TOTY FLowers</t>
  </si>
  <si>
    <t xml:space="preserve">W/O #15636- SUPPLIES FOR PLUMBER </t>
  </si>
  <si>
    <t>11 x 17 paper for PLC</t>
  </si>
  <si>
    <t xml:space="preserve">Liberty: Plaque engraving for TOY </t>
  </si>
  <si>
    <t xml:space="preserve">Engraving Seal of Biliteracy MEDALS </t>
  </si>
  <si>
    <t xml:space="preserve">Beach Balls for End of the YR </t>
  </si>
  <si>
    <t>POLY PRINTER</t>
  </si>
  <si>
    <t xml:space="preserve">BMS-CONTRACT SERVICES </t>
  </si>
  <si>
    <t>RAPTOR TECHNOLOGIES, LLC</t>
  </si>
  <si>
    <t>Visitor Management Program</t>
  </si>
  <si>
    <t>West - Lunch for KG teachers</t>
  </si>
  <si>
    <t>RUSH BUS CENTERS</t>
  </si>
  <si>
    <t>White Buses</t>
  </si>
  <si>
    <t xml:space="preserve">Tables  </t>
  </si>
  <si>
    <t xml:space="preserve">Science Lab equipment </t>
  </si>
  <si>
    <t>WO#: 15975 School: PAINT STOCK</t>
  </si>
  <si>
    <t>WO#: 16196 School: PAINT TRAINERS ROOM</t>
  </si>
  <si>
    <t xml:space="preserve">PART FOR NEW DISH MACHINE </t>
  </si>
  <si>
    <t>LEGAL NOTICE SPECIAL EDUCATION</t>
  </si>
  <si>
    <t>LEGAL NOTICES</t>
  </si>
  <si>
    <t>Election Notice for 2019</t>
  </si>
  <si>
    <t>LEGAL NOTICE PROPERTY AND CASUALTY</t>
  </si>
  <si>
    <t>Lunch and Tarleton Campus Tour</t>
  </si>
  <si>
    <t>Policy update</t>
  </si>
  <si>
    <t>TASO SOFTBALL</t>
  </si>
  <si>
    <t>Scrimmage fee agreement 2019</t>
  </si>
  <si>
    <t>Credit By Exams for BHS</t>
  </si>
  <si>
    <t>6th grade Edible car Registration</t>
  </si>
  <si>
    <t>Board Meeting Dinner May 2019</t>
  </si>
  <si>
    <t>THE MASTER TEACHER, INC.</t>
  </si>
  <si>
    <t>Teacher of the Year Supplies</t>
  </si>
  <si>
    <t>PETTY CASH REIMBURSEMENT - OPERATIONS</t>
  </si>
  <si>
    <t>Dual Language Water and Snacks</t>
  </si>
  <si>
    <t>Stadium Supplies</t>
  </si>
  <si>
    <t>North- Pre-k Class Supplies</t>
  </si>
  <si>
    <t>North- pre-k file box</t>
  </si>
  <si>
    <t>supplies for BEAR CAVE</t>
  </si>
  <si>
    <t>Food and paper supplies for FRC</t>
  </si>
  <si>
    <t>SPECIAL PROGRAMS: CTS WEEKLY</t>
  </si>
  <si>
    <t>Frames for Teacher/ Support</t>
  </si>
  <si>
    <t xml:space="preserve">SPECIAL PROGRAMS: PRIDE GROCERY </t>
  </si>
  <si>
    <t>SPECIAL PROGRAMS: BEAR TRACKS SHIRTS</t>
  </si>
  <si>
    <t>BELISLE, JENNIFER</t>
  </si>
  <si>
    <t>reimbursement for TAGT</t>
  </si>
  <si>
    <t xml:space="preserve">PRIDE COMMUNITY ACCESS - RESTAURANT /BEAR TRACKS </t>
  </si>
  <si>
    <t>SPECIAL OLYMPICS TEXAS, INC</t>
  </si>
  <si>
    <t>REGISTRATION FEE FOR SPECIAL OLYMPICS</t>
  </si>
  <si>
    <t xml:space="preserve">BHS FFA Health Certificates </t>
  </si>
  <si>
    <t>BHS flowers for Sr cel 2020</t>
  </si>
  <si>
    <t>TIS- SPEAKERS FOR STAGE</t>
  </si>
  <si>
    <t>Boosterthon Base Cost</t>
  </si>
  <si>
    <t>BHE Bananas</t>
  </si>
  <si>
    <t>BEAR TRACKS: FOOD ITEMS</t>
  </si>
  <si>
    <t>BHS Bear tracks meals</t>
  </si>
  <si>
    <t>TIS- PIZZA FOR FIELD DAY</t>
  </si>
  <si>
    <t>North- Pizza for Kinder</t>
  </si>
  <si>
    <t>North- Pizza for Destination</t>
  </si>
  <si>
    <t>West testing laptops</t>
  </si>
  <si>
    <t>FORT WORTH MONUMENT INC</t>
  </si>
  <si>
    <t>BHS Class of 2016 gift</t>
  </si>
  <si>
    <t>BHS CBI kids lunch IEP Goals</t>
  </si>
  <si>
    <t>to cover shipping cost on PO</t>
  </si>
  <si>
    <t>GAME ON MOBILE ENTERTAINMENT</t>
  </si>
  <si>
    <t>TIS-CANDY FUNDRAISER PARTY</t>
  </si>
  <si>
    <t>KAMICO INSTRUCTIONAL MEDIA</t>
  </si>
  <si>
    <t>TIS- 5TH GRADE MATH STAAR</t>
  </si>
  <si>
    <t>KORTNEE CLARK</t>
  </si>
  <si>
    <t>BMS-TRACK SHIRTS</t>
  </si>
  <si>
    <t xml:space="preserve"> TIS- FLOWERS</t>
  </si>
  <si>
    <t>NCA</t>
  </si>
  <si>
    <t>BMS-NCA CHEER</t>
  </si>
  <si>
    <t>FOOD FOR FIELD DAY HELPERS</t>
  </si>
  <si>
    <t>Book Storage Tubs</t>
  </si>
  <si>
    <t>POSITIVE PROMOTIONS, INC</t>
  </si>
  <si>
    <t xml:space="preserve">Medals for Awards Day </t>
  </si>
  <si>
    <t xml:space="preserve">Lunch for Teacher appreciation </t>
  </si>
  <si>
    <t>Liberty: Luncheon for Teacher</t>
  </si>
  <si>
    <t>BHE supplies</t>
  </si>
  <si>
    <t>West - Grade level</t>
  </si>
  <si>
    <t xml:space="preserve"> BHS Stuco</t>
  </si>
  <si>
    <t>TIS-PRIZES FOR IMAGINE LEARNING</t>
  </si>
  <si>
    <t xml:space="preserve"> Track team/ meet Supplies</t>
  </si>
  <si>
    <t>CANDY FOR AR GOALS</t>
  </si>
  <si>
    <t xml:space="preserve">Hospitality items - BMS MEET </t>
  </si>
  <si>
    <t xml:space="preserve"> Day 2 of Zone Track Meet Supplies</t>
  </si>
  <si>
    <t>BHS Testing snacks</t>
  </si>
  <si>
    <t>District track Meet Supplies</t>
  </si>
  <si>
    <t>FCLC Program Supplies</t>
  </si>
  <si>
    <t>TIS- PIZZA FOR 4TH</t>
  </si>
  <si>
    <t>BHS Special Olympics Supplies</t>
  </si>
  <si>
    <t>BMS Snacks/Water</t>
  </si>
  <si>
    <t>TESTING SNACKS</t>
  </si>
  <si>
    <t>BMS-Food</t>
  </si>
  <si>
    <t>BHS testing snacks</t>
  </si>
  <si>
    <t>TIS:  BREAKFAST STAAR</t>
  </si>
  <si>
    <t>TIS- PIZZA FOR 4TH GRADE</t>
  </si>
  <si>
    <t>BMS-SNACKS MATH</t>
  </si>
  <si>
    <t>TIS- FIELD DAY</t>
  </si>
  <si>
    <t>BMS-T-SHIRTS FOR STU CO</t>
  </si>
  <si>
    <t>BHS Band trip Costs</t>
  </si>
  <si>
    <t>Book Fair Fundraiser</t>
  </si>
  <si>
    <t>SIX FLAGS OVER TEXAS TICKET OFFICE</t>
  </si>
  <si>
    <t>BMS-8TH GRADE 6 FLAGS TRIP</t>
  </si>
  <si>
    <t>West - teacher appreciation</t>
  </si>
  <si>
    <t>USA FUNDRAISERS</t>
  </si>
  <si>
    <t>BHS Class of 2020 fundraiser</t>
  </si>
  <si>
    <t>SPECIAL PROGRAMS: BEAR TRACKS SUPPLIES</t>
  </si>
  <si>
    <t>Baseball pregame playoff Meal</t>
  </si>
  <si>
    <t>North- Online STEAM</t>
  </si>
  <si>
    <t>PINCKARD, RONALD</t>
  </si>
  <si>
    <t>Baseball pregame team</t>
  </si>
  <si>
    <t>Agenda Meeting Lunch</t>
  </si>
  <si>
    <t>LPAC Team Annual Review</t>
  </si>
  <si>
    <t>Education Foundation Board</t>
  </si>
  <si>
    <t>Fingerprinting Codes</t>
  </si>
  <si>
    <t xml:space="preserve">Stainless Steel Tumblers </t>
  </si>
  <si>
    <t>Gift Bags for Nurse Appreciation</t>
  </si>
  <si>
    <t>CHEDDAR'S RESTAURANT #0280</t>
  </si>
  <si>
    <t>Business Office Appreciation Lunch</t>
  </si>
  <si>
    <t xml:space="preserve">Transportation Dept. APRRECIATION </t>
  </si>
  <si>
    <t>SUPER TRANS- PHILLY SHUTTLE TRANSPORTATION</t>
  </si>
  <si>
    <t>Board Shuttle Transportation</t>
  </si>
  <si>
    <t>KING LIMOUSINE SERVICE, INC</t>
  </si>
  <si>
    <t>Group transportation for Board Memers</t>
  </si>
  <si>
    <t>TEXACO</t>
  </si>
  <si>
    <t xml:space="preserve">Gas for travel to Regional Drama   </t>
  </si>
  <si>
    <t>ALON 7-ELEVEN</t>
  </si>
  <si>
    <t>TAX ASSESSOR COLLECTOR, WENDY BURGESS</t>
  </si>
  <si>
    <t>Toll Tag Fees</t>
  </si>
  <si>
    <t xml:space="preserve">W/O #16301- REPAIR PART </t>
  </si>
  <si>
    <t>Cameras for Building</t>
  </si>
  <si>
    <t>items for substitutes</t>
  </si>
  <si>
    <t>MACBOOK</t>
  </si>
  <si>
    <t>SPECIAL PROGRAMS: IPAD PRO</t>
  </si>
  <si>
    <t xml:space="preserve">Ipad for athletics </t>
  </si>
  <si>
    <t>ARBITER SPORTS</t>
  </si>
  <si>
    <t>2018-2019 PROGRAM FEES</t>
  </si>
  <si>
    <t>Reimbursement of Travel Expenses</t>
  </si>
  <si>
    <t>W/O #16210- A/C REPAIR BMS</t>
  </si>
  <si>
    <t>W/O #16053- A/C REPAIR IN GYM</t>
  </si>
  <si>
    <t>DFW BEE CHARMER</t>
  </si>
  <si>
    <t>EMERGENCY BEE REMOVAL @ TIS</t>
  </si>
  <si>
    <t>Spanish and English Writing</t>
  </si>
  <si>
    <t>2018-2019 frontline central</t>
  </si>
  <si>
    <t>West - Books for library</t>
  </si>
  <si>
    <t xml:space="preserve">Field Trip   </t>
  </si>
  <si>
    <t>SP Ed Flooring</t>
  </si>
  <si>
    <t>Health services AED supplies</t>
  </si>
  <si>
    <t>W/O #16015- NEW LOCKS FOR TRAILER</t>
  </si>
  <si>
    <t xml:space="preserve">POLICE - Bond renewal </t>
  </si>
  <si>
    <t>HILLTOP SECURITIES</t>
  </si>
  <si>
    <t>CONTINUING BOND DISCLOSURE FEE</t>
  </si>
  <si>
    <t>Supplies-- KINDER</t>
  </si>
  <si>
    <t>Butterflies--KINDER</t>
  </si>
  <si>
    <t>North- Secretary Luncheon</t>
  </si>
  <si>
    <t>KAREN MARSH</t>
  </si>
  <si>
    <t>LEARNING DISABILITIES ASSOCIATION OF AMERICA</t>
  </si>
  <si>
    <t>LUBER BROS., INC.</t>
  </si>
  <si>
    <t xml:space="preserve">W/O #15918- REPAIR PARTS </t>
  </si>
  <si>
    <t>Crossover carrier for Police Department</t>
  </si>
  <si>
    <t>Supplies for Parent Involvement</t>
  </si>
  <si>
    <t>Supplies to Hang Curtain</t>
  </si>
  <si>
    <t>2 UV name tags for Teacher of the Year</t>
  </si>
  <si>
    <t>2 Small Brass Plate, 75 Letters</t>
  </si>
  <si>
    <t xml:space="preserve">Tolls for CTE #902 </t>
  </si>
  <si>
    <t>Supplies for Child Nutrition</t>
  </si>
  <si>
    <t>PRECISION BUSINESS MACHINES,</t>
  </si>
  <si>
    <t>Precision Computer Full Color</t>
  </si>
  <si>
    <t>W/O #16330- REMOVE OLD GRAPHICS</t>
  </si>
  <si>
    <t xml:space="preserve">W/O #16333- EMERGENCY CALL </t>
  </si>
  <si>
    <t>BMS-SUPPLIES FOR SPAGHETTI</t>
  </si>
  <si>
    <t>TECH COFFEE SUPPLIES</t>
  </si>
  <si>
    <t>Supplies for Stadium</t>
  </si>
  <si>
    <t>May Crash Cart</t>
  </si>
  <si>
    <t xml:space="preserve">SPECIAL PROGRAMS: FOOD </t>
  </si>
  <si>
    <t>TIS- WATER FOR STAAR TESTING</t>
  </si>
  <si>
    <t>Snacks, coffee, and creamer</t>
  </si>
  <si>
    <t xml:space="preserve">Supplies for Board </t>
  </si>
  <si>
    <t>Snacks for EOC Test</t>
  </si>
  <si>
    <t>DAEP - Papergoods; coffee;</t>
  </si>
  <si>
    <t>TIS:  LAMINATING POUCHES</t>
  </si>
  <si>
    <t>BHS Student incentive</t>
  </si>
  <si>
    <t>Supplies for Operations Lunch</t>
  </si>
  <si>
    <t>Fun Day Supplies</t>
  </si>
  <si>
    <t>Cart for Stadium</t>
  </si>
  <si>
    <t>W/O #15879- REPLACE ICE MAKER</t>
  </si>
  <si>
    <t>Memberships</t>
  </si>
  <si>
    <t>Video monitor and wall mount</t>
  </si>
  <si>
    <t>SEIDLITZ EDUCATION</t>
  </si>
  <si>
    <t>Professional Development</t>
  </si>
  <si>
    <t>Contract Service for SP ED</t>
  </si>
  <si>
    <t>Telephone Software Renewal</t>
  </si>
  <si>
    <t>NEW PLUGS</t>
  </si>
  <si>
    <t>SUBLIMATION 101</t>
  </si>
  <si>
    <t>BHS photography equipment</t>
  </si>
  <si>
    <t>Secure Site CCH Name Search</t>
  </si>
  <si>
    <t>Leadership camp Fee</t>
  </si>
  <si>
    <t>North- Teacher Appreciation Lunch</t>
  </si>
  <si>
    <t>AUTHENTICALLY CREATED LITERATURE</t>
  </si>
  <si>
    <t>BHS Ag dept supplies</t>
  </si>
  <si>
    <t>BMS spring nurse office</t>
  </si>
  <si>
    <t>ZIMMERER KUBOTA &amp; EQUIP., INC</t>
  </si>
  <si>
    <t>SPREAD FERTILIZER</t>
  </si>
  <si>
    <t>Google Level 2 Certification</t>
  </si>
  <si>
    <t>BEHRENS, STEPHANIE</t>
  </si>
  <si>
    <t>Google Certification Level 1</t>
  </si>
  <si>
    <t>Regional One Act Play</t>
  </si>
  <si>
    <t>Hotel lodging for Regional Track Meet</t>
  </si>
  <si>
    <t>Google Certification Level 2</t>
  </si>
  <si>
    <t>WOOLNOUGH, EVAN</t>
  </si>
  <si>
    <t>Baseball Playoff Meal</t>
  </si>
  <si>
    <t>ATH, Student Meals for State</t>
  </si>
  <si>
    <t>Start-up cash for Drama Productions</t>
  </si>
  <si>
    <t>Think Big! Teacher of the YR Award</t>
  </si>
  <si>
    <t>BHS Band Chick Fil A</t>
  </si>
  <si>
    <t>BRIANNE SHUGRUE</t>
  </si>
  <si>
    <t>BHE massages for teacher</t>
  </si>
  <si>
    <t xml:space="preserve">BMS-SHIRTS </t>
  </si>
  <si>
    <t>BHS Pizza for baseball team</t>
  </si>
  <si>
    <t>BHS Pizza for film crew at Bear Tracks</t>
  </si>
  <si>
    <t>Admission for Museum</t>
  </si>
  <si>
    <t>JOE T. GARCIA'S</t>
  </si>
  <si>
    <t>Liberty: End of Year staff</t>
  </si>
  <si>
    <t>LARRY KYLE TRIBBLE</t>
  </si>
  <si>
    <t>Athletic Physical Event Start UP</t>
  </si>
  <si>
    <t>West - Replenish Petty Cash</t>
  </si>
  <si>
    <t>West - Water Service</t>
  </si>
  <si>
    <t>Fair ID# 3976659 bhe Book Fair</t>
  </si>
  <si>
    <t>Fair ID# 3967362 North- BOOK Fair</t>
  </si>
  <si>
    <t>Tennis Racket for program</t>
  </si>
  <si>
    <t>THOMAS BOWERS</t>
  </si>
  <si>
    <t>BHS Robotics banquet</t>
  </si>
  <si>
    <t>TIMOTHY D MATHEUS</t>
  </si>
  <si>
    <t>FORT WORTH OPERA - PORGY AND BESS</t>
  </si>
  <si>
    <t>WATCHD.O.G.S. REPLENISH PACK</t>
  </si>
  <si>
    <t>TIS- STUCCO TEE SHIRTS</t>
  </si>
  <si>
    <t>Liberty Elem. Hall Pass</t>
  </si>
  <si>
    <t>North- PTO appreciation</t>
  </si>
  <si>
    <t xml:space="preserve">Gift Cards for MARCH STAFF </t>
  </si>
  <si>
    <t xml:space="preserve">Gift Cards for MAY STAFF </t>
  </si>
  <si>
    <t>NASSP/NHS/NJHS</t>
  </si>
  <si>
    <t>BHS NHS Supplies</t>
  </si>
  <si>
    <t xml:space="preserve">Suit for Student- Think BIG </t>
  </si>
  <si>
    <t xml:space="preserve">CONVECTION OVEN </t>
  </si>
  <si>
    <t>W/O #16339- REPAIR WATER LEAK</t>
  </si>
  <si>
    <t>for Teacher of the Year Refreshments</t>
  </si>
  <si>
    <t>Epic Water Park Student Field Trip</t>
  </si>
  <si>
    <t>Travel Reimbursement</t>
  </si>
  <si>
    <t xml:space="preserve">REPAIR #2 ICE MACHINE </t>
  </si>
  <si>
    <t>BLAIR TURNER</t>
  </si>
  <si>
    <t>reimburse for Re-Fingerprinting</t>
  </si>
  <si>
    <t>MET GOAL STUDENT ATTENDANCE</t>
  </si>
  <si>
    <t>Softball Stirrups, sweat SHIRTS</t>
  </si>
  <si>
    <t>W/O #15305- Uniforms</t>
  </si>
  <si>
    <t>ATH, BMS Boys Soccer Jerseys</t>
  </si>
  <si>
    <t>Business Office Window Return</t>
  </si>
  <si>
    <t>Workshop Registration Fee</t>
  </si>
  <si>
    <t>Best Attendance Award</t>
  </si>
  <si>
    <t>JUAN CARDENAS</t>
  </si>
  <si>
    <t>Sp Ed Contract Services</t>
  </si>
  <si>
    <t>Accountability Training</t>
  </si>
  <si>
    <t xml:space="preserve">Ballistic vest </t>
  </si>
  <si>
    <t xml:space="preserve">TEACHER OF THE YR FLOWERS </t>
  </si>
  <si>
    <t>MARIETTA SLAWINSKI</t>
  </si>
  <si>
    <t>CN  PETTY CASH</t>
  </si>
  <si>
    <t>W/O #16288- PLUMBING REPAIRS</t>
  </si>
  <si>
    <t>W/O #16404- REPLACE VACUUM</t>
  </si>
  <si>
    <t>BHS Scholarship letters</t>
  </si>
  <si>
    <t xml:space="preserve">New signature stamp </t>
  </si>
  <si>
    <t>Operations Supplies</t>
  </si>
  <si>
    <t>REPLACE STOLEN EQUIP</t>
  </si>
  <si>
    <t>NATUS MEDICAL INCORPORATED</t>
  </si>
  <si>
    <t>Health Services Audiometer Calibration</t>
  </si>
  <si>
    <t>ATH, Baseball playoff trophy</t>
  </si>
  <si>
    <t xml:space="preserve">Tolls for fan bus </t>
  </si>
  <si>
    <t xml:space="preserve">CTE Tolls # 387 </t>
  </si>
  <si>
    <t>CHILD NUTRITION APPRECIATION SUPPLIES</t>
  </si>
  <si>
    <t>LUNCH FOR MAINTENANCE DEPT</t>
  </si>
  <si>
    <t>ROSETTA STONE LTD.</t>
  </si>
  <si>
    <t>Supplemental software program</t>
  </si>
  <si>
    <t>TECH LENEL SERVICE</t>
  </si>
  <si>
    <t>W/O #16378- FOR PLAYOFF GAMES</t>
  </si>
  <si>
    <t>West - Teacher appreciation Lunch</t>
  </si>
  <si>
    <t>TSI Test Units (2000 @ $1.75)</t>
  </si>
  <si>
    <t>TUNNEL VISION PRODUCTIONS, LLC</t>
  </si>
  <si>
    <t>Marketing video</t>
  </si>
  <si>
    <t xml:space="preserve">WASTE SERVICES </t>
  </si>
  <si>
    <t>GAS FOR TPSA STATE</t>
  </si>
  <si>
    <t>UIL ACADEMIC REGIONALS GAS</t>
  </si>
  <si>
    <t>BHS Gas for SkillsUSA state</t>
  </si>
  <si>
    <t xml:space="preserve">ATH, Cover gas charges REGIONAL TRACK </t>
  </si>
  <si>
    <t>BHS Meals and gas for CTE</t>
  </si>
  <si>
    <t xml:space="preserve">Tolls for fan bus Zipcash </t>
  </si>
  <si>
    <t>Toll charge for account ID</t>
  </si>
  <si>
    <t xml:space="preserve">CTE Tolls # 387 License </t>
  </si>
  <si>
    <t xml:space="preserve">Reimbursement </t>
  </si>
  <si>
    <t>extra services for April</t>
  </si>
  <si>
    <t>Hotel for Drama Competition</t>
  </si>
  <si>
    <t>Hotel for Welding Contest</t>
  </si>
  <si>
    <t>ADD RECIPROCAL OUTLETS</t>
  </si>
  <si>
    <t>W/O #15961- INSTALL RAILING @ CN</t>
  </si>
  <si>
    <t>W/O #16073- BUILD AWARD PLATFORM</t>
  </si>
  <si>
    <t xml:space="preserve">TECH TOOLS &amp; SUPPLIES </t>
  </si>
  <si>
    <t>WO#: 15512 School: Special PROGRAMS</t>
  </si>
  <si>
    <t>Cones for Police Dept.</t>
  </si>
  <si>
    <t>W/O #REPAIR HOLES ON WALL</t>
  </si>
  <si>
    <t>BHS Construction and ARCH SUPPLIES</t>
  </si>
  <si>
    <t>Storage shelves</t>
  </si>
  <si>
    <t>W/O #15512- PHASE (1) RENO</t>
  </si>
  <si>
    <t>W/O #15512- PHASE 2 RENO</t>
  </si>
  <si>
    <t xml:space="preserve">PAINT YELLOW STRIPES </t>
  </si>
  <si>
    <t>W/O #15783- HAND TRUCK TIRES</t>
  </si>
  <si>
    <t>W/O #15149- RE-INSTALL ICE MACHINE</t>
  </si>
  <si>
    <t xml:space="preserve">W/O #15884- ADD A LOCK ON NURSES DOOR </t>
  </si>
  <si>
    <t>W/O #16062- IRRIGATION PARTS</t>
  </si>
  <si>
    <t>New Appliance for Sp Programs</t>
  </si>
  <si>
    <t>W/O #16315- REPLACE IRRIGATION TIMER</t>
  </si>
  <si>
    <t>W/O #16062- IRRIGATION REPAIRS</t>
  </si>
  <si>
    <t>W/O #16166- TO HANG NEW CURTAINS</t>
  </si>
  <si>
    <t>BHS Powderpuff</t>
  </si>
  <si>
    <t>BMS- PAYMENT FOR UIL ART SHOW</t>
  </si>
  <si>
    <t>West - Sped program - app</t>
  </si>
  <si>
    <t>BHS Photo</t>
  </si>
  <si>
    <t>West - Fundraiser payment</t>
  </si>
  <si>
    <t>BRAXDON CANNON</t>
  </si>
  <si>
    <t>Refund on AP test</t>
  </si>
  <si>
    <t>Volleyball Supplies</t>
  </si>
  <si>
    <t>BMS STU CO-PIZZA EOY</t>
  </si>
  <si>
    <t>BHS Dual credit lunch</t>
  </si>
  <si>
    <t>BMS Band Freight Fees</t>
  </si>
  <si>
    <t>TIS- ADMISSION AND SOCKS</t>
  </si>
  <si>
    <t xml:space="preserve">FCLC Leopard print shirt </t>
  </si>
  <si>
    <t xml:space="preserve">Helmet Print shirt </t>
  </si>
  <si>
    <t>BMS-SONIC DRINKS FOR TEACHERS</t>
  </si>
  <si>
    <t>KALEE MORAN</t>
  </si>
  <si>
    <t>MAMA'S PIZZA</t>
  </si>
  <si>
    <t>BHS Senior activities</t>
  </si>
  <si>
    <t>Cardstock/ rubber BANDS</t>
  </si>
  <si>
    <t>MICHELLE MOORE</t>
  </si>
  <si>
    <t>Reimburse for CAMT</t>
  </si>
  <si>
    <t>BHS Theatre banquet</t>
  </si>
  <si>
    <t xml:space="preserve">Various Bluebonnet books </t>
  </si>
  <si>
    <t xml:space="preserve"> TIS:  WATER</t>
  </si>
  <si>
    <t>BHS Band trip</t>
  </si>
  <si>
    <t xml:space="preserve">Additional tickets </t>
  </si>
  <si>
    <t>Deposit for BHS Senior</t>
  </si>
  <si>
    <t>Final pymt BHS Senior</t>
  </si>
  <si>
    <t xml:space="preserve">SCHOLARSHIP RECEPIENT </t>
  </si>
  <si>
    <t>BHS Cheer clinic</t>
  </si>
  <si>
    <t>TIS- RETIREMENT AWARD</t>
  </si>
  <si>
    <t>Burton Trophy-Think Big TOTY</t>
  </si>
  <si>
    <t xml:space="preserve">Airfare for D.H. - THINK BIG </t>
  </si>
  <si>
    <t>TOREANNE KUSTKA</t>
  </si>
  <si>
    <t>UNIVERSAL CHEERLEADERS ASSOCIATION</t>
  </si>
  <si>
    <t>BHS Cheer camp deposits</t>
  </si>
  <si>
    <t>UNIVERSITY OF TEXAS AT ARLINGTON</t>
  </si>
  <si>
    <t>BHS Honeycomb youth clinic</t>
  </si>
  <si>
    <t>Tennis Nike Uniforms for 2019</t>
  </si>
  <si>
    <t>Reimbursement for Donuts</t>
  </si>
  <si>
    <t xml:space="preserve">REPAIR PARTS </t>
  </si>
  <si>
    <t xml:space="preserve">notepads for subs </t>
  </si>
  <si>
    <t>A/C REPAIR</t>
  </si>
  <si>
    <t>A/C REPAIRS @ DAEP</t>
  </si>
  <si>
    <t xml:space="preserve">GAS SERVICE FOR THE PERIOD </t>
  </si>
  <si>
    <t>BAT SECURITY</t>
  </si>
  <si>
    <t>Safety App for use by all Staff</t>
  </si>
  <si>
    <t>TEACHER ATTENDANCE FOR APRIL</t>
  </si>
  <si>
    <t>Famly Game Challenge- Child</t>
  </si>
  <si>
    <t>WATER SERVICE FOR THE PERIOD</t>
  </si>
  <si>
    <t>re-reimbursement for training Props</t>
  </si>
  <si>
    <t>ESC REGION XIII</t>
  </si>
  <si>
    <t>BMS-PROFESSIONAL DEVELOPMENT</t>
  </si>
  <si>
    <t>FRED PRYOR SEMINARS</t>
  </si>
  <si>
    <t xml:space="preserve">BUSINESS OFFICE - REGISTRATION </t>
  </si>
  <si>
    <t xml:space="preserve">Lago control boxes for ATHLETICS </t>
  </si>
  <si>
    <t>Lago Grande for Athletics</t>
  </si>
  <si>
    <t>CN  REPAIR ON DISH MACHINE,</t>
  </si>
  <si>
    <t>BHS Band Consultant</t>
  </si>
  <si>
    <t xml:space="preserve">W/O #15547- REPAIR HINGES </t>
  </si>
  <si>
    <t xml:space="preserve">CN HOBART MIXER SWITCH </t>
  </si>
  <si>
    <t>Variety of material to make CURTAINS</t>
  </si>
  <si>
    <t>W/O #16399- DEMO FIRE</t>
  </si>
  <si>
    <t>ISIS GOMEZ</t>
  </si>
  <si>
    <t>refund for library book</t>
  </si>
  <si>
    <t>JANETTE OWENS</t>
  </si>
  <si>
    <t>DRAWING FOR THE END OF YEAR</t>
  </si>
  <si>
    <t>Lunch for nurses week May</t>
  </si>
  <si>
    <t>REFRIGERATED COOLER S</t>
  </si>
  <si>
    <t>CN WHEELS AND CASTERS</t>
  </si>
  <si>
    <t>JOSTENS</t>
  </si>
  <si>
    <t>End of Year Awards</t>
  </si>
  <si>
    <t>KIMBERLY BRANCH</t>
  </si>
  <si>
    <t>Reimburse for RE-FINGERPRINTING</t>
  </si>
  <si>
    <t>kona ice</t>
  </si>
  <si>
    <t>PLUMBING REPAIRS</t>
  </si>
  <si>
    <t>PLUMBING PARTS</t>
  </si>
  <si>
    <t xml:space="preserve">REPLACED FOUNTAIN SPRAYERS </t>
  </si>
  <si>
    <t>SET UP RESTROOMS</t>
  </si>
  <si>
    <t>West - Cover use of Toll Tag</t>
  </si>
  <si>
    <t>BASEBALL PLAY OFFS</t>
  </si>
  <si>
    <t>Bundt Cake Order for CN Appreciation</t>
  </si>
  <si>
    <t>WO# 16431 - Repair baseball</t>
  </si>
  <si>
    <t>PLAYPOSIT</t>
  </si>
  <si>
    <t>Technology Application</t>
  </si>
  <si>
    <t>Drinking water for DAEP STAFF</t>
  </si>
  <si>
    <t>W/O #16365- EMERGENCY SERVICE</t>
  </si>
  <si>
    <t>Sp Progams Contract Services</t>
  </si>
  <si>
    <t xml:space="preserve">W/O #16336- FOR SUMMER PROJECTS </t>
  </si>
  <si>
    <t>North- 2nd grade End of the YR</t>
  </si>
  <si>
    <t>Bounce Houses--first grade</t>
  </si>
  <si>
    <t>RESPONSE TO INTERVENTION</t>
  </si>
  <si>
    <t>LEGAL NOTICES 5/9 - MAINT LABOR</t>
  </si>
  <si>
    <t>Training class for POLICE Officer</t>
  </si>
  <si>
    <t>AP Spanish Exam for 65 8th GRADERS</t>
  </si>
  <si>
    <t>W/O #13767- DISTRICT- WIDE</t>
  </si>
  <si>
    <t>TRINITY ARMORED CAR SERVICE -</t>
  </si>
  <si>
    <t xml:space="preserve">CTE toll charges account </t>
  </si>
  <si>
    <t>W/O #16039- REPLACE SAFETY STRAPS</t>
  </si>
  <si>
    <t>Science Lab Equipment</t>
  </si>
  <si>
    <t>Building Renovation Supplies</t>
  </si>
  <si>
    <t>Hotel  for Regional Drama Competition</t>
  </si>
  <si>
    <t>BHS Lodging for ONRAMPS TRAINING</t>
  </si>
  <si>
    <t>Travel Expenses</t>
  </si>
  <si>
    <t>Epic Water Park Student Field TRIP</t>
  </si>
  <si>
    <t>North- 2nd grade End of the Year Field Trip</t>
  </si>
  <si>
    <t xml:space="preserve">Splash Kingdom Tickets </t>
  </si>
  <si>
    <t>BIG GAME SPORTS</t>
  </si>
  <si>
    <t xml:space="preserve"> Football Supplies</t>
  </si>
  <si>
    <t>BHS Senior activities Food</t>
  </si>
  <si>
    <t>BHS International leadership Food</t>
  </si>
  <si>
    <t>BHS Pals party</t>
  </si>
  <si>
    <t>TIS- Band Party</t>
  </si>
  <si>
    <t>COLEEN SEEKER</t>
  </si>
  <si>
    <t>Fingerprints for Background CHECKS</t>
  </si>
  <si>
    <t>CROWN AWARDS</t>
  </si>
  <si>
    <t>BHS Trophies</t>
  </si>
  <si>
    <t>Blue Haze Return Address</t>
  </si>
  <si>
    <t>North- Dyslexia Conference</t>
  </si>
  <si>
    <t>Track Regional Qualifier Supplies</t>
  </si>
  <si>
    <t>State qualifier Shirts</t>
  </si>
  <si>
    <t>GENE'S BUS CHARTERS</t>
  </si>
  <si>
    <t>BHS Band trip Charter Bus</t>
  </si>
  <si>
    <t>Bus Use Sp Ed</t>
  </si>
  <si>
    <t>Liberty: Bus Transportation</t>
  </si>
  <si>
    <t>West - Bus Usage</t>
  </si>
  <si>
    <t>HAILEY CAMPBELL</t>
  </si>
  <si>
    <t>REfund on yearbook ad</t>
  </si>
  <si>
    <t>BHS Additional  hours for DJ</t>
  </si>
  <si>
    <t>INSTRUMENTALIST AWARDS LLC</t>
  </si>
  <si>
    <t>BHS Band awards</t>
  </si>
  <si>
    <t>Liberty: End of Year staff meal</t>
  </si>
  <si>
    <t>KAREN GONZALES</t>
  </si>
  <si>
    <t>West - Scavenger hunt prize</t>
  </si>
  <si>
    <t>laminating film</t>
  </si>
  <si>
    <t>TOTY 2019 PLAQUE &amp; NAME BADGE</t>
  </si>
  <si>
    <t>PROFORMANCE SYSTEMS LLC</t>
  </si>
  <si>
    <t>BHS Theatre equipment</t>
  </si>
  <si>
    <t>Fundraiser Payment</t>
  </si>
  <si>
    <t>STEPHANIE CORTEZ</t>
  </si>
  <si>
    <t>Refund for Honeycombs</t>
  </si>
  <si>
    <t>TGCA Softball Summer Clinic</t>
  </si>
  <si>
    <t>BHS Cheer camp</t>
  </si>
  <si>
    <t>North-  STAAR</t>
  </si>
  <si>
    <t xml:space="preserve">Supplies for SPRING FOOTBALL </t>
  </si>
  <si>
    <t>Paw Pantry items</t>
  </si>
  <si>
    <t xml:space="preserve">TIS--  FOOD  - END OF YR </t>
  </si>
  <si>
    <t>TIS-  TEACHERS SUPPLIES</t>
  </si>
  <si>
    <t>supplies for Study Rooms</t>
  </si>
  <si>
    <t xml:space="preserve">North- Snacks </t>
  </si>
  <si>
    <t>TIS-SNACKS FOR STAAR</t>
  </si>
  <si>
    <t>BHS baby items</t>
  </si>
  <si>
    <t>BEAR TRACKS:</t>
  </si>
  <si>
    <t>BMS-SUB SANDWICH</t>
  </si>
  <si>
    <t>Bear Tracks Supplies</t>
  </si>
  <si>
    <t xml:space="preserve">TIS- PRIZE FOR FUNDRAISER </t>
  </si>
  <si>
    <t xml:space="preserve">North- Teacher APPRECIATION </t>
  </si>
  <si>
    <t>SPECIAL PROGRAMS: PRIDE SUPPLIES</t>
  </si>
  <si>
    <t>FCLC Supplies</t>
  </si>
  <si>
    <t>TIS-PE SUPPLIES</t>
  </si>
  <si>
    <t xml:space="preserve"> BHS School store SUPPLIES </t>
  </si>
  <si>
    <t>TIS Teacher Apprec Supplies</t>
  </si>
  <si>
    <t>Liberty: Snacks STAAR</t>
  </si>
  <si>
    <t>Teacher Appreciation Supplies</t>
  </si>
  <si>
    <t xml:space="preserve"> BMS-TEACHER</t>
  </si>
  <si>
    <t>North- Retirement PARTY</t>
  </si>
  <si>
    <t xml:space="preserve">Nrth Ticket wall OF SUCCESS </t>
  </si>
  <si>
    <t>North- Police APPREC</t>
  </si>
  <si>
    <t>SNYDER, COLLEEN</t>
  </si>
  <si>
    <t>BHS Band refund</t>
  </si>
  <si>
    <t>W/O #16049- REPAIRS ON TORO</t>
  </si>
  <si>
    <t xml:space="preserve">W/O #15916- REPAIR PARTS </t>
  </si>
  <si>
    <t>W/O #16301- REPLACE BELT ON TORO</t>
  </si>
  <si>
    <t>ALEJANDRA GUTIERREZ</t>
  </si>
  <si>
    <t>Refund on Laptop charger</t>
  </si>
  <si>
    <t xml:space="preserve">BHS NOC Service </t>
  </si>
  <si>
    <t>UIL Expenses</t>
  </si>
  <si>
    <t>Background checks for April</t>
  </si>
  <si>
    <t>TECH BHS AUDITORIUM/GYM AV</t>
  </si>
  <si>
    <t>Billy Oaks Barbecue-District</t>
  </si>
  <si>
    <t>REMOVE DEAD TREES ON EAST</t>
  </si>
  <si>
    <t xml:space="preserve">LEADERSHIP AWARD </t>
  </si>
  <si>
    <t>BUTLER, KATHLEEN</t>
  </si>
  <si>
    <t>REFUND - JAKOB BUTLER</t>
  </si>
  <si>
    <t>North- Hope squad EOY party</t>
  </si>
  <si>
    <t>City Cleaners-Table Cloth</t>
  </si>
  <si>
    <t xml:space="preserve">COMMERCIAL FIRE INSPECTIONS </t>
  </si>
  <si>
    <t>COCKRELL, MORGAN</t>
  </si>
  <si>
    <t>REFUND</t>
  </si>
  <si>
    <t>CONTEMPORARY SERVICES CORPORATION</t>
  </si>
  <si>
    <t>BHS Graduation ushers and POLICE</t>
  </si>
  <si>
    <t xml:space="preserve"> DIR TELECOM BILL</t>
  </si>
  <si>
    <t xml:space="preserve">Direct Energy Service </t>
  </si>
  <si>
    <t xml:space="preserve">BHS/ Bus request for ASL </t>
  </si>
  <si>
    <t>Bus Usage</t>
  </si>
  <si>
    <t>Tarleton Campus Tour - BHS</t>
  </si>
  <si>
    <t>BHS Band Bus Usage</t>
  </si>
  <si>
    <t>BHS/ PO for Band to Chislom</t>
  </si>
  <si>
    <t>Bus for Band</t>
  </si>
  <si>
    <t>BHS - To cover expenses on PO'S</t>
  </si>
  <si>
    <t xml:space="preserve">BHS/ PO for BHS Choir </t>
  </si>
  <si>
    <t xml:space="preserve">BHS/ Bus Band 4-12-2019 </t>
  </si>
  <si>
    <t>BHS / BHS CTE to Dallas</t>
  </si>
  <si>
    <t>BHS / BHS CTE to Texas Motor</t>
  </si>
  <si>
    <t>BHS/ CTE pick up  students</t>
  </si>
  <si>
    <t>BHS/ CTE Drop students off</t>
  </si>
  <si>
    <t xml:space="preserve">Bus for 4/30/2019- Dual CREDIT </t>
  </si>
  <si>
    <t xml:space="preserve">SPECIAL PROGRAMS: BEAR TRACKS </t>
  </si>
  <si>
    <t>Bus For UIL</t>
  </si>
  <si>
    <t>BHS/ Bus request Think Big</t>
  </si>
  <si>
    <t>Bus for Bear Tracks</t>
  </si>
  <si>
    <t>bus to zoo--PK   April 25</t>
  </si>
  <si>
    <t>bus service  April 26</t>
  </si>
  <si>
    <t>Buses for BMS boys and girls</t>
  </si>
  <si>
    <t>BHS Symphonic Band to Saginaw</t>
  </si>
  <si>
    <t>BHS Honor Band (BMS) April</t>
  </si>
  <si>
    <t xml:space="preserve">BHS/ Bus request for Band </t>
  </si>
  <si>
    <t>BMS-TRANSPORTATION FOR LIFE</t>
  </si>
  <si>
    <t>ATH, Buses for BMS Soccer</t>
  </si>
  <si>
    <t>BMS-TRANSPORTATION FOR ONE ACT PLAY</t>
  </si>
  <si>
    <t>bus for 2nd grade study trip</t>
  </si>
  <si>
    <t>FINE ARTS - BUS FOR 3RD GRADE</t>
  </si>
  <si>
    <t>FINE ARTS - bus for 6th grade</t>
  </si>
  <si>
    <t>bus for Kindergarten Field</t>
  </si>
  <si>
    <t>Liberty Bus Transportation</t>
  </si>
  <si>
    <t>North- Pk Bus to Zoo 5-5-18</t>
  </si>
  <si>
    <t>TIS:   BUS USE</t>
  </si>
  <si>
    <t>TIS- TRANSPORTATION FOR 5TH</t>
  </si>
  <si>
    <t>Bus Use for Think Big Trip</t>
  </si>
  <si>
    <t>Bus Use for Field Trip</t>
  </si>
  <si>
    <t xml:space="preserve">West - FDFW  4/26/19 </t>
  </si>
  <si>
    <t>Bus Use for CtE</t>
  </si>
  <si>
    <t>Bus Use for Band</t>
  </si>
  <si>
    <t>HALEY NEILL</t>
  </si>
  <si>
    <t xml:space="preserve">Athletic game worker </t>
  </si>
  <si>
    <t>PARTS FOR LIBERTY</t>
  </si>
  <si>
    <t>HERRON, CYNTHIA</t>
  </si>
  <si>
    <t>Refund of Student Lunch Account</t>
  </si>
  <si>
    <t>JENNIFER FLOOD</t>
  </si>
  <si>
    <t>BHS Flowers for senior night</t>
  </si>
  <si>
    <t>Mary Poppins 2 flowers</t>
  </si>
  <si>
    <t>W/O #16502- REPLACE FEED ROLLERS</t>
  </si>
  <si>
    <t>MATHENY, MONICA</t>
  </si>
  <si>
    <t>TIS-COPIER PAPER</t>
  </si>
  <si>
    <t xml:space="preserve">West - Copy Paper </t>
  </si>
  <si>
    <t>MICHELLE BATTEN</t>
  </si>
  <si>
    <t>W/O #16300- SET UP RESTROOMS</t>
  </si>
  <si>
    <t>Access Points, Antennae, AP Supplies</t>
  </si>
  <si>
    <t>TROPHIES FOR SPECIAL OLYMPIC</t>
  </si>
  <si>
    <t>Toll charges ZIP Cash Acct.</t>
  </si>
  <si>
    <t>Final half of combo rack band</t>
  </si>
  <si>
    <t>BHS Theater building creation</t>
  </si>
  <si>
    <t>BHS Coffee for June, July and</t>
  </si>
  <si>
    <t>W/O #16508- REPLACE STOLEN LETTER</t>
  </si>
  <si>
    <t>WO# 16587 - Replace logo at BHS Stadium</t>
  </si>
  <si>
    <t>RISE EOC breakfast</t>
  </si>
  <si>
    <t>WO# 16588 - Replace Sewer Lines</t>
  </si>
  <si>
    <t>Books for first grade</t>
  </si>
  <si>
    <t>SHELTON'S REFINED WATER INC.</t>
  </si>
  <si>
    <t>CN WATER SOFTENER FOR BHE</t>
  </si>
  <si>
    <t>CN WATER SOFTENER FOR BHS</t>
  </si>
  <si>
    <t>SODE, KAM</t>
  </si>
  <si>
    <t>LEGAL NOTICES 5/16 - MAINT LABOR</t>
  </si>
  <si>
    <t>Private School Legal Notice</t>
  </si>
  <si>
    <t>Non-Food for Child Nutrition</t>
  </si>
  <si>
    <t>TASBO SUMMER CONFERENCE FEE</t>
  </si>
  <si>
    <t>TORANCE HENLEY</t>
  </si>
  <si>
    <t>Refund on laptop charger cord</t>
  </si>
  <si>
    <t>W/O #16149- REPAIR IN KITCHEN</t>
  </si>
  <si>
    <t>W/O #12199- REPAIR KITCHEN</t>
  </si>
  <si>
    <t>BMS-COOK OUT SUPPLIES FOR END</t>
  </si>
  <si>
    <t>RISE Students EOC Breakfast</t>
  </si>
  <si>
    <t>FRC food and drink supplies</t>
  </si>
  <si>
    <t>BMS-Food Supplies for CTE</t>
  </si>
  <si>
    <t>BMS-SEWING SUPPLIES FOR HOME EC</t>
  </si>
  <si>
    <t xml:space="preserve">ATH, Drinks and snack </t>
  </si>
  <si>
    <t>BHS Engineering andn aircraft</t>
  </si>
  <si>
    <t xml:space="preserve">BHS CTE Purchase LIFEJACKETS </t>
  </si>
  <si>
    <t xml:space="preserve">Supplies for WSISD Annual GAME NIGHT </t>
  </si>
  <si>
    <t>North- make space/ Sci lab</t>
  </si>
  <si>
    <t>3rd grade supplies   Torres</t>
  </si>
  <si>
    <t>Food and drink supplies for MAY</t>
  </si>
  <si>
    <t xml:space="preserve">West - student incentive </t>
  </si>
  <si>
    <t>DAEP - Principal's supplies</t>
  </si>
  <si>
    <t>North- Teach appreciation</t>
  </si>
  <si>
    <t>Teacher Appreciation gifts</t>
  </si>
  <si>
    <t>DUNSON, NICOLE</t>
  </si>
  <si>
    <t>BMS-LODGING FOR TMEA CONF</t>
  </si>
  <si>
    <t xml:space="preserve">Hotel for Band </t>
  </si>
  <si>
    <t>A'LEZJAH SHELTON-JACKSON</t>
  </si>
  <si>
    <t>Yearbook refund</t>
  </si>
  <si>
    <t>BHS student paid meals</t>
  </si>
  <si>
    <t>BHE arcade games</t>
  </si>
  <si>
    <t xml:space="preserve">BHS pizza for film crew </t>
  </si>
  <si>
    <t>TIS - CANDY FUNDRAISER PIZZA</t>
  </si>
  <si>
    <t>DECA IMAGES</t>
  </si>
  <si>
    <t>BHS Deca Cords</t>
  </si>
  <si>
    <t>EMILY MCKINZIE</t>
  </si>
  <si>
    <t>Refund on yearbook</t>
  </si>
  <si>
    <t>Six Flags ticket order</t>
  </si>
  <si>
    <t>FUZZY'S</t>
  </si>
  <si>
    <t>BMS-END OF YEAR FACULTY MEAL</t>
  </si>
  <si>
    <t xml:space="preserve"> TIS- PE EQUIPMENT </t>
  </si>
  <si>
    <t>LONESTAR RECORDING &amp; VIDEO PRODUCTINS INC</t>
  </si>
  <si>
    <t>BHS Band videos</t>
  </si>
  <si>
    <t>FAA paper End of YR</t>
  </si>
  <si>
    <t>FAA bundt cakes for  Teachers</t>
  </si>
  <si>
    <t>BHS Items for graduation</t>
  </si>
  <si>
    <t>BMS- END OF YEAR AWARDS</t>
  </si>
  <si>
    <t>BMS-SHEET CAKE FOR CHEER</t>
  </si>
  <si>
    <t>Liberty Snack Shack</t>
  </si>
  <si>
    <t>BMS-ICE MACHINE</t>
  </si>
  <si>
    <t>Basketball SUPPLIES</t>
  </si>
  <si>
    <t>BMS-FOOD SUPPLIES</t>
  </si>
  <si>
    <t>TIS- FOOD FOR THEATRE</t>
  </si>
  <si>
    <t xml:space="preserve">BHS Special OLYMPICS </t>
  </si>
  <si>
    <t xml:space="preserve">Kinder writing - STAAR SNACKS </t>
  </si>
  <si>
    <t>BHS testing Supplies</t>
  </si>
  <si>
    <t>BHS Testing admin</t>
  </si>
  <si>
    <t>North snacks</t>
  </si>
  <si>
    <t>TIS- STAAR SNACKS</t>
  </si>
  <si>
    <t>TIS- BREAKFAST</t>
  </si>
  <si>
    <t>Muffins with mom</t>
  </si>
  <si>
    <t>BMS-BIRTHDAY LUNCHEON</t>
  </si>
  <si>
    <t>Family Class Food Supplies</t>
  </si>
  <si>
    <t>BHS A V equipment</t>
  </si>
  <si>
    <t>Liberty STAAR Supplies</t>
  </si>
  <si>
    <t>Snacks for STAAR</t>
  </si>
  <si>
    <t>BMS-TESTING SNACKS</t>
  </si>
  <si>
    <t xml:space="preserve">BMS-WATER </t>
  </si>
  <si>
    <t>BHS Senior BREAKFAST</t>
  </si>
  <si>
    <t>Food and Drinks</t>
  </si>
  <si>
    <t>BHS Baccalaureate</t>
  </si>
  <si>
    <t>BMS-WATER FOR TESTING</t>
  </si>
  <si>
    <t>Brewer High School AP Exams</t>
  </si>
  <si>
    <t>Top Graduates meal</t>
  </si>
  <si>
    <t>Limo/Party Bus for Top Grads</t>
  </si>
  <si>
    <t xml:space="preserve">DAEP = BOY - Staff Lunch </t>
  </si>
  <si>
    <t>DISTRICT- WIDE ALARM SYSTEM - 4 Months</t>
  </si>
  <si>
    <t xml:space="preserve">W/O #15394- REMOVE MIRRORS </t>
  </si>
  <si>
    <t>Tech Ball Fields</t>
  </si>
  <si>
    <t>Team issue Program</t>
  </si>
  <si>
    <t>W/O #16597- FOR MOVING BOXES</t>
  </si>
  <si>
    <t>FB belts and laundry clips</t>
  </si>
  <si>
    <t>CELEBRATIONS OF FORT WORTH</t>
  </si>
  <si>
    <t>Splash Dayz for 3rd &amp; 4th</t>
  </si>
  <si>
    <t>West - Splash Days Field Trip</t>
  </si>
  <si>
    <t>Splash Dayz for student Field Trip</t>
  </si>
  <si>
    <t>DAVIS DEMOGRAPHICS &amp; PLANNING INC</t>
  </si>
  <si>
    <t>BUSINESS OFFICE - SCHOOL SITE PROGRAM</t>
  </si>
  <si>
    <t xml:space="preserve">Replacement cartridges </t>
  </si>
  <si>
    <t>Drug Testing, May 2019</t>
  </si>
  <si>
    <t>DONUTS AND KOLACHES</t>
  </si>
  <si>
    <t>SPECIAL PROGRAMS: CONTRACTED SERVICES</t>
  </si>
  <si>
    <t>W/O #16442- REPAIR A/C IN</t>
  </si>
  <si>
    <t xml:space="preserve">W/O #16264- INSTALL ALL NEW EMS </t>
  </si>
  <si>
    <t>17 weekly releases of Newsletter</t>
  </si>
  <si>
    <t>W/O #16495- REPAIR TRAULSEN</t>
  </si>
  <si>
    <t>SHARS Billing Contract Services</t>
  </si>
  <si>
    <t>LORI HOBBS</t>
  </si>
  <si>
    <t>Reimbursment for Fingerprinting</t>
  </si>
  <si>
    <t xml:space="preserve">W/O #15636- FOR STOCK PARTS </t>
  </si>
  <si>
    <t>TECH LASERFICHE SUPPORT</t>
  </si>
  <si>
    <t>Nothing Bundt Cakes for end of Year</t>
  </si>
  <si>
    <t>POWERSCHOOL GROUP LLC</t>
  </si>
  <si>
    <t>Membership Fee for 2019-2020</t>
  </si>
  <si>
    <t>W/O #16336- FOR EXTRA DOORS</t>
  </si>
  <si>
    <t>Professional Development Contract Services</t>
  </si>
  <si>
    <t>LEGAL NOTICE PROPERTY AND CASUALTY INS</t>
  </si>
  <si>
    <t>TASRO</t>
  </si>
  <si>
    <t xml:space="preserve">Membership fee for POLICE OFFICER </t>
  </si>
  <si>
    <t>2018- 2019 ELEVATOR INSPECTIONS</t>
  </si>
  <si>
    <t>Board Meeting Dinner June 18</t>
  </si>
  <si>
    <t>BHS Drone registration</t>
  </si>
  <si>
    <t>2019-2020 membership fee</t>
  </si>
  <si>
    <t>TINIUS FLORAL INC.</t>
  </si>
  <si>
    <t>BHS Flowers for graduation</t>
  </si>
  <si>
    <t>TORRES HENDERSON EDUCATION RESOURCES</t>
  </si>
  <si>
    <t xml:space="preserve">Spanish Reading Resources </t>
  </si>
  <si>
    <t>W/O #15879- REPAIR ICE MAKER</t>
  </si>
  <si>
    <t>VISTA HIGHER LEARNING</t>
  </si>
  <si>
    <t xml:space="preserve">Spanish Poetry Kits </t>
  </si>
  <si>
    <t>Spanish Dictionaries for Dual</t>
  </si>
  <si>
    <t>BLUE HAZE AFTER SCHOOL</t>
  </si>
  <si>
    <t>HODGE, CASSIE</t>
  </si>
  <si>
    <t>Lodging for  TABC CLINIC</t>
  </si>
  <si>
    <t xml:space="preserve">Hotel rooms for Basketball - TABC </t>
  </si>
  <si>
    <t>Hotel Lodging for State Track Meet</t>
  </si>
  <si>
    <t>MORITZ CHEVROLET LTD</t>
  </si>
  <si>
    <t>CN VEHICLE - 2019 CHEVY VAN</t>
  </si>
  <si>
    <t>TWO VEHICLES FOR OPERATIONS</t>
  </si>
  <si>
    <t>Snacks for EOC Testing</t>
  </si>
  <si>
    <t>SNACKES FOR BILITERACY RECEPTION</t>
  </si>
  <si>
    <t xml:space="preserve"> Snacks for Transportation Appreciation</t>
  </si>
  <si>
    <t>BMS-OPEN HOUSE SNACKS</t>
  </si>
  <si>
    <t>May Crash Cart Supplies</t>
  </si>
  <si>
    <t>Child Nutrition Appreciation Award</t>
  </si>
  <si>
    <t>Athletic Game Snacks</t>
  </si>
  <si>
    <t>Snacks for Career Day</t>
  </si>
  <si>
    <t>North- Extra classic Bubble Gum</t>
  </si>
  <si>
    <t>Supplies for parent involvement activity</t>
  </si>
  <si>
    <t>DAEP - Paper goods</t>
  </si>
  <si>
    <t>West - Replenish drinks</t>
  </si>
  <si>
    <t>TIS- Water for STARR Testing</t>
  </si>
  <si>
    <t>April Food and paper supplies for FRC Adult Classes</t>
  </si>
  <si>
    <t>BMS - Incentive Snacks for end of year</t>
  </si>
  <si>
    <t>Food Items from Sam's for Finance &amp; Operations</t>
  </si>
  <si>
    <t>Break Room Supplies for Appreciation</t>
  </si>
  <si>
    <t>ATH supplies, water and food.</t>
  </si>
  <si>
    <t>West - snacks for STAAR level testing</t>
  </si>
  <si>
    <t xml:space="preserve">Memberships </t>
  </si>
  <si>
    <t>BMS-Supplies for Home Economics</t>
  </si>
  <si>
    <t>North- Notary for Kristine Franco</t>
  </si>
  <si>
    <t>Drill team camp for  Honeycombs</t>
  </si>
  <si>
    <t>AUTRY, LISA</t>
  </si>
  <si>
    <t xml:space="preserve">BMS - Refund for yearbook </t>
  </si>
  <si>
    <t>Liberty Breakfast pizza for Benchmarks</t>
  </si>
  <si>
    <t>West - Mother/Son</t>
  </si>
  <si>
    <t>Splash Days trip</t>
  </si>
  <si>
    <t>Scholarship for Students</t>
  </si>
  <si>
    <t>GROUP DYNAMIX</t>
  </si>
  <si>
    <t>BHS Theatre costumes extended rental</t>
  </si>
  <si>
    <t>Honors Night Supplies</t>
  </si>
  <si>
    <t>acct# 2189  North-Supplies for Sound Wall</t>
  </si>
  <si>
    <t>acct# 2189 BHS Senior Activities</t>
  </si>
  <si>
    <t>acct# 2189 Credit for return Senior Supplies</t>
  </si>
  <si>
    <t xml:space="preserve"> BHS NHS Supplies</t>
  </si>
  <si>
    <t>LIFETOUCH</t>
  </si>
  <si>
    <t>TIS - Final Yearbook Payment</t>
  </si>
  <si>
    <t>North - Supplies</t>
  </si>
  <si>
    <t>NATIONAL FFA ORGANIZATION</t>
  </si>
  <si>
    <t>BHS FFA awards</t>
  </si>
  <si>
    <t>BHS Band trophies</t>
  </si>
  <si>
    <t>North- Scholastic shipping</t>
  </si>
  <si>
    <t>water</t>
  </si>
  <si>
    <t>Scholarship</t>
  </si>
  <si>
    <t>TIS- Membership Dues</t>
  </si>
  <si>
    <t>BHS SAT tests</t>
  </si>
  <si>
    <t>CN GAS CONNECTOR KIT FOR BMS</t>
  </si>
  <si>
    <t>A/C Repair at Spec Programs</t>
  </si>
  <si>
    <t>A/C REPAIRS @ DAEP Building</t>
  </si>
  <si>
    <t>SPECIAL PROGRAMS: cake for retirement party</t>
  </si>
  <si>
    <t>ALFREDO CASTRO</t>
  </si>
  <si>
    <t>Reimburse for  re-fingerprinting</t>
  </si>
  <si>
    <t>BARGER, SHERRY</t>
  </si>
  <si>
    <t>Food  for Press Box</t>
  </si>
  <si>
    <t>Moving Boxes</t>
  </si>
  <si>
    <t>Opertions Supplies</t>
  </si>
  <si>
    <t>Met Student Attendance Goal</t>
  </si>
  <si>
    <t>BROWN, GREGORY</t>
  </si>
  <si>
    <t>Refund Student</t>
  </si>
  <si>
    <t>BHS Color Guard Instruction Contract Service</t>
  </si>
  <si>
    <t>Replace Bad Lights in Auditorium</t>
  </si>
  <si>
    <t>WATER SERVICE FOR 04.20.2019</t>
  </si>
  <si>
    <t>North- Splash dayz</t>
  </si>
  <si>
    <t>BHS Fire Dept for Graduation</t>
  </si>
  <si>
    <t>DENNY, ELAINE</t>
  </si>
  <si>
    <t>4 Test Hound Scanners</t>
  </si>
  <si>
    <t>Repair EMS System at Liberty</t>
  </si>
  <si>
    <t>FLORES, MARIA</t>
  </si>
  <si>
    <t>Student Deaf Education for 2018-2019</t>
  </si>
  <si>
    <t>GUTHRIE, CRYSTLE</t>
  </si>
  <si>
    <t>BHS costume rentals</t>
  </si>
  <si>
    <t>HAWK, SUZANNE</t>
  </si>
  <si>
    <t>CN ELECTRIC CAN OPENER KITS</t>
  </si>
  <si>
    <t>JOHN FISHER</t>
  </si>
  <si>
    <t>Accompanist for Austin Choir Trip</t>
  </si>
  <si>
    <t>KAHILL, NICHOLAS</t>
  </si>
  <si>
    <t>AI Teacher Contracted Services</t>
  </si>
  <si>
    <t>Reimbursement for Mailing Projects to CA</t>
  </si>
  <si>
    <t>LAURA WEST</t>
  </si>
  <si>
    <t>Reimburse for Fingerprinting</t>
  </si>
  <si>
    <t xml:space="preserve">Materials for New DAEP </t>
  </si>
  <si>
    <t>Replace tools for Truck</t>
  </si>
  <si>
    <t>Contract Servcies for Audiology Support</t>
  </si>
  <si>
    <t>Replace Stolen Sewer Machine</t>
  </si>
  <si>
    <t>Office Suplies</t>
  </si>
  <si>
    <t>State Inspections for 3 Vehicles</t>
  </si>
  <si>
    <t>Repair Air Conditioner in Athletics Office</t>
  </si>
  <si>
    <t>Mental Health Training class</t>
  </si>
  <si>
    <t xml:space="preserve">Toll Charges </t>
  </si>
  <si>
    <t>MET STUDENT GOAL ATTENDANCE</t>
  </si>
  <si>
    <t>BEST STUDENT GOAL ATTENDANCE</t>
  </si>
  <si>
    <t>PETRIE, KARLA</t>
  </si>
  <si>
    <t>Refund for Student</t>
  </si>
  <si>
    <t>PHILIP, BIJO</t>
  </si>
  <si>
    <t>Supplies for August PD</t>
  </si>
  <si>
    <t>Replacement Tarps for Athletic Track</t>
  </si>
  <si>
    <t>PLAYBOOK FIVE INC</t>
  </si>
  <si>
    <t>Playbook Equipment for Football</t>
  </si>
  <si>
    <t>Mowing Service</t>
  </si>
  <si>
    <t>ROBINSON, KAREN</t>
  </si>
  <si>
    <t>West - Staff appreciation Meal</t>
  </si>
  <si>
    <t>RISE Teacher Luncheon End of Year</t>
  </si>
  <si>
    <t>Grease Trap Semi-Annual Service</t>
  </si>
  <si>
    <t>North- Books for Library</t>
  </si>
  <si>
    <t>TECH PRTG Network Monitoring Renewal</t>
  </si>
  <si>
    <t>Training Fee For Business Office</t>
  </si>
  <si>
    <t>SLADE, TABITHA</t>
  </si>
  <si>
    <t>Fiber-optic Camera Cabeling for Ag Barn</t>
  </si>
  <si>
    <t>TECH Sparkletts Water</t>
  </si>
  <si>
    <t>Legal Notice for New Ag Building</t>
  </si>
  <si>
    <t xml:space="preserve">TASB School Law Update Newsletter </t>
  </si>
  <si>
    <t>TCU BANDS</t>
  </si>
  <si>
    <t>Drum major camp registration</t>
  </si>
  <si>
    <t>TXMC LLC</t>
  </si>
  <si>
    <t>Removal of Concrete from Property</t>
  </si>
  <si>
    <t>Credit By Exams for Blue Haze</t>
  </si>
  <si>
    <t>BHS - SAT Tests for BHS</t>
  </si>
  <si>
    <t>Elevator Inspections - District Wide</t>
  </si>
  <si>
    <t>VOCATIONAL AGRICULTURE TEACHERS ASSOC OF TX</t>
  </si>
  <si>
    <t xml:space="preserve">Membership renewal   </t>
  </si>
  <si>
    <t>WATSON, JENNIFER</t>
  </si>
  <si>
    <t>Fuel for Vehicles for Track Meet</t>
  </si>
  <si>
    <t>Fuel for Vehicles for Special Olympics</t>
  </si>
  <si>
    <t>Boys Soccer equipment for</t>
  </si>
  <si>
    <t>Boys Basketball Camp T-Shirts</t>
  </si>
  <si>
    <t>Rubbermaid Tank</t>
  </si>
  <si>
    <t>BOTANICAL RESEARCH INSTITUTE OF TEXAS INC</t>
  </si>
  <si>
    <t>Training Fee for BHS Employees</t>
  </si>
  <si>
    <t>BHS Theater Honor Cords</t>
  </si>
  <si>
    <t>BHS Summer camp</t>
  </si>
  <si>
    <t>Desk</t>
  </si>
  <si>
    <t>MEAGAN NORTH</t>
  </si>
  <si>
    <t>Soccer camp worker</t>
  </si>
  <si>
    <t>NASSP/NHS</t>
  </si>
  <si>
    <t>BHS Stuco annual dues</t>
  </si>
  <si>
    <t>BHS NHS membership dues</t>
  </si>
  <si>
    <t>BHS ATH, Reimburse Petty Cash</t>
  </si>
  <si>
    <t>SHELBY PODSEDNIK</t>
  </si>
  <si>
    <t>Student Refund</t>
  </si>
  <si>
    <t>BHS Grad cords for Photography Club</t>
  </si>
  <si>
    <t>Student Scholarship</t>
  </si>
  <si>
    <t>Child Nutrition Display Cases for BHS</t>
  </si>
  <si>
    <t>Gas Service</t>
  </si>
  <si>
    <t>BHS contracted service for Band</t>
  </si>
  <si>
    <t>CLUBHOUSE TRAILER CO LLC</t>
  </si>
  <si>
    <t>Repair of Band Trailer Damaged by Scrapping Tree</t>
  </si>
  <si>
    <t>COOPER, KERRY</t>
  </si>
  <si>
    <t>Reimbursement for Fingerprinting</t>
  </si>
  <si>
    <t>BHS Drum for fax machine</t>
  </si>
  <si>
    <t>EDWARD JACKSON</t>
  </si>
  <si>
    <t>Refund for Summer School</t>
  </si>
  <si>
    <t>BHS Diplomas and covers</t>
  </si>
  <si>
    <t>Supplies to Hang New Stage Curtains at TIS</t>
  </si>
  <si>
    <t>Supplies to move Teachers from Lib to West</t>
  </si>
  <si>
    <t>Supplies to hook up Sped ED Kitchen</t>
  </si>
  <si>
    <t>Supplies for Renovation of Kitchen at Sped Programs</t>
  </si>
  <si>
    <t xml:space="preserve">Supplies to Replace Broken Blinds </t>
  </si>
  <si>
    <t>Restock Supplies for Operations</t>
  </si>
  <si>
    <t>Supplies for Party at BMS</t>
  </si>
  <si>
    <t>Supplies for Liberty Lounge</t>
  </si>
  <si>
    <t>Rental of Sewer Machine for BMS</t>
  </si>
  <si>
    <t>Mower for Grounds Dept</t>
  </si>
  <si>
    <t>Supplies for Operations</t>
  </si>
  <si>
    <t>BHS Aircraft and engineering Supplies</t>
  </si>
  <si>
    <t>Supplies for Wiring at Sped Programs</t>
  </si>
  <si>
    <t>Supplies for Renovation at DAEP</t>
  </si>
  <si>
    <t>Supplies to Hook up New Ice Machine</t>
  </si>
  <si>
    <t>INGRID WATSON</t>
  </si>
  <si>
    <t>Reimburs for Fingerprinting</t>
  </si>
  <si>
    <t>MELISSA BOYD</t>
  </si>
  <si>
    <t>BHS Coffee for June, July and August</t>
  </si>
  <si>
    <t xml:space="preserve">Plumbing Repairs  </t>
  </si>
  <si>
    <t>Replace Sewer Line at Special Programs</t>
  </si>
  <si>
    <t>Painting Film Room</t>
  </si>
  <si>
    <t>Remove Landscape and Pour Concrete at North</t>
  </si>
  <si>
    <t>Bond Fees</t>
  </si>
  <si>
    <t>Mifi Service</t>
  </si>
  <si>
    <t>LEGAL FEES</t>
  </si>
  <si>
    <t>Account # 5190-004037053</t>
  </si>
  <si>
    <t>Roll Off Rental</t>
  </si>
  <si>
    <t>WIGINGTON, JEFFERY</t>
  </si>
  <si>
    <t>Water Fountain Cart</t>
  </si>
  <si>
    <t>Sound System for Gym</t>
  </si>
  <si>
    <t>BILLY BOB'S TEXAS</t>
  </si>
  <si>
    <t>Lunch Meeting for Plannin Staff Development</t>
  </si>
  <si>
    <t>CHARLES LELEK</t>
  </si>
  <si>
    <t>Boys BSB Summer camp worker</t>
  </si>
  <si>
    <t>CORTLAND BLAKE</t>
  </si>
  <si>
    <t>DAVID ANTHONY RODRIGUEZ</t>
  </si>
  <si>
    <t>DAVID WOOSLEY</t>
  </si>
  <si>
    <t>Tannahill Return Address Envelopes</t>
  </si>
  <si>
    <t>STEM academy June 17-21, 2019</t>
  </si>
  <si>
    <t>Baseball camp t shirts</t>
  </si>
  <si>
    <t>Bus for Field Trip</t>
  </si>
  <si>
    <t>Bus for SplashDayz</t>
  </si>
  <si>
    <t>HURLEY HOUSE LLC</t>
  </si>
  <si>
    <t>Campus Plan July 10, 2019</t>
  </si>
  <si>
    <t>KENNETH HARRIS</t>
  </si>
  <si>
    <t>LAUREN JENKINS</t>
  </si>
  <si>
    <t>Softball Summer camp worker</t>
  </si>
  <si>
    <t>MARCUS PERSON</t>
  </si>
  <si>
    <t xml:space="preserve">Toll fee </t>
  </si>
  <si>
    <t>Softball Camp shirts</t>
  </si>
  <si>
    <t>RICHARD JUAREZ</t>
  </si>
  <si>
    <t>RONDA CULLEN</t>
  </si>
  <si>
    <t>BHS Yearbook training</t>
  </si>
  <si>
    <t>SAM HOUSTON STATE UNIVERSITY</t>
  </si>
  <si>
    <t>BHS Cheer Camp Fees</t>
  </si>
  <si>
    <t>North, 2019-2020 Staff T</t>
  </si>
  <si>
    <t>A Framework for Understanding Poverty Conference Fees</t>
  </si>
  <si>
    <t>A/C for West Elementary Office remodel</t>
  </si>
  <si>
    <t>Replace Straps on Basketball Goals</t>
  </si>
  <si>
    <t>North Appreciation Tumblers</t>
  </si>
  <si>
    <t>Materials for Parent Meeting at BMS</t>
  </si>
  <si>
    <t>Repair Speakers on Baseball Press Box</t>
  </si>
  <si>
    <t>Library Supplies</t>
  </si>
  <si>
    <t>Plumbing Fixtures for Special Programs</t>
  </si>
  <si>
    <t>BMS-Books for Library</t>
  </si>
  <si>
    <t>Replace broken window due to vandalism</t>
  </si>
  <si>
    <t xml:space="preserve"> Install New Store Front at West Main Office</t>
  </si>
  <si>
    <t>Jackets for Instructional Dept</t>
  </si>
  <si>
    <t>A/C Repair at BMS</t>
  </si>
  <si>
    <t>Install electrical fo new Cosmetolgoy Class</t>
  </si>
  <si>
    <t>Replace lighting at new West Office</t>
  </si>
  <si>
    <t>DANIEL'S MUFFLER &amp; BRAKE SERVICE</t>
  </si>
  <si>
    <t>Outside Repairs for Operations Vehicle</t>
  </si>
  <si>
    <t>School Locater Renewal</t>
  </si>
  <si>
    <t>Drug Testing Charges for May Testing</t>
  </si>
  <si>
    <t>Ag program Dumpster Fee</t>
  </si>
  <si>
    <t>Check Controls on System</t>
  </si>
  <si>
    <t>Print books and media with cataloging and processing</t>
  </si>
  <si>
    <t xml:space="preserve">BMS Bus Use </t>
  </si>
  <si>
    <t>BHS - 5 buses to Epic Water Park</t>
  </si>
  <si>
    <t>BHS Band Bus use</t>
  </si>
  <si>
    <t>BHS Band for Graduation</t>
  </si>
  <si>
    <t>Bus for baseball playoff</t>
  </si>
  <si>
    <t>BHS - Buses for  for</t>
  </si>
  <si>
    <t>SPECIAL PROGRAMS: BHS Life Skills to DFW Airport</t>
  </si>
  <si>
    <t>SPECIAL PROGRAMS: BHS Life Skills to Main Event</t>
  </si>
  <si>
    <t>BHS Band Bus Use</t>
  </si>
  <si>
    <t>Bus Bus for Soccer</t>
  </si>
  <si>
    <t>Bus for 5th grade Splash Kingdom</t>
  </si>
  <si>
    <t>Student Transportation Services</t>
  </si>
  <si>
    <t>Bus Use BMS to Science Museum</t>
  </si>
  <si>
    <t xml:space="preserve">Bus Use Graduation </t>
  </si>
  <si>
    <t>SPECIAL PROGRAMS: Bus Use Field Trip</t>
  </si>
  <si>
    <t>Bus Use to Jazz Festival</t>
  </si>
  <si>
    <t>BHS - Buses for North Elem.</t>
  </si>
  <si>
    <t>Bus Use 4th Grade West</t>
  </si>
  <si>
    <t>Bus Use for Soccer</t>
  </si>
  <si>
    <t>CN DISH MACHINE REPAIR - WEST</t>
  </si>
  <si>
    <t>REPAIR CHILLER #2 at BMS</t>
  </si>
  <si>
    <t>BHS Choir supplies</t>
  </si>
  <si>
    <t>Child Nutrition Parts for Tables</t>
  </si>
  <si>
    <t>CN MAY - Food</t>
  </si>
  <si>
    <t>Accompanis for Choir Performance</t>
  </si>
  <si>
    <t>Tech Misc Office Supplies</t>
  </si>
  <si>
    <t>Supplies for PLC and Professional Development</t>
  </si>
  <si>
    <t>Recycling Service</t>
  </si>
  <si>
    <t>Band travel Zip Cash  Account</t>
  </si>
  <si>
    <t>PIRAINO CONSULTING, INC</t>
  </si>
  <si>
    <t>Interactive Boards for the District</t>
  </si>
  <si>
    <t>BMS-Teaching Supplies for BMS STEM</t>
  </si>
  <si>
    <t>BHS Coffee Supplies</t>
  </si>
  <si>
    <t>Water</t>
  </si>
  <si>
    <t>Nrth Teacher Apprec Decor and Bingo</t>
  </si>
  <si>
    <t>West - 4th grade Carnival Supplies</t>
  </si>
  <si>
    <t>BHS Sr Activities Supplies</t>
  </si>
  <si>
    <t>credit- refused order FCLC</t>
  </si>
  <si>
    <t>West -carnival &amp; teacher and retirement award</t>
  </si>
  <si>
    <t>FAA rewards for Candy Land Study Room</t>
  </si>
  <si>
    <t>West - 4th grade  Carnival</t>
  </si>
  <si>
    <t>North- Art Supplies</t>
  </si>
  <si>
    <t>TIS-PE Supplies</t>
  </si>
  <si>
    <t>BMS-Plastic Cups for Life Skills</t>
  </si>
  <si>
    <t>BHS FCCLA grad cords</t>
  </si>
  <si>
    <t>BHS Grad cords for STUCO</t>
  </si>
  <si>
    <t>BMS-VISITOR LABELS</t>
  </si>
  <si>
    <t>Trophies for Awards Day</t>
  </si>
  <si>
    <t>choir musical supplies</t>
  </si>
  <si>
    <t>Bear Track Supplies</t>
  </si>
  <si>
    <t>Self for Books</t>
  </si>
  <si>
    <t>North- Popcorn Bags</t>
  </si>
  <si>
    <t>BHS Dream team honor cords</t>
  </si>
  <si>
    <t>SAUL M. LUNA</t>
  </si>
  <si>
    <t>Continuing Education for Staff Members</t>
  </si>
  <si>
    <t>Legal Notice for Destruction of Sped Ed Records</t>
  </si>
  <si>
    <t>Child Nutrion - Warehouse Charges</t>
  </si>
  <si>
    <t>Child Nutrion - Non-Food</t>
  </si>
  <si>
    <t>Child Nutrion - Food</t>
  </si>
  <si>
    <t xml:space="preserve">Membership Renewal </t>
  </si>
  <si>
    <t>Install Fence around New Sped playground at North</t>
  </si>
  <si>
    <t>CPR Training for Operations Staff</t>
  </si>
  <si>
    <t>TEXAS SCHOOL FOR THE BLIND &amp; VISUALLY IMPAIRE</t>
  </si>
  <si>
    <t>Sp Ed Student Travel</t>
  </si>
  <si>
    <t>Reconstruction of Room at West</t>
  </si>
  <si>
    <t>30YD ROLL OFF DUMP &amp; RETURN @</t>
  </si>
  <si>
    <t>W/O #16408- RENOVATION OF</t>
  </si>
  <si>
    <t>Teacher Attendance Award</t>
  </si>
  <si>
    <t>Student Meals for FCCLA Trip to California</t>
  </si>
  <si>
    <t>Student Attendance Award</t>
  </si>
  <si>
    <t>BHS FFA Division 1 team</t>
  </si>
  <si>
    <t>BHS Online Vet Science Contest</t>
  </si>
  <si>
    <t>BHS Dairy Cattle &amp; Vet Science Area CDE's</t>
  </si>
  <si>
    <t>BHS Horse (4,5,8) and Land Area CDE's</t>
  </si>
  <si>
    <t>Carrier vest for Police Officer</t>
  </si>
  <si>
    <t>Lanyards</t>
  </si>
  <si>
    <t>Playoff signs for boys soccer</t>
  </si>
  <si>
    <t>Tables for 3rd Grade</t>
  </si>
  <si>
    <t>TEXAS DEPT OF LICENSING AND REGULATION</t>
  </si>
  <si>
    <t>Licensing for Cosmetology CTE Program BHS</t>
  </si>
  <si>
    <t>North- STAAR Supplies</t>
  </si>
  <si>
    <t>BMS STU CO- End of Year Celebration</t>
  </si>
  <si>
    <t>BMS Sandwichs for Life Skills</t>
  </si>
  <si>
    <t>BHS Principal Supplies</t>
  </si>
  <si>
    <t>BHS Special Olympics Banquet Supplies</t>
  </si>
  <si>
    <t>BHS Coffee Houser Supplies</t>
  </si>
  <si>
    <t>North- Retirement Party Table Supplies</t>
  </si>
  <si>
    <t>North- Ticket wall Party Supplies</t>
  </si>
  <si>
    <t>BHS Pals locking Supplies</t>
  </si>
  <si>
    <t>TIS - Popsicles for Party</t>
  </si>
  <si>
    <t>BHS Senior Activities</t>
  </si>
  <si>
    <t>Credit  BHS chairs</t>
  </si>
  <si>
    <t>BHS chairs</t>
  </si>
  <si>
    <t>TIS- Imagine Math Incentive</t>
  </si>
  <si>
    <t>BHS Senior sponsor Gifts</t>
  </si>
  <si>
    <t>Cake for Retirement</t>
  </si>
  <si>
    <t>BHS Staff lunch Supplies</t>
  </si>
  <si>
    <t>Liberty Teacher Awards</t>
  </si>
  <si>
    <t>BHS Staff lunch</t>
  </si>
  <si>
    <t>Softball Camp Supplies</t>
  </si>
  <si>
    <t>ABM</t>
  </si>
  <si>
    <t>AMY COATS</t>
  </si>
  <si>
    <t>Reimburse for FIngerprinting</t>
  </si>
  <si>
    <t>ARGYLE INDEPENDENT SCHOOL DISTRICT</t>
  </si>
  <si>
    <t>Entry fee for Volleyball</t>
  </si>
  <si>
    <t>BBVA</t>
  </si>
  <si>
    <t xml:space="preserve">Loan Payment </t>
  </si>
  <si>
    <t>Loan Payment for Turf Project</t>
  </si>
  <si>
    <t>New Flags - District Wide</t>
  </si>
  <si>
    <t>Dinner for Team Building Activity</t>
  </si>
  <si>
    <t>Install New Electrical for Cosmetology Class</t>
  </si>
  <si>
    <t>WO# 16756 - Install</t>
  </si>
  <si>
    <t>TECH IT BEARS TRAINING</t>
  </si>
  <si>
    <t>Restock First Aid Cabinet for Operations</t>
  </si>
  <si>
    <t>North- corrugated plastic</t>
  </si>
  <si>
    <t>BHS graduation equipment</t>
  </si>
  <si>
    <t>Teacher Laptops 3300</t>
  </si>
  <si>
    <t>Computers, Docking Kits and Carts - District Wide</t>
  </si>
  <si>
    <t>Long Distance</t>
  </si>
  <si>
    <t>DUDE SOLUTIONS, INC</t>
  </si>
  <si>
    <t>Software Renewal for Operations</t>
  </si>
  <si>
    <t>Curtains for Dish Machines in Cafeteria's</t>
  </si>
  <si>
    <t>Software License Renewal for RISE and BHS</t>
  </si>
  <si>
    <t>Contract Service - Child Nutrition Equipment</t>
  </si>
  <si>
    <t>Vehicle Rental - Training for Athletics</t>
  </si>
  <si>
    <t>ESPARZA, ALY</t>
  </si>
  <si>
    <t>BHS Graduation expenses</t>
  </si>
  <si>
    <t>Start-Up Equipment and Supplies for New Cosm Class</t>
  </si>
  <si>
    <t>Charter Bus for Choir UIL</t>
  </si>
  <si>
    <t>Flooring</t>
  </si>
  <si>
    <t>Contract Service - SHARS Program</t>
  </si>
  <si>
    <t>LAUREN WOOD</t>
  </si>
  <si>
    <t>Restock Plumbing Supplies</t>
  </si>
  <si>
    <t>NATIONAL EDUCATORS LAW INSTITUTE</t>
  </si>
  <si>
    <t>West - Teacher NELI Conference</t>
  </si>
  <si>
    <t>Toll Road Charges</t>
  </si>
  <si>
    <t>Postage Machine Postage Refill</t>
  </si>
  <si>
    <t>Athletic tickets and Stickers</t>
  </si>
  <si>
    <t>Remove Graphics from Suburban and Buses</t>
  </si>
  <si>
    <t>ROLLERLAND WEST INC</t>
  </si>
  <si>
    <t>Field Trip</t>
  </si>
  <si>
    <t>Lunch for North Campus End-of-year</t>
  </si>
  <si>
    <t xml:space="preserve">Demographic Services  </t>
  </si>
  <si>
    <t>Special Program Contract Services</t>
  </si>
  <si>
    <t>Paint for Classrooms Renovations</t>
  </si>
  <si>
    <t>Summer Conference Registration Fees</t>
  </si>
  <si>
    <t>TEXAS SCHOOL DISTRICT POLICE CHIEF'S ASSN.</t>
  </si>
  <si>
    <t>Conference Registration Police Dept</t>
  </si>
  <si>
    <t>Secretaries Luncheon 6/5/19</t>
  </si>
  <si>
    <t>Ag Building Payment</t>
  </si>
  <si>
    <t>Computer Program to Use during Summer school</t>
  </si>
  <si>
    <t>Supplies for Mothers Day tea</t>
  </si>
  <si>
    <t>North- Crackers for counselor</t>
  </si>
  <si>
    <t>Special Programs Learning Grocery Trip</t>
  </si>
  <si>
    <t>North- Snacks for watch dogs</t>
  </si>
  <si>
    <t>North- Counselor Supplies</t>
  </si>
  <si>
    <t>Misc Supplies</t>
  </si>
  <si>
    <t>Elementary Summer School Supplies</t>
  </si>
  <si>
    <t>Smores for Summer School</t>
  </si>
  <si>
    <t>TIS Classroom Supplies</t>
  </si>
  <si>
    <t>Nurse Summer School Supplies</t>
  </si>
  <si>
    <t>Summer School Supplies for ESL</t>
  </si>
  <si>
    <t>Student Incentives</t>
  </si>
  <si>
    <t xml:space="preserve">Supplies for Character Camp and Citizenship </t>
  </si>
  <si>
    <t>BMS-Snacks for Career Day</t>
  </si>
  <si>
    <t>Credit for PO 0411900286</t>
  </si>
  <si>
    <t xml:space="preserve">North - Paint </t>
  </si>
  <si>
    <t>Fleece Blankets and Vinyl for athlete Awards</t>
  </si>
  <si>
    <t>West - student incentives</t>
  </si>
  <si>
    <t>Roll Off New DAEP Project</t>
  </si>
  <si>
    <t>BLANCHO, MALORIE</t>
  </si>
  <si>
    <t>Printing North Elem. Discipline Referrals</t>
  </si>
  <si>
    <t>Custodial Services</t>
  </si>
  <si>
    <t>Fuel for Transportation</t>
  </si>
  <si>
    <t>CARTER, STACY</t>
  </si>
  <si>
    <t>CRUZ ERAZO, AMINTA</t>
  </si>
  <si>
    <t>ESTES, EMILY</t>
  </si>
  <si>
    <t>Fieldhouse Labor</t>
  </si>
  <si>
    <t>GENTRY, JULIE</t>
  </si>
  <si>
    <t>HUNT, KRISTY</t>
  </si>
  <si>
    <t>Training Seminar Hotel</t>
  </si>
  <si>
    <t>MELE, ELISABETH</t>
  </si>
  <si>
    <t>NEBGEN, MELISSA</t>
  </si>
  <si>
    <t>BAKER, STEPHEN</t>
  </si>
  <si>
    <t>BALL, LAUREN</t>
  </si>
  <si>
    <t>HORTON, DARRYL</t>
  </si>
  <si>
    <t>HUEY, KATHLEEN</t>
  </si>
  <si>
    <t>HULCY, TERRE</t>
  </si>
  <si>
    <t>HUSEMAN, DOUGLAS</t>
  </si>
  <si>
    <t>JAMES, TRACI</t>
  </si>
  <si>
    <t>Lodging for Staff Retreat</t>
  </si>
  <si>
    <t>MOTHERAL, STEPHANIE</t>
  </si>
  <si>
    <t>Deposit on Lodging for Retreat</t>
  </si>
  <si>
    <t>ORTIZ, CORINA</t>
  </si>
  <si>
    <t>SPENCE-HERRON, DEVON</t>
  </si>
  <si>
    <t>Gift Cards for Teacher/Staff Appreciation</t>
  </si>
  <si>
    <t>Employee Lunch for Pre-K Roundup</t>
  </si>
  <si>
    <t>End of year May luncheon for FCLC</t>
  </si>
  <si>
    <t>Calendar Mouse Pad for  2019-2020</t>
  </si>
  <si>
    <t>Snacks for Testing Coordinators</t>
  </si>
  <si>
    <t>OUTBACK STEAKHOUSE</t>
  </si>
  <si>
    <t xml:space="preserve">End of year lunch </t>
  </si>
  <si>
    <t>Breakfast for Strategic Planning Day</t>
  </si>
  <si>
    <t>End of Year Service Awards</t>
  </si>
  <si>
    <t>Strategic Planning Luncheon</t>
  </si>
  <si>
    <t>Police Appreciation Breakfast</t>
  </si>
  <si>
    <t>Breakfast for Special Board Meeting 5-2-19</t>
  </si>
  <si>
    <t>Business Department Lunch</t>
  </si>
  <si>
    <t>Digital Scales for clinic for Nurse Use</t>
  </si>
  <si>
    <t>Vehicle Registrations</t>
  </si>
  <si>
    <t>TEXAS SOCIETY OF CERTIFIED PUBLIC ACCOUNTANTS</t>
  </si>
  <si>
    <t>CPA'S  Guidebook for Ethical Behavior</t>
  </si>
  <si>
    <t>Lunch with the Chamber of Commerce</t>
  </si>
  <si>
    <t>David Bitters Business lunch</t>
  </si>
  <si>
    <t>David Bitters business lunch</t>
  </si>
  <si>
    <t xml:space="preserve"> Tennis Camp shirts </t>
  </si>
  <si>
    <t>BMS-BOOK: EMOTIONAL POVERTY</t>
  </si>
  <si>
    <t>Profl Dev Training Child Care</t>
  </si>
  <si>
    <t>ECMI Child Care Training</t>
  </si>
  <si>
    <t>splash dayz Incentive Tri[p</t>
  </si>
  <si>
    <t>North-STAAR Student Field Trip</t>
  </si>
  <si>
    <t>DAVID OGIDAN</t>
  </si>
  <si>
    <t>WSISD Scholarship</t>
  </si>
  <si>
    <t>BHS Class of 2018 class gift</t>
  </si>
  <si>
    <t>West Campus Planning Meeting Place</t>
  </si>
  <si>
    <t>6/12/19 Softball Team meeting lunch</t>
  </si>
  <si>
    <t>West - Water service</t>
  </si>
  <si>
    <t>WESTWOOD VOLLEYBALL BOOSTER CLUB</t>
  </si>
  <si>
    <t>VB Entry Fee for Georgetown tourney</t>
  </si>
  <si>
    <t>BHS Honeycomb t-shirts</t>
  </si>
  <si>
    <t>Shirts for Bear Tracks</t>
  </si>
  <si>
    <t>WO# 16588 - Replace sewer lines</t>
  </si>
  <si>
    <t>Annual Gas Testing</t>
  </si>
  <si>
    <t>Equipment Repair Parts</t>
  </si>
  <si>
    <t>AICPA</t>
  </si>
  <si>
    <t>CPA Membership Dues</t>
  </si>
  <si>
    <t>ALLISON REYES</t>
  </si>
  <si>
    <t xml:space="preserve">reimburse for Re-Fingerprinting  </t>
  </si>
  <si>
    <t>MacBook Computer</t>
  </si>
  <si>
    <t>Football Uniforms</t>
  </si>
  <si>
    <t>BHS - BAND - COLOR GUARD</t>
  </si>
  <si>
    <t>MICROSOFT LICENSING RENEWAL</t>
  </si>
  <si>
    <t>New Furniture</t>
  </si>
  <si>
    <t>DATA RECOGNITION CORPORATION</t>
  </si>
  <si>
    <t>Texas-English Learner PRE-K-12</t>
  </si>
  <si>
    <t>PRINTER CARTRIDGES FOR OPER</t>
  </si>
  <si>
    <t>Electricity Services</t>
  </si>
  <si>
    <t>A/C REPAIR BHS</t>
  </si>
  <si>
    <t>Workshop Registration for Child Nutrition</t>
  </si>
  <si>
    <t>Reimburse for Supplies</t>
  </si>
  <si>
    <t>Teacher of the Year Frames 8-</t>
  </si>
  <si>
    <t>Hotel for Confernce</t>
  </si>
  <si>
    <t>LAUREN SADLER DAVIS</t>
  </si>
  <si>
    <t>Reimburse for Re-Fingerprinting</t>
  </si>
  <si>
    <t>Maintenance &amp; Operations Project Supplies</t>
  </si>
  <si>
    <t>MARIA AGUIRRE</t>
  </si>
  <si>
    <t>Supplies to Repair Facets</t>
  </si>
  <si>
    <t>Repair on Vehicle</t>
  </si>
  <si>
    <t>Repair on Sewer Line</t>
  </si>
  <si>
    <t>West TOTY award</t>
  </si>
  <si>
    <t>North- Library books</t>
  </si>
  <si>
    <t>PERRY WEATHER CONSULTING INC.</t>
  </si>
  <si>
    <t>Outdoor Warning System</t>
  </si>
  <si>
    <t xml:space="preserve">New Signs for North </t>
  </si>
  <si>
    <t>Contract Services for Plumbing Projects</t>
  </si>
  <si>
    <t>Paint for office</t>
  </si>
  <si>
    <t>SILVER CREEK MATERIALS, INC.</t>
  </si>
  <si>
    <t>Dispose of Broken Tree Limbs</t>
  </si>
  <si>
    <t>WATER</t>
  </si>
  <si>
    <t>Application Fee for Certifiction</t>
  </si>
  <si>
    <t>Graduation Programs</t>
  </si>
  <si>
    <t>Leadership Luncheon in June</t>
  </si>
  <si>
    <t>Board Meeting Dinner June 25,</t>
  </si>
  <si>
    <t>Table for TIS Cafeteria</t>
  </si>
  <si>
    <t>Equipment for Install of New Lines</t>
  </si>
  <si>
    <t>VAR TECHNOLGOY FINANCE</t>
  </si>
  <si>
    <t>Technology Program for Computer Safety</t>
  </si>
  <si>
    <t>Blue Haze After School Progeam</t>
  </si>
  <si>
    <t>Fuel for Training</t>
  </si>
  <si>
    <t xml:space="preserve">Fuel and parking </t>
  </si>
  <si>
    <t>BENNINGTON, JENNIFER</t>
  </si>
  <si>
    <t xml:space="preserve">APPLICATION FEE - CTSBS </t>
  </si>
  <si>
    <t>BUSINESS OFFICE - MEMBERSHIP</t>
  </si>
  <si>
    <t>TREVINO, MARIA</t>
  </si>
  <si>
    <t>Football Practice Jersey's</t>
  </si>
  <si>
    <t>Boys Soccer Shirts</t>
  </si>
  <si>
    <t xml:space="preserve">Volleyball Supplies  </t>
  </si>
  <si>
    <t xml:space="preserve">Supplies  </t>
  </si>
  <si>
    <t>Volleyball Net Storage</t>
  </si>
  <si>
    <t>North- Campus Planning Meal</t>
  </si>
  <si>
    <t>Printer Cartridge</t>
  </si>
  <si>
    <t>FURNITURE MEDIC</t>
  </si>
  <si>
    <t>North- Furniture Medic couch</t>
  </si>
  <si>
    <t>North- Bulletin Board</t>
  </si>
  <si>
    <t>Liberty: teacher RETREAT</t>
  </si>
  <si>
    <t>PIXY STIX FOR STAAR TEST</t>
  </si>
  <si>
    <t xml:space="preserve">BMS - Snacks for Retreat </t>
  </si>
  <si>
    <t>BMS - Team Building Supplies</t>
  </si>
  <si>
    <t>BMS - Desserts for end of year</t>
  </si>
  <si>
    <t xml:space="preserve">North- Retirement Cake </t>
  </si>
  <si>
    <t>North- 3rd Grade EOY Celebration Supplies</t>
  </si>
  <si>
    <t xml:space="preserve">BMS-SNACKS FOR END OF YR </t>
  </si>
  <si>
    <t>BHS Special Olympics Banquet</t>
  </si>
  <si>
    <t>Pre-K Graduation/ Supplies</t>
  </si>
  <si>
    <t>Retirement Party Supplies</t>
  </si>
  <si>
    <t>TIS- Imagine Learning Supplies</t>
  </si>
  <si>
    <t>BMS- CAKE FOR NJHS</t>
  </si>
  <si>
    <t xml:space="preserve">BMS- WATER </t>
  </si>
  <si>
    <t>BHS 2019-2020 Cheer Work out supplies</t>
  </si>
  <si>
    <t>Reimbursement for Conference Expenses</t>
  </si>
  <si>
    <t>Football 7v7 Uniforms 7-12</t>
  </si>
  <si>
    <t>MS Football Practice Jerseys</t>
  </si>
  <si>
    <t>HDMI Cables High Speed</t>
  </si>
  <si>
    <t>Install New Electronic Panel</t>
  </si>
  <si>
    <t>E GROUP INC</t>
  </si>
  <si>
    <t>BHS Uniforms for CTE programs</t>
  </si>
  <si>
    <t xml:space="preserve">Transportation Services </t>
  </si>
  <si>
    <t>Bue Use for Summer School</t>
  </si>
  <si>
    <t>ESL Summer School Field Trip</t>
  </si>
  <si>
    <t xml:space="preserve">Summer School Bus Trip </t>
  </si>
  <si>
    <t>White Fleet Contract Maintenance</t>
  </si>
  <si>
    <t>DAEP Renovation Supplies</t>
  </si>
  <si>
    <t>Supplies to Move Teacher Classrooms</t>
  </si>
  <si>
    <t>WO# 16726 - Cut and patch -DAEP</t>
  </si>
  <si>
    <t>Classroom Remodel Supplies</t>
  </si>
  <si>
    <t>Preventative Supplies</t>
  </si>
  <si>
    <t xml:space="preserve"> REPLACE FAUCET</t>
  </si>
  <si>
    <t>CLASSROOM REMODEL</t>
  </si>
  <si>
    <t>KITCHEN EQUIPMENT P.M. SUMMER</t>
  </si>
  <si>
    <t>Textbooks for 2019-2020</t>
  </si>
  <si>
    <t>Education Foundation Lunch</t>
  </si>
  <si>
    <t>KELLI LYNNE MCCOY</t>
  </si>
  <si>
    <t>Reimburse for fingerprinting</t>
  </si>
  <si>
    <t>W/O #16907- RENOVATION</t>
  </si>
  <si>
    <t>Summer audit work for June 2019</t>
  </si>
  <si>
    <t xml:space="preserve">Print books and media </t>
  </si>
  <si>
    <t>Postage Meter Charges</t>
  </si>
  <si>
    <t>Quarterly payment for mailing</t>
  </si>
  <si>
    <t>Leadership Retreat Expenses</t>
  </si>
  <si>
    <t>TIS:  SUPPLIES FOR CLASSROOMS</t>
  </si>
  <si>
    <t>Water and Snacks for Summer SCHOOL</t>
  </si>
  <si>
    <t>Paint needed for Projects</t>
  </si>
  <si>
    <t>SUPPLIES FOR NEW COOL DOWN ROOM</t>
  </si>
  <si>
    <t>Electrical Supplies</t>
  </si>
  <si>
    <t xml:space="preserve">INSTALL FIBER OPTICS </t>
  </si>
  <si>
    <t>TASB RISK MANAGEMENT FUND</t>
  </si>
  <si>
    <t>TASB Localized Update 113</t>
  </si>
  <si>
    <t>TEXAS COMPTROLLER OF PUBLIC</t>
  </si>
  <si>
    <t>Purchasing Coop Fees</t>
  </si>
  <si>
    <t>ATH, Spring Letter Jackets</t>
  </si>
  <si>
    <t>Additional insurance premium</t>
  </si>
  <si>
    <t>TEXAS SUMO GAME RENTAL</t>
  </si>
  <si>
    <t>Deposit- Back To School RALLY</t>
  </si>
  <si>
    <t>Reimburse for work meal.</t>
  </si>
  <si>
    <t>RENTAL OF LIFT FOR BHS</t>
  </si>
  <si>
    <t>BHS Westair monthly rentals</t>
  </si>
  <si>
    <t>TIS-ARTWORK FOR GYM</t>
  </si>
  <si>
    <t>sunglasses</t>
  </si>
  <si>
    <t>BHS Pals honor cords</t>
  </si>
  <si>
    <t>BHS Sr activities</t>
  </si>
  <si>
    <t>West - packing supplies</t>
  </si>
  <si>
    <t>Blank DVD's for Pre-K</t>
  </si>
  <si>
    <t>North Maker space book</t>
  </si>
  <si>
    <t>North- Project based learning</t>
  </si>
  <si>
    <t>storage Drawers for 3rd grade</t>
  </si>
  <si>
    <t>North Books</t>
  </si>
  <si>
    <t>North Morning meeting books</t>
  </si>
  <si>
    <t>Speed hurdles for strength/CONDITIONING</t>
  </si>
  <si>
    <t>BHS Holders for Calculators</t>
  </si>
  <si>
    <t>West - Staff professional supplies</t>
  </si>
  <si>
    <t>ANDREA SIMONS</t>
  </si>
  <si>
    <t>Refund over-payment of Cheer</t>
  </si>
  <si>
    <t>Training equipment</t>
  </si>
  <si>
    <t>BHS Band  uniform cleaning</t>
  </si>
  <si>
    <t xml:space="preserve">TIS- GAME TRUCK FOR FUNDRAISER </t>
  </si>
  <si>
    <t>HAYDEN INGRAM</t>
  </si>
  <si>
    <t xml:space="preserve">REIMBURSE TRAVEL EXPENSES </t>
  </si>
  <si>
    <t>BHS Yearbook final invoice</t>
  </si>
  <si>
    <t>North Event wall</t>
  </si>
  <si>
    <t>North Discipline flip books</t>
  </si>
  <si>
    <t>BHS CTE banquet</t>
  </si>
  <si>
    <t>SCOPE MAGAZINE</t>
  </si>
  <si>
    <t>SHERRY IKERD</t>
  </si>
  <si>
    <t xml:space="preserve">BHS Cheer Captain team BUILDING </t>
  </si>
  <si>
    <t xml:space="preserve">BHS Principal SUPPLIES </t>
  </si>
  <si>
    <t>Decor for Bear CAVE</t>
  </si>
  <si>
    <t xml:space="preserve">North Staff GRIT House </t>
  </si>
  <si>
    <t>Brewer HS-June 2019 Lease</t>
  </si>
  <si>
    <t>BHS Grant for Teacher Supplies</t>
  </si>
  <si>
    <t xml:space="preserve">PBIS BUCKETS </t>
  </si>
  <si>
    <t>GAS SERVICE FOR THE PERIOD</t>
  </si>
  <si>
    <t>June Background checks</t>
  </si>
  <si>
    <t>BLANE BROWN</t>
  </si>
  <si>
    <t>Reimburse Fingerprinting</t>
  </si>
  <si>
    <t>CARUSO, MELISSA</t>
  </si>
  <si>
    <t>Reimburse Parking for Conference</t>
  </si>
  <si>
    <t xml:space="preserve">PREP GROUND </t>
  </si>
  <si>
    <t xml:space="preserve">SAND PITS </t>
  </si>
  <si>
    <t xml:space="preserve">EXCHANGE FURN - WEST </t>
  </si>
  <si>
    <t>Energy Service</t>
  </si>
  <si>
    <t>GERALD BROOKS</t>
  </si>
  <si>
    <t xml:space="preserve">Convocation Speaker </t>
  </si>
  <si>
    <t>Install new carpet</t>
  </si>
  <si>
    <t>ADDITIONAL WORK- DAEP</t>
  </si>
  <si>
    <t>ANNUAL FIRE EXTINGUISHER, INSPECTIONS</t>
  </si>
  <si>
    <t>KATHERINE COULTER</t>
  </si>
  <si>
    <t>KELVIN HODGEST</t>
  </si>
  <si>
    <t xml:space="preserve">ITEMS NEEDED TO REPAIR FAUCETS </t>
  </si>
  <si>
    <t xml:space="preserve">OFFICE SUPPLIES FOR OPERATIONS </t>
  </si>
  <si>
    <t>RENOVATION SUPPLIES</t>
  </si>
  <si>
    <t xml:space="preserve">ADD DRAINS FOR SHAMPOO CHAIRS </t>
  </si>
  <si>
    <t xml:space="preserve">Basic SRO Training </t>
  </si>
  <si>
    <t>NELA FOSTER</t>
  </si>
  <si>
    <t>SIDNEY MILLER</t>
  </si>
  <si>
    <t>Supplies for Athletic Fields</t>
  </si>
  <si>
    <t>Dispenser for CN Office for YR</t>
  </si>
  <si>
    <t>Legal Notice for RFP</t>
  </si>
  <si>
    <t>TIS- STUDENT SUPPLIES</t>
  </si>
  <si>
    <t xml:space="preserve">TIS- COOL OFF STATION </t>
  </si>
  <si>
    <t>items for Admin Breakfast</t>
  </si>
  <si>
    <t>TIS- PRINCIPAL SUPPLIES</t>
  </si>
  <si>
    <t>TIS;  SUPPLIES FOR CLASSROOMS</t>
  </si>
  <si>
    <t>Roll Off Dumpster</t>
  </si>
  <si>
    <t xml:space="preserve">TRASH SERVICES </t>
  </si>
  <si>
    <t xml:space="preserve">Supplies and Equipment -AG SCIENCE </t>
  </si>
  <si>
    <t>LOAN PAYMENT FOR BUSES - LOAN</t>
  </si>
  <si>
    <t>Lunch for Staff development</t>
  </si>
  <si>
    <t>North- yellow ink</t>
  </si>
  <si>
    <t>Parking Permits</t>
  </si>
  <si>
    <t>North decorations for staff</t>
  </si>
  <si>
    <t>Bulletin Board for Office</t>
  </si>
  <si>
    <t xml:space="preserve"> BHS Supplies</t>
  </si>
  <si>
    <t>BHS trophy plates</t>
  </si>
  <si>
    <t>Promo Video Brewer FB</t>
  </si>
  <si>
    <t>BHS Cheer camp balance</t>
  </si>
  <si>
    <t xml:space="preserve">BMS-CHEER UNIFORMS </t>
  </si>
  <si>
    <t>WORKERS ASSISTANCE PROGRAM INC</t>
  </si>
  <si>
    <t>Brewer High School PALS</t>
  </si>
  <si>
    <t>BHS Honeycomb Tees</t>
  </si>
  <si>
    <t>West - Ready Refresh water</t>
  </si>
  <si>
    <t>West -  Staff team building</t>
  </si>
  <si>
    <t>THE UNIVERSTIY OF TEXAS AT AUSTIN</t>
  </si>
  <si>
    <t>BHS Cheer camp balance- JV</t>
  </si>
  <si>
    <t>Connectivity Summer 2019 Conf</t>
  </si>
  <si>
    <t>OnRamps Returning Instructor</t>
  </si>
  <si>
    <t>ATH, Lodging for Coach Clinic</t>
  </si>
  <si>
    <t>Hotel for TSNAA conference</t>
  </si>
  <si>
    <t>Hotel for Police Conference</t>
  </si>
  <si>
    <t>North, Staff mailbox sorter</t>
  </si>
  <si>
    <t>Contact Keeper Program for Disttict</t>
  </si>
  <si>
    <t>Student Help Desk Training</t>
  </si>
  <si>
    <t>DUGAN, PAMELA</t>
  </si>
  <si>
    <t>PIMPTON, CHRISTOPHER</t>
  </si>
  <si>
    <t>North- Hotel -Tahperd Summer</t>
  </si>
  <si>
    <t>Athletic End of Year Breakfast</t>
  </si>
  <si>
    <t>Fuel for Transportaion</t>
  </si>
  <si>
    <t>POOLE, RENEE</t>
  </si>
  <si>
    <t>Registration Renewal for Vehicles</t>
  </si>
  <si>
    <t>Breakfast for Special Board Meeting</t>
  </si>
  <si>
    <t>GODADDY.COM</t>
  </si>
  <si>
    <t>TECH RENEWAL GO DADDY</t>
  </si>
  <si>
    <t xml:space="preserve">2019 End Of Year Luncheon </t>
  </si>
  <si>
    <t>Snacks for Testing Coodinators</t>
  </si>
  <si>
    <t>HYATT REGENCY AUSTIN</t>
  </si>
  <si>
    <t>Hotel Room for TASA Summer Conference</t>
  </si>
  <si>
    <t>Lunch for Agenda Meeting with Board</t>
  </si>
  <si>
    <t xml:space="preserve">MILEAGE REIMBURSEMENT </t>
  </si>
  <si>
    <t>ASHLEY SWIFT</t>
  </si>
  <si>
    <t>reimburse for re-fingerprinting</t>
  </si>
  <si>
    <t>BHS NOC Service JUL 9 2019</t>
  </si>
  <si>
    <t>WATER/SOFT DRINKS FOR BOARD KITCHEN</t>
  </si>
  <si>
    <t>LONG DISTANCE PHONE SERVICE</t>
  </si>
  <si>
    <t xml:space="preserve">CN DISH MACHINE CURTAINS </t>
  </si>
  <si>
    <t>GINA HERNANDEZ</t>
  </si>
  <si>
    <t>HEATHER CROW</t>
  </si>
  <si>
    <t>BHS Contract Services</t>
  </si>
  <si>
    <t>KATHY HUEY</t>
  </si>
  <si>
    <t>11X 17 Copy paper order</t>
  </si>
  <si>
    <t>MICHAEL DICKINSON</t>
  </si>
  <si>
    <t>Purchase network equipment</t>
  </si>
  <si>
    <t xml:space="preserve">PLAYGROUND PARTS TO RETROFIT WEST </t>
  </si>
  <si>
    <t>MOWING SERVICE DISTRICT WIDE</t>
  </si>
  <si>
    <t>RACHAEL GEESAMAN</t>
  </si>
  <si>
    <t>RIDGLEA SWIMMING POOL ASSOCIATION INC</t>
  </si>
  <si>
    <t>ROGER BOWEN</t>
  </si>
  <si>
    <t>SHELBY DIXON</t>
  </si>
  <si>
    <t>DISPOSE OF BROKEN TREE LIMBS</t>
  </si>
  <si>
    <t>TASA Annual Membership</t>
  </si>
  <si>
    <t>TERRA WOOD</t>
  </si>
  <si>
    <t xml:space="preserve">YMCA - SPORTS AND TUTORING- BHE </t>
  </si>
  <si>
    <t xml:space="preserve">Toll Fee #389 </t>
  </si>
  <si>
    <t>DRINKS FOR OPERATIONS</t>
  </si>
  <si>
    <t>LUNCH &amp; BREAK ROOM SUPPLIES</t>
  </si>
  <si>
    <t>DAEP - coffee</t>
  </si>
  <si>
    <t>Shirts for Honeycombs</t>
  </si>
  <si>
    <t xml:space="preserve">BHS Hydro Sandels  </t>
  </si>
  <si>
    <t>CLASSEN BUCK SEMINARS</t>
  </si>
  <si>
    <t>Training class for Employee</t>
  </si>
  <si>
    <t>BHS Drill team boots</t>
  </si>
  <si>
    <t>Bagged Ice</t>
  </si>
  <si>
    <t>TANNAHILL- CARD STOCK</t>
  </si>
  <si>
    <t>Liberty: Start up Petty Cash</t>
  </si>
  <si>
    <t>Coffee supplies</t>
  </si>
  <si>
    <t>Evidence sent to ME's office</t>
  </si>
  <si>
    <t>Girls soccer plaques</t>
  </si>
  <si>
    <t>Boys Soccer update postseason</t>
  </si>
  <si>
    <t>ASSOC OF SCHOOL BUSINESS OFFICIALS INTERNATIO</t>
  </si>
  <si>
    <t>BIG WHEELS BODY SHOP, LLC</t>
  </si>
  <si>
    <t>PAINTING BUSSES</t>
  </si>
  <si>
    <t>BLACK, LORETTA</t>
  </si>
  <si>
    <t>REFUND ON LUNCH ACCOUNT</t>
  </si>
  <si>
    <t>BRYANT, LAKAMI</t>
  </si>
  <si>
    <t>BUSHEY, DIXIE</t>
  </si>
  <si>
    <t xml:space="preserve">W/O #16408- FINAL PHASE OF ELECTRICAL </t>
  </si>
  <si>
    <t>COFFEY, MIMI</t>
  </si>
  <si>
    <t>COUSIN, MEGAN</t>
  </si>
  <si>
    <t>CRAWFORD, SANDY</t>
  </si>
  <si>
    <t>TECH PHONES FOR DISTRICT</t>
  </si>
  <si>
    <t>DEDE, SIVI</t>
  </si>
  <si>
    <t xml:space="preserve">Service - LONG DISTANCE </t>
  </si>
  <si>
    <t xml:space="preserve">Creating Learning REGISTRATIONS </t>
  </si>
  <si>
    <t xml:space="preserve">Pre-K Teachers Region 11 TRAINING </t>
  </si>
  <si>
    <t>CHILD NUTRITION ESC REGION XI</t>
  </si>
  <si>
    <t>FLOYD, SAMUEL</t>
  </si>
  <si>
    <t>Print books for Fine Arts</t>
  </si>
  <si>
    <t>FORBES, FRAN</t>
  </si>
  <si>
    <t>GIMLIN, WAYNE</t>
  </si>
  <si>
    <t xml:space="preserve">2018-2019 STUDENT TRASNPORTATION SERVICES </t>
  </si>
  <si>
    <t>VEHICLE MAINTENANCE DISTRICT VEHICLES</t>
  </si>
  <si>
    <t>PO to cover cost of Cheer Bus</t>
  </si>
  <si>
    <t xml:space="preserve">BHS - Buses for BHS Cheer </t>
  </si>
  <si>
    <t>CN SERVICE FOR TWO STEAMERS</t>
  </si>
  <si>
    <t>HAMMETT-WARHAM, TIFFANIE</t>
  </si>
  <si>
    <t>FILTERS AND PARTS</t>
  </si>
  <si>
    <t xml:space="preserve">WO# 16408 - Relocate SPRINKLER HEADS </t>
  </si>
  <si>
    <t xml:space="preserve">ANNUAL FIRE EXTINGUISHER, INSPECTIONS </t>
  </si>
  <si>
    <t xml:space="preserve">FIRE EXTINGUISHER REPAIRS </t>
  </si>
  <si>
    <t>JAYCEE WHISKER</t>
  </si>
  <si>
    <t>Contract Services for Records</t>
  </si>
  <si>
    <t>JOHNSON, TRACEY</t>
  </si>
  <si>
    <t>KEARBY, MELISSA</t>
  </si>
  <si>
    <t>KEISER, SHAUNA</t>
  </si>
  <si>
    <t>Child Nutrition Expenses</t>
  </si>
  <si>
    <t>LANDRUM, JENNIFER</t>
  </si>
  <si>
    <t>LAWRENCE-HARRIS, CAROLYN</t>
  </si>
  <si>
    <t>LITTLEFIELD, CHARLSEA</t>
  </si>
  <si>
    <t xml:space="preserve">INSTALL FENCE AT WEST </t>
  </si>
  <si>
    <t>W/O #16408- OFFICE RENOVATION</t>
  </si>
  <si>
    <t xml:space="preserve">WO# 16710 - Classroom RENOVATIONS </t>
  </si>
  <si>
    <t xml:space="preserve">WO# 16802 - Build new cool DOWN ROOM </t>
  </si>
  <si>
    <t xml:space="preserve">WO#: 16756 - Repair walls  BHS </t>
  </si>
  <si>
    <t>MORALES, SARA</t>
  </si>
  <si>
    <t xml:space="preserve">VOIDED </t>
  </si>
  <si>
    <t>MORTON, ALLISON</t>
  </si>
  <si>
    <t xml:space="preserve">TOLL FEES </t>
  </si>
  <si>
    <t>CN OAK FARMS - JUNE INVOICES</t>
  </si>
  <si>
    <t>OLMOS, MARCOS</t>
  </si>
  <si>
    <t>OOSUB, SUTHEP</t>
  </si>
  <si>
    <t>PARR, PAULA</t>
  </si>
  <si>
    <t>CN FILTER CARTRIDGE</t>
  </si>
  <si>
    <t>PATTON, SARAH</t>
  </si>
  <si>
    <t>PEARSON, REBECCA</t>
  </si>
  <si>
    <t>North- Project lead the way program</t>
  </si>
  <si>
    <t>BHS Coffee for June, July and AUG</t>
  </si>
  <si>
    <t>COFFEE PRODUCTS FOR ADMIN</t>
  </si>
  <si>
    <t xml:space="preserve">T-TESS Orientation </t>
  </si>
  <si>
    <t>ROPER, DAWN</t>
  </si>
  <si>
    <t>SENN, DONNA</t>
  </si>
  <si>
    <t>SHERRILL, CANDACE</t>
  </si>
  <si>
    <t>TROUBLESHOOT &amp; REPAIRS ALARM SYSTEM</t>
  </si>
  <si>
    <t>New water dispenser and water</t>
  </si>
  <si>
    <t>SPAULDING, JENNIFER</t>
  </si>
  <si>
    <t xml:space="preserve">LEGAL NOTICE TO DISCUSS BUDGET </t>
  </si>
  <si>
    <t>Spec Program Contract Services</t>
  </si>
  <si>
    <t xml:space="preserve">TASBO TRAINING FOR EMPLOYEES </t>
  </si>
  <si>
    <t>W/O #16772- CUT &amp; PATCH</t>
  </si>
  <si>
    <t>W/O #17058- FREEZER RUNNING</t>
  </si>
  <si>
    <t>WALKER, TAMMY</t>
  </si>
  <si>
    <t>WATKINS, DANYELL</t>
  </si>
  <si>
    <t>WILLIAMSON, REBECCA</t>
  </si>
  <si>
    <t>Network Routing &amp; Switching Updates</t>
  </si>
  <si>
    <t>Fuel and parking for BASIC SRO TRAINING</t>
  </si>
  <si>
    <t xml:space="preserve">START UP PETTY CASH FOR CHILD NUTRITION </t>
  </si>
  <si>
    <t xml:space="preserve">BHS fish camp SHIRTS </t>
  </si>
  <si>
    <t>BRENDA MULLIGAN</t>
  </si>
  <si>
    <t>BHS Class of 2020</t>
  </si>
  <si>
    <t>CHEERLEADING COMPANY</t>
  </si>
  <si>
    <t>BHS Cheer poms</t>
  </si>
  <si>
    <t>Fruit tray for staff</t>
  </si>
  <si>
    <t>BMS Band - Pizza for band</t>
  </si>
  <si>
    <t>BHS Guard uniforms</t>
  </si>
  <si>
    <t>Printer ink refill</t>
  </si>
  <si>
    <t>Professional Training for FCLC</t>
  </si>
  <si>
    <t>BHS Poms for Honeycombs</t>
  </si>
  <si>
    <t>Staff development Supplies</t>
  </si>
  <si>
    <t>Parts for drinker/vacuum</t>
  </si>
  <si>
    <t>BHS School store start up</t>
  </si>
  <si>
    <t>Breakfast</t>
  </si>
  <si>
    <t>North Laminating Rolls</t>
  </si>
  <si>
    <t>North Matthews paper supply</t>
  </si>
  <si>
    <t>North Self Stick chart paper</t>
  </si>
  <si>
    <t>North supplies</t>
  </si>
  <si>
    <t>ON THE BORDER</t>
  </si>
  <si>
    <t>PAINTING WITH A TWIST STUDIO #35</t>
  </si>
  <si>
    <t>Student ID labels</t>
  </si>
  <si>
    <t>TARA WOODSON</t>
  </si>
  <si>
    <t>BHS Cheer bows</t>
  </si>
  <si>
    <t xml:space="preserve">SCHOLARSHIP RECIPIENT </t>
  </si>
  <si>
    <t>TANNAHILL - SAFETY SHIRTS</t>
  </si>
  <si>
    <t>TANNAHILL - SHIRTS FOR STUCO</t>
  </si>
  <si>
    <t>BHS Shirts for Class of 2020</t>
  </si>
  <si>
    <t>BRIANNA SMOOT</t>
  </si>
  <si>
    <t>PURCHASE FAN MOTOR AND CAPACITOR</t>
  </si>
  <si>
    <t>North- Keepbooks from Ikea</t>
  </si>
  <si>
    <t xml:space="preserve">BUS DRIVING TRAINING </t>
  </si>
  <si>
    <t>Print books for Tannahill</t>
  </si>
  <si>
    <t>GLORIA RODRIGUEZ</t>
  </si>
  <si>
    <t>CN SERVICE FOR STEAMERS</t>
  </si>
  <si>
    <t>2019 Second Round STAAR</t>
  </si>
  <si>
    <t>Reconditioning of Helmets</t>
  </si>
  <si>
    <t>LARISA MCCOWAN-KELLY</t>
  </si>
  <si>
    <t>OUTSIDE REPAIRS FOR VEHICLE</t>
  </si>
  <si>
    <t xml:space="preserve">REPLACE MISSING URINAL - BHS </t>
  </si>
  <si>
    <t>Cisco Modules/Firewall</t>
  </si>
  <si>
    <t>TOLL TAG CHARGES - ZIPCASH</t>
  </si>
  <si>
    <t>TONER</t>
  </si>
  <si>
    <t>PITSCO PROGRAM - BMS</t>
  </si>
  <si>
    <t>ATH Reserved Seating Pass</t>
  </si>
  <si>
    <t>NEW SIGNS FOR NORTH ELEM.</t>
  </si>
  <si>
    <t>SIGN CHAMP INC.</t>
  </si>
  <si>
    <t>Athletics graphics</t>
  </si>
  <si>
    <t>Professional Development for August</t>
  </si>
  <si>
    <t>STEVE DANIEL PRZYMUS</t>
  </si>
  <si>
    <t>Professional Development for DL</t>
  </si>
  <si>
    <t>TEA Career and Technology</t>
  </si>
  <si>
    <t>TASB Update</t>
  </si>
  <si>
    <t>TEXAS HEALTH OCCUPATIONS ASSOCIATION</t>
  </si>
  <si>
    <t xml:space="preserve">BHS registration </t>
  </si>
  <si>
    <t>TEXAS ROADHOUSE</t>
  </si>
  <si>
    <t xml:space="preserve">DAEP - End of year staff Lunch  </t>
  </si>
  <si>
    <t>Back To School Rally- Texas</t>
  </si>
  <si>
    <t>Appreciation Luncheon for FCLC</t>
  </si>
  <si>
    <t>THE PLAYWELL GROUP</t>
  </si>
  <si>
    <t>Membership Due for THSADA -</t>
  </si>
  <si>
    <t xml:space="preserve">ROLL OFF  DUMP &amp; RETURN </t>
  </si>
  <si>
    <t xml:space="preserve">EQUIPMENT RENTAL FOR OPERATIONS </t>
  </si>
  <si>
    <t>AMANDA S. MOORE</t>
  </si>
  <si>
    <t xml:space="preserve">Reimbursement for FINGERPRINTS </t>
  </si>
  <si>
    <t xml:space="preserve">Photo Book Frame </t>
  </si>
  <si>
    <t>Class of 2018 class gift</t>
  </si>
  <si>
    <t>Staff Development Materials</t>
  </si>
  <si>
    <t>Back to School Night supplies</t>
  </si>
  <si>
    <t>Bulletin Board letters</t>
  </si>
  <si>
    <t>North Headset for dismissal</t>
  </si>
  <si>
    <t xml:space="preserve">Headset and speaker </t>
  </si>
  <si>
    <t>Staff development supplies</t>
  </si>
  <si>
    <t xml:space="preserve">Black and Blue Lanyards </t>
  </si>
  <si>
    <t>ANDREA D. REDMON</t>
  </si>
  <si>
    <t>BHS Drawstring bags for fish CAMP</t>
  </si>
  <si>
    <t>Balance for team building</t>
  </si>
  <si>
    <t>GBB Practice jerseys</t>
  </si>
  <si>
    <t xml:space="preserve">GBB 9/JV Travel SUITS </t>
  </si>
  <si>
    <t xml:space="preserve">GBB Camp T SHIRTS </t>
  </si>
  <si>
    <t>CARRIE S. EDWARDS</t>
  </si>
  <si>
    <t>Vest</t>
  </si>
  <si>
    <t>BHS staff lunch for Wednesday</t>
  </si>
  <si>
    <t>CLOVIA D. PEEK</t>
  </si>
  <si>
    <t>North Elem, Return Address</t>
  </si>
  <si>
    <t>DOWN PATT</t>
  </si>
  <si>
    <t>GABRIELLE CANARD</t>
  </si>
  <si>
    <t>BMS - T-Shirts for Class of 2024/2025</t>
  </si>
  <si>
    <t>Staff development t-shirts</t>
  </si>
  <si>
    <t>Convocation T-Shirts</t>
  </si>
  <si>
    <t>HTEDANCE &amp; SPIRIT GROUP, INC</t>
  </si>
  <si>
    <t>Office Staff LuncheonAugust</t>
  </si>
  <si>
    <t xml:space="preserve">LUNCH FOR PARAS AND CUSTODIANS </t>
  </si>
  <si>
    <t xml:space="preserve">Meals - REIMBURSEMENT </t>
  </si>
  <si>
    <t>LISA A. WILSON</t>
  </si>
  <si>
    <t>BMS Band Binders</t>
  </si>
  <si>
    <t xml:space="preserve">TANNAHILL - FLIP CHARTS </t>
  </si>
  <si>
    <t>Advertising Banner</t>
  </si>
  <si>
    <t>Advertising Banner - CFA</t>
  </si>
  <si>
    <t>SARAH C. COLEMAN</t>
  </si>
  <si>
    <t>Training materials</t>
  </si>
  <si>
    <t>New Staff member Supplies</t>
  </si>
  <si>
    <t>PLTW campus training</t>
  </si>
  <si>
    <t>Bear cave decor</t>
  </si>
  <si>
    <t>BHS Class of 2018</t>
  </si>
  <si>
    <t>BHS staff lunch</t>
  </si>
  <si>
    <t>Staff development</t>
  </si>
  <si>
    <t>Staff welcome back</t>
  </si>
  <si>
    <t>Tshirts for convocation/new</t>
  </si>
  <si>
    <t>BHS Sr Cel 2020 shirts</t>
  </si>
  <si>
    <t>Suicide Prevention T-Shirt</t>
  </si>
  <si>
    <t>TECH MACBOOK PRO</t>
  </si>
  <si>
    <t>ATH, Shirts/Logos</t>
  </si>
  <si>
    <t xml:space="preserve">TECH Replacement Battery </t>
  </si>
  <si>
    <t>Annual Fire Inspection @ BMS</t>
  </si>
  <si>
    <t>DENTON ISD LONE STAR TIA</t>
  </si>
  <si>
    <t>North- TIA conference</t>
  </si>
  <si>
    <t>DGP PUBLISHING</t>
  </si>
  <si>
    <t>Grammar Instructional Materials</t>
  </si>
  <si>
    <t>BHS Drill team uniforms</t>
  </si>
  <si>
    <t>Print books for Blue Haze</t>
  </si>
  <si>
    <t>Print books for North</t>
  </si>
  <si>
    <t>Print and digital books for BHS</t>
  </si>
  <si>
    <t>Print books for West</t>
  </si>
  <si>
    <t>Print books for Brewer Middle</t>
  </si>
  <si>
    <t xml:space="preserve">Print books and media FOR WEST </t>
  </si>
  <si>
    <t>Print books and media FOR NORTH</t>
  </si>
  <si>
    <t xml:space="preserve">Print books and media FOR TIS </t>
  </si>
  <si>
    <t>Print books and media FOR BMS</t>
  </si>
  <si>
    <t>REIMBURSEMENT FOR SUPPLIES</t>
  </si>
  <si>
    <t>CN CONTROL BOARD FOR BHS ICE</t>
  </si>
  <si>
    <t xml:space="preserve">Mentor/Mentee luncheon </t>
  </si>
  <si>
    <t>KELLY WILLIAMS</t>
  </si>
  <si>
    <t>Reimbursement on Laptop.</t>
  </si>
  <si>
    <t>KINEMATIC SPORTS LLC</t>
  </si>
  <si>
    <t>ATH, Travel Case</t>
  </si>
  <si>
    <t>LONE STAR PERCUSSION</t>
  </si>
  <si>
    <t>MARSHA A. MCCLESKEY</t>
  </si>
  <si>
    <t xml:space="preserve">RESTOCK FLUSH DIAPHRAMS </t>
  </si>
  <si>
    <t>ICE MACHINE FOR LIBERTY</t>
  </si>
  <si>
    <t>RESPONDUS, INC.</t>
  </si>
  <si>
    <t>TECH RENEWAL RESPONDUS</t>
  </si>
  <si>
    <t>Registration for PEIMS Academy</t>
  </si>
  <si>
    <t>Registration Fee for Conference</t>
  </si>
  <si>
    <t>Credit By Exams for Brewer</t>
  </si>
  <si>
    <t>Musical instruments</t>
  </si>
  <si>
    <t xml:space="preserve">CHILD NUTRITION CATERING </t>
  </si>
  <si>
    <t>Supplies for Leadership</t>
  </si>
  <si>
    <t>Leadership Academy Breakfast</t>
  </si>
  <si>
    <t>2019 Summer STAAR/EOC Testing</t>
  </si>
  <si>
    <t>2019 Spring First Round STAAR</t>
  </si>
  <si>
    <t>West - teachers misc.</t>
  </si>
  <si>
    <t>West - grade level ice cream</t>
  </si>
  <si>
    <t>School supplies for FRC</t>
  </si>
  <si>
    <t>Trash Monthly Services</t>
  </si>
  <si>
    <t>REPLACED DAMAGED MECHANICAL</t>
  </si>
  <si>
    <t xml:space="preserve">Honeycomb uniforms </t>
  </si>
  <si>
    <t>AMY SCIENEAUX</t>
  </si>
  <si>
    <t xml:space="preserve">Refund Floral Fee </t>
  </si>
  <si>
    <t>Brewer Leadership T-shirts</t>
  </si>
  <si>
    <t>Brewer Mom's Mini Camp T's</t>
  </si>
  <si>
    <t>BHS fish camp pizza</t>
  </si>
  <si>
    <t>Therapeutic Equipment</t>
  </si>
  <si>
    <t>West return address envelopes</t>
  </si>
  <si>
    <t>BHS Honeycomb boots</t>
  </si>
  <si>
    <t>North- Staff Decor</t>
  </si>
  <si>
    <t>Plants and Stadium</t>
  </si>
  <si>
    <t xml:space="preserve">BHS Risers for Lab tables </t>
  </si>
  <si>
    <t xml:space="preserve">Flashlights for security guards </t>
  </si>
  <si>
    <t>COPY PAPER</t>
  </si>
  <si>
    <t xml:space="preserve">Fine Arts Friday supplies </t>
  </si>
  <si>
    <t xml:space="preserve">NEW ID BADGE </t>
  </si>
  <si>
    <t xml:space="preserve">SNACKS FOR ADMIN OFFICE </t>
  </si>
  <si>
    <t xml:space="preserve">BMS drinks </t>
  </si>
  <si>
    <t xml:space="preserve">Supplies for Football  </t>
  </si>
  <si>
    <t>Drop Safe for Fine Arts Dept</t>
  </si>
  <si>
    <t>Teacher Breakfast</t>
  </si>
  <si>
    <t>7th grade football hype video</t>
  </si>
  <si>
    <t>Music Supplies</t>
  </si>
  <si>
    <t>Cross Country Team T shirts</t>
  </si>
  <si>
    <t>Refinish Gym Floors</t>
  </si>
  <si>
    <t>A Framework for Understanding</t>
  </si>
  <si>
    <t>TECH BHS Auditorium AV Audio</t>
  </si>
  <si>
    <t>TECH SCAN BADGES/RIBBON</t>
  </si>
  <si>
    <t xml:space="preserve">ANNUAL FIRE INSPECTIONS </t>
  </si>
  <si>
    <t>CHAIRS FOR ADMIN</t>
  </si>
  <si>
    <t xml:space="preserve">COSMETOLOGY EQUIPMENT </t>
  </si>
  <si>
    <t>INSTALL CARPET TILE AT NORTH</t>
  </si>
  <si>
    <t>FLOAT SENSOR FOR WEST</t>
  </si>
  <si>
    <t>REPLACE BAD BATTERIES ON FIRE</t>
  </si>
  <si>
    <t>FOR TEACHERS LOUNGE @ WEST</t>
  </si>
  <si>
    <t>LASERFICHE LICENSE</t>
  </si>
  <si>
    <t>DAEP - Water for campus</t>
  </si>
  <si>
    <t>Finance &amp; Operations Supplies</t>
  </si>
  <si>
    <t xml:space="preserve">Paper and Coffee supplies </t>
  </si>
  <si>
    <t>STORAGE BAGS</t>
  </si>
  <si>
    <t>WATER DISPENSER</t>
  </si>
  <si>
    <t>LUNCH ITEMS FOR OPERATIONS</t>
  </si>
  <si>
    <t>Food/Drinks for Press Box</t>
  </si>
  <si>
    <t>West - snacks for STAAR level</t>
  </si>
  <si>
    <t>Registration Fee for Skyward Conference</t>
  </si>
  <si>
    <t>SOUTHWEST INTERNATIONIAL TRUCKS INC</t>
  </si>
  <si>
    <t>BODY SHOP REPAIRS FOR DAMAGES</t>
  </si>
  <si>
    <t>REGISTRATION 2019 PEIMS</t>
  </si>
  <si>
    <t>THE FLIPPEN GROUP</t>
  </si>
  <si>
    <t>DUMP &amp; RETURN ROLL OFF</t>
  </si>
  <si>
    <t xml:space="preserve">GATE CHANGE FOR VARSITY FOOTBALL </t>
  </si>
  <si>
    <t xml:space="preserve">CN STEAMER FOR BHS EMERGENCY PURCHASE </t>
  </si>
  <si>
    <t>SHARS Contract Services</t>
  </si>
  <si>
    <t xml:space="preserve">OUTSIDE REPAIRS FOR POLICE VEHICLE </t>
  </si>
  <si>
    <t>REPAIR POLICE VEHICLE #'s 392</t>
  </si>
  <si>
    <t>51-100 Teachers: TTESS</t>
  </si>
  <si>
    <t>Leadership Retreat Expense</t>
  </si>
  <si>
    <t>Snacks and Drinks for PLC</t>
  </si>
  <si>
    <t>Admin Board Room Refreshments</t>
  </si>
  <si>
    <t>TAMMIE HERRON</t>
  </si>
  <si>
    <t>Furniture</t>
  </si>
  <si>
    <t>EMERGENCY ELEVATOR REPAIR - BHS</t>
  </si>
  <si>
    <t>West - supplies for office</t>
  </si>
  <si>
    <t>Supplies for Athletics</t>
  </si>
  <si>
    <t>BHS Testing binders</t>
  </si>
  <si>
    <t>Popcorn</t>
  </si>
  <si>
    <t>BHS Hosa shirts</t>
  </si>
  <si>
    <t>BHS Pizza for Av kids JV game</t>
  </si>
  <si>
    <t>Blue Cones</t>
  </si>
  <si>
    <t>BMS - for Meet the Teacher</t>
  </si>
  <si>
    <t>FCLC Snacks</t>
  </si>
  <si>
    <t>Back to school night supplies</t>
  </si>
  <si>
    <t>GROCERIES FOR PRIDE AND DREAM</t>
  </si>
  <si>
    <t xml:space="preserve">Kinder parents Boo HOO ROOM </t>
  </si>
  <si>
    <t>ORTEGA, VERA</t>
  </si>
  <si>
    <t>SLAWINSKI, MARIETTA</t>
  </si>
  <si>
    <t xml:space="preserve">CHILD NUTRITION TRAVEL EXPENSES </t>
  </si>
  <si>
    <t>JONES, VICTOR JR</t>
  </si>
  <si>
    <t>WHEELER, KRISTI</t>
  </si>
  <si>
    <t>BMS - Starbucks gift cards</t>
  </si>
  <si>
    <t>BMS - Chick-fil-a gift cards</t>
  </si>
  <si>
    <t>Travel Expenses Reimbursement</t>
  </si>
  <si>
    <t>CUSTODIAL SERVICE</t>
  </si>
  <si>
    <t>HARRIS, DELIA</t>
  </si>
  <si>
    <t>Custodial Services -Additional</t>
  </si>
  <si>
    <t>Hotel Lodging for Volleyball</t>
  </si>
  <si>
    <t>Lunch for PLTW campus</t>
  </si>
  <si>
    <t>BODIFORD, MICHAEL</t>
  </si>
  <si>
    <t>GALLOWAY, MELISSA</t>
  </si>
  <si>
    <t>Speakers and case</t>
  </si>
  <si>
    <t>School Department Letterhead</t>
  </si>
  <si>
    <t xml:space="preserve">ATH  - End of year coaches BREAKFAST </t>
  </si>
  <si>
    <t>TECH Visitor Stickers</t>
  </si>
  <si>
    <t>CONNIE SELF</t>
  </si>
  <si>
    <t>3.5 HOURS - ASSIST PURCHASING COORD</t>
  </si>
  <si>
    <t xml:space="preserve">REIMBURSEMENT FOR SUB FINGERPRINTS </t>
  </si>
  <si>
    <t xml:space="preserve">AGENDA MEETNG AND LUNCH W/ BOARD </t>
  </si>
  <si>
    <t>Update site supporter status</t>
  </si>
  <si>
    <t>OKLAHOMA ACCOUNTACY BOARD</t>
  </si>
  <si>
    <t>RENEWAL FEES FOR CPA</t>
  </si>
  <si>
    <t>TX STATE BOARD OF PUBLIC ACCOUNTANCY</t>
  </si>
  <si>
    <t xml:space="preserve">LICENSE RENEWAL CPA </t>
  </si>
  <si>
    <t>POSTMASTER</t>
  </si>
  <si>
    <t>WALGREENS</t>
  </si>
  <si>
    <t>EL RANCHITO</t>
  </si>
  <si>
    <t>Team Building Lunch in August</t>
  </si>
  <si>
    <t>Breakfast w/Tim Matheus-</t>
  </si>
  <si>
    <t>PIZZA HUT</t>
  </si>
  <si>
    <t xml:space="preserve">REGISTRATION RENEWALS - VEHICLES </t>
  </si>
  <si>
    <t>LA PASADITA</t>
  </si>
  <si>
    <t>BREAKFAST TACOS FOR MEETING</t>
  </si>
  <si>
    <t>TECH RENEWAL SPREAKER</t>
  </si>
  <si>
    <t>BUSINESS LUNCH</t>
  </si>
  <si>
    <t>TASA/TASB CONFERENCE FEES</t>
  </si>
  <si>
    <t>Lunch with Vendor</t>
  </si>
  <si>
    <t>Dollar Tree- Gift Bags for FCLC Luncheon</t>
  </si>
  <si>
    <t>Pizza Hut- Order for Back To School Bash</t>
  </si>
  <si>
    <t>Billy Oaks Barbeque Operations Lunch</t>
  </si>
  <si>
    <t>Lunch for Staff Development Planning</t>
  </si>
  <si>
    <t>Picture order for front Office</t>
  </si>
  <si>
    <t>Fees for Overnight of Check</t>
  </si>
  <si>
    <t xml:space="preserve">Registration Fees for Vehicles  </t>
  </si>
  <si>
    <t>Fingerprint Codes</t>
  </si>
  <si>
    <t>Reimburse for Dismissal Equipment</t>
  </si>
  <si>
    <t>Printing Child Nutrition Applications</t>
  </si>
  <si>
    <t>Airfair for Conference</t>
  </si>
  <si>
    <t>Staff development - Cowtown Bowling</t>
  </si>
  <si>
    <t>Lunch for Staff During Registrations</t>
  </si>
  <si>
    <t>Reimbursement for overnight UIL Letter Postage</t>
  </si>
  <si>
    <t>Lunch for BHS Staff</t>
  </si>
  <si>
    <t>Printing Envelopes</t>
  </si>
  <si>
    <t>Reimbursement for Fall Semester Class</t>
  </si>
  <si>
    <t>BHS Lodging for Conference</t>
  </si>
  <si>
    <t>BMS - Whataburger gift Cards</t>
  </si>
  <si>
    <t xml:space="preserve">Mileage Reimbursement  </t>
  </si>
  <si>
    <t>BHS School Store Supplies</t>
  </si>
  <si>
    <t>BHS Yearbook Workday Supplies</t>
  </si>
  <si>
    <t>CTS CLASS STORE SUPPLIES</t>
  </si>
  <si>
    <t xml:space="preserve">Meals for band </t>
  </si>
  <si>
    <t>Meeting Supplies</t>
  </si>
  <si>
    <t>Ammunition for Police</t>
  </si>
  <si>
    <t>BHS Classroom Supplies</t>
  </si>
  <si>
    <t xml:space="preserve">BHS Staff Breakfast  </t>
  </si>
  <si>
    <t>Campus Supplies</t>
  </si>
  <si>
    <t xml:space="preserve">Staff Devl Breakfast   </t>
  </si>
  <si>
    <t>BHS Snacks for School Store</t>
  </si>
  <si>
    <t>BMS -Snacks and Supplies</t>
  </si>
  <si>
    <t xml:space="preserve">Banners </t>
  </si>
  <si>
    <t xml:space="preserve">Water </t>
  </si>
  <si>
    <t>TIS Staff Development Meal</t>
  </si>
  <si>
    <t>BHS School store Drinks</t>
  </si>
  <si>
    <t>Campus Staff Development Meal</t>
  </si>
  <si>
    <t>Library Decorations</t>
  </si>
  <si>
    <t>Reading Nock Supplies</t>
  </si>
  <si>
    <t>Bracelets for House Reveal</t>
  </si>
  <si>
    <t xml:space="preserve">BHS Coffee for June, July and Aug  </t>
  </si>
  <si>
    <t>TIS Bell System</t>
  </si>
  <si>
    <t>BHS Script Rights for Theater</t>
  </si>
  <si>
    <t>Mileage Reimbursement</t>
  </si>
  <si>
    <t>Water for Back to School Rally</t>
  </si>
  <si>
    <t>Coaches Cook Out Supplies</t>
  </si>
  <si>
    <t xml:space="preserve">Kitchen Supplies </t>
  </si>
  <si>
    <t>SUPPLIES TO COVER DAMAGED ROOF</t>
  </si>
  <si>
    <t>PURCHASE PECAN MULCH</t>
  </si>
  <si>
    <t xml:space="preserve">A/C REPAIR - WEST </t>
  </si>
  <si>
    <t>Student Code of Conduct</t>
  </si>
  <si>
    <t>Capturing Kids Heart Program Training Fee</t>
  </si>
  <si>
    <t xml:space="preserve">INSTALL ACCESS CONTROL </t>
  </si>
  <si>
    <t>Paint to Re-stripe West</t>
  </si>
  <si>
    <t>Paint for Exterior of Pressbox</t>
  </si>
  <si>
    <t>Paint for Parking Lot</t>
  </si>
  <si>
    <t xml:space="preserve">  </t>
  </si>
  <si>
    <t xml:space="preserve">Notary Package for Admin </t>
  </si>
  <si>
    <t xml:space="preserve">Mileage Reimbursement </t>
  </si>
  <si>
    <t>TREE MAINTENANCE</t>
  </si>
  <si>
    <t xml:space="preserve">A/C REPAIR - BMS </t>
  </si>
  <si>
    <t>TECH Hard Drive</t>
  </si>
  <si>
    <t>A/C REPAIR IN RTU</t>
  </si>
  <si>
    <t xml:space="preserve">Print books and Media </t>
  </si>
  <si>
    <t>Operations Supplies for DW Use</t>
  </si>
  <si>
    <t>Reimbursement for Sped Testing</t>
  </si>
  <si>
    <t>2nd Round Campus Testing Supplies</t>
  </si>
  <si>
    <t>BMS Band Music</t>
  </si>
  <si>
    <t xml:space="preserve">SUPPLIES TO REPAIR (2) BROKEN FAUCETS </t>
  </si>
  <si>
    <t>SUPPLIES TO ADD DRAINS - COSMETOLOGY</t>
  </si>
  <si>
    <t>Back to School Bash Venue Charge</t>
  </si>
  <si>
    <t>Contract Services for  Gas line repairs</t>
  </si>
  <si>
    <t xml:space="preserve">Contract Services to Repair Sewer Lines  </t>
  </si>
  <si>
    <t>Professional Development Charges</t>
  </si>
  <si>
    <t>Liberty: Snacks</t>
  </si>
  <si>
    <t>DAEP - Staff Prep Supplies</t>
  </si>
  <si>
    <t>TECH IT BEARS TRAINING SUPPLIES</t>
  </si>
  <si>
    <t>District Men's Very Important Tee Shirt</t>
  </si>
  <si>
    <t>Students meals for VB Tournament</t>
  </si>
  <si>
    <t>VB Summer camp worker</t>
  </si>
  <si>
    <t>Name Badges</t>
  </si>
  <si>
    <t>North New Staff member name Tags</t>
  </si>
  <si>
    <t>BMS  Pizza for staff</t>
  </si>
  <si>
    <t>Life Skills - Coffee Shop Supplies</t>
  </si>
  <si>
    <t xml:space="preserve">TIS WATER </t>
  </si>
  <si>
    <t xml:space="preserve">Operations Supplies   </t>
  </si>
  <si>
    <t xml:space="preserve">Supplies to Mount student DESKS </t>
  </si>
  <si>
    <t xml:space="preserve">KITCHEN - REMODEL </t>
  </si>
  <si>
    <t>Supplies for new Cosmo Class</t>
  </si>
  <si>
    <t>Renovation Supplies</t>
  </si>
  <si>
    <t xml:space="preserve">NEW BLINDS FOR OFFICE </t>
  </si>
  <si>
    <t>CABINET HARDWARE</t>
  </si>
  <si>
    <t>REPAIR TILES - BHE</t>
  </si>
  <si>
    <t>Build new counter</t>
  </si>
  <si>
    <t>Build Workstation</t>
  </si>
  <si>
    <t>BHS Honeycomb Uniforms</t>
  </si>
  <si>
    <t>Welcome back Breakfast</t>
  </si>
  <si>
    <t>Staff Development Breakfast</t>
  </si>
  <si>
    <t>Renewal bond</t>
  </si>
  <si>
    <t>TANNAHILL - TEAM BUILDING ACTIVITY</t>
  </si>
  <si>
    <t>Banners for Cleanliness Program</t>
  </si>
  <si>
    <t>Whataburger breakfast for Staff</t>
  </si>
  <si>
    <t>REPAIRS ON GROUNDS EQUIP</t>
  </si>
  <si>
    <t>Payment for preparation of Cupcakes</t>
  </si>
  <si>
    <t>New Counter Supplies</t>
  </si>
  <si>
    <t>Pre-K Teachers Region 11 Workshop Fee</t>
  </si>
  <si>
    <t>A/C REPAIR - TIS</t>
  </si>
  <si>
    <t>Contract Services SHARS</t>
  </si>
  <si>
    <t>Supplies for Early Childhood</t>
  </si>
  <si>
    <t xml:space="preserve">CN CONTACTOR </t>
  </si>
  <si>
    <t>REPLACE DAMAGED SIGN</t>
  </si>
  <si>
    <t>TOUCH UP PAINT</t>
  </si>
  <si>
    <t>Playground at Liberty</t>
  </si>
  <si>
    <t xml:space="preserve">REMOVE ALL CARPET -COSMO ROOM </t>
  </si>
  <si>
    <t>EMERGENCY FREEZER REPAIR</t>
  </si>
  <si>
    <t>Stand Up Desks</t>
  </si>
  <si>
    <t xml:space="preserve">FOR SPRINKLER HEADS </t>
  </si>
  <si>
    <t>SC 2021 Shirts</t>
  </si>
  <si>
    <t xml:space="preserve">Reimbursement for Fingerprints   </t>
  </si>
  <si>
    <t>Engage in mathematical Supplies</t>
  </si>
  <si>
    <t>Reimbursement for Fingerprints</t>
  </si>
  <si>
    <t>Student/Parent t-shirts</t>
  </si>
  <si>
    <t>Decorations for Teacher Lounge</t>
  </si>
  <si>
    <t>BHS Honeycomb Camp Registration</t>
  </si>
  <si>
    <t>Kona Ice for meet the Principal</t>
  </si>
  <si>
    <t>Laminator</t>
  </si>
  <si>
    <t xml:space="preserve">Classroom Supplies    </t>
  </si>
  <si>
    <t>Post cards for Meet the Teacher</t>
  </si>
  <si>
    <t xml:space="preserve">Meal reimburse </t>
  </si>
  <si>
    <t>DISTRICT- WIDE ALARM CONTRACT SERVICES</t>
  </si>
  <si>
    <t xml:space="preserve">Book </t>
  </si>
  <si>
    <t>Building Counter</t>
  </si>
  <si>
    <t>Supplies for Leadership Activity</t>
  </si>
  <si>
    <t>Install New Store Front at West</t>
  </si>
  <si>
    <t xml:space="preserve">Board Meeting Dinner </t>
  </si>
  <si>
    <t xml:space="preserve">Updating Data </t>
  </si>
  <si>
    <t xml:space="preserve">A/C REPAIR - TIS </t>
  </si>
  <si>
    <t xml:space="preserve">Replace all bad F/A BATTERIES </t>
  </si>
  <si>
    <t>Contract Services for Training</t>
  </si>
  <si>
    <t>Health Services  Diabetic Training</t>
  </si>
  <si>
    <t>EMERGENCY WATER PUMP</t>
  </si>
  <si>
    <t>Signs for Field House</t>
  </si>
  <si>
    <t xml:space="preserve">DD SIGNAGE TO NEW VEHICLES </t>
  </si>
  <si>
    <t>Rigid  Sign with Digital Graphics</t>
  </si>
  <si>
    <t xml:space="preserve">RIMER PAINT </t>
  </si>
  <si>
    <t>IRRIGATION PARTS</t>
  </si>
  <si>
    <t xml:space="preserve">SNUG AND PLAY FOR LIBERTY </t>
  </si>
  <si>
    <t xml:space="preserve">DEMO &amp; DISPOSE OF CARPET </t>
  </si>
  <si>
    <t>SPECIAL PROGRAMS: ESY SUPPLIES</t>
  </si>
  <si>
    <t>Food items and Ingredients New Employees</t>
  </si>
  <si>
    <t xml:space="preserve">Replace access panels </t>
  </si>
  <si>
    <t>TRACTOR RENTAL</t>
  </si>
  <si>
    <t xml:space="preserve">Honeycomb Uniforms </t>
  </si>
  <si>
    <t>BHS Honeycomb Shirts</t>
  </si>
  <si>
    <t>Food for Student Registration</t>
  </si>
  <si>
    <t xml:space="preserve">Workshop Registration   </t>
  </si>
  <si>
    <t>Refund on Yearbook</t>
  </si>
  <si>
    <t>BHS Class of 2018 Supplies</t>
  </si>
  <si>
    <t>.</t>
  </si>
  <si>
    <t>Drinks Snacks for ATH Meeting</t>
  </si>
  <si>
    <t>Supplies for Back to School</t>
  </si>
  <si>
    <t>Food for Staff</t>
  </si>
  <si>
    <t>TIS Campus Staff Supplies</t>
  </si>
  <si>
    <t xml:space="preserve">Supplies for Meetings  </t>
  </si>
  <si>
    <t>A/C REPAIR - BHS</t>
  </si>
  <si>
    <t>EMERGENCY REPAIR</t>
  </si>
  <si>
    <t>Misc power washer</t>
  </si>
  <si>
    <t>Athletic Field Supplies</t>
  </si>
  <si>
    <t>SUPPLIES TO RESTRIPE PARKING LOT</t>
  </si>
  <si>
    <t>INTERNET SERVICE</t>
  </si>
  <si>
    <t>WORKSHOP REGISTRATION</t>
  </si>
  <si>
    <t>Repair floor tile</t>
  </si>
  <si>
    <t xml:space="preserve">RUN NEW ELECTRICAL </t>
  </si>
  <si>
    <t>REPLACEMENT HEADS FOR SPRINKLERS</t>
  </si>
  <si>
    <t xml:space="preserve">Repair locker </t>
  </si>
  <si>
    <t>Leadership Team Meeting Food</t>
  </si>
  <si>
    <t>Replace Ceiling Tile</t>
  </si>
  <si>
    <t>Purchase new Washer/Dryer</t>
  </si>
  <si>
    <t>Repair walls - BHS</t>
  </si>
  <si>
    <t>Uniform shirts and shoulder Patches</t>
  </si>
  <si>
    <t xml:space="preserve">HOOK UP SHAMPOO CHAIR </t>
  </si>
  <si>
    <t>Police Dept Training Fee</t>
  </si>
  <si>
    <t>Shoes</t>
  </si>
  <si>
    <t>Dell 5110cn Imaging Drum</t>
  </si>
  <si>
    <t>West - TShirts for Convocation</t>
  </si>
  <si>
    <t>All access passes for New York Trip</t>
  </si>
  <si>
    <t>RUNNING NEW ELECTRICAL</t>
  </si>
  <si>
    <t>REPAIR LEAK - WEST</t>
  </si>
  <si>
    <t>STAFF PAINTING</t>
  </si>
  <si>
    <t>EMERGENCY TOOL</t>
  </si>
  <si>
    <t>REPAIR PAINT</t>
  </si>
  <si>
    <t>BUILD &amp; INSTALL RACK</t>
  </si>
  <si>
    <t>Beginning of the Year Supplies</t>
  </si>
  <si>
    <t>REPAIR WATER HEATER</t>
  </si>
  <si>
    <t>GOLF CART REPAIR</t>
  </si>
  <si>
    <t>Concrete Work</t>
  </si>
  <si>
    <t>Supplies for Cross Country</t>
  </si>
  <si>
    <t>Meal money for Cross Country Meet</t>
  </si>
  <si>
    <t>Uniforms for Security Officers</t>
  </si>
  <si>
    <t>A/C REPAIR - NORTH</t>
  </si>
  <si>
    <t>Insurance for Fuel Storage Tank</t>
  </si>
  <si>
    <t>Gift Bags for Recognition Awards</t>
  </si>
  <si>
    <t xml:space="preserve">REPAIR LEAK </t>
  </si>
  <si>
    <t>LEAK ON GEO-SYSTEM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</si>
</sst>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44" fontId="0" fillId="0" borderId="0" xfId="1" applyFont="1"/>
    <xf numFmtId="44" fontId="2" fillId="0" borderId="0" xfId="1" applyFont="1"/>
    <xf numFmtId="0" fontId="3" fillId="0" borderId="0" xfId="0" applyFont="1" applyAlignment="1">
      <alignment horizontal="center"/>
    </xf>
    <xf numFmtId="0" fontId="3" fillId="0" borderId="0" xfId="0" applyFont="1"/>
    <xf numFmtId="44" fontId="3" fillId="0" borderId="0" xfId="1" applyFont="1"/>
    <xf numFmtId="44" fontId="3" fillId="0" borderId="0" xfId="1" applyFont="1" applyAlignment="1">
      <alignment horizontal="center"/>
    </xf>
    <xf numFmtId="0" fontId="3" fillId="0" borderId="0" xfId="0" applyFont="1" applyAlignment="1">
      <alignment horizontal="center" wrapText="1"/>
    </xf>
    <xf numFmtId="44" fontId="0" fillId="0" borderId="0" xfId="0" applyNumberFormat="1"/>
    <xf numFmtId="0" fontId="0" fillId="0" borderId="0" xfId="0" quotePrefix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45"/>
  <sheetViews>
    <sheetView tabSelected="1" workbookViewId="0">
      <selection activeCell="D6" sqref="D6"/>
    </sheetView>
  </sheetViews>
  <sheetFormatPr defaultRowHeight="15" x14ac:dyDescent="0.25"/>
  <cols>
    <col min="1" max="1" width="10.42578125" customWidth="1"/>
    <col min="2" max="2" width="10" bestFit="1" customWidth="1"/>
    <col min="3" max="3" width="43.140625" customWidth="1"/>
    <col min="4" max="4" width="37.7109375" customWidth="1"/>
    <col min="5" max="5" width="12.5703125" style="2" bestFit="1" customWidth="1"/>
    <col min="6" max="6" width="15" customWidth="1"/>
  </cols>
  <sheetData>
    <row r="1" spans="1:6" x14ac:dyDescent="0.25">
      <c r="A1" s="5" t="s">
        <v>605</v>
      </c>
    </row>
    <row r="3" spans="1:6" x14ac:dyDescent="0.25">
      <c r="A3" s="4" t="s">
        <v>0</v>
      </c>
      <c r="B3" s="4" t="s">
        <v>0</v>
      </c>
      <c r="C3" s="5"/>
      <c r="D3" s="4" t="s">
        <v>1</v>
      </c>
      <c r="E3" s="6"/>
      <c r="F3" s="8" t="s">
        <v>1373</v>
      </c>
    </row>
    <row r="4" spans="1:6" x14ac:dyDescent="0.25">
      <c r="A4" s="4" t="s">
        <v>2</v>
      </c>
      <c r="B4" s="4" t="s">
        <v>3</v>
      </c>
      <c r="C4" s="4" t="s">
        <v>4</v>
      </c>
      <c r="D4" s="4" t="s">
        <v>5</v>
      </c>
      <c r="E4" s="7" t="s">
        <v>6</v>
      </c>
      <c r="F4" s="4" t="s">
        <v>1374</v>
      </c>
    </row>
    <row r="5" spans="1:6" x14ac:dyDescent="0.25">
      <c r="A5" s="1">
        <v>43348</v>
      </c>
      <c r="B5">
        <v>118555</v>
      </c>
      <c r="C5" t="s">
        <v>7</v>
      </c>
      <c r="D5" t="s">
        <v>8</v>
      </c>
      <c r="E5" s="2">
        <v>132</v>
      </c>
    </row>
    <row r="6" spans="1:6" x14ac:dyDescent="0.25">
      <c r="A6" s="1">
        <v>43348</v>
      </c>
      <c r="B6">
        <v>118556</v>
      </c>
      <c r="C6" t="s">
        <v>9</v>
      </c>
      <c r="D6" t="s">
        <v>406</v>
      </c>
      <c r="E6" s="2">
        <v>15</v>
      </c>
    </row>
    <row r="7" spans="1:6" x14ac:dyDescent="0.25">
      <c r="A7" s="1">
        <v>43348</v>
      </c>
      <c r="B7">
        <v>118557</v>
      </c>
      <c r="C7" t="s">
        <v>10</v>
      </c>
      <c r="D7" t="s">
        <v>456</v>
      </c>
      <c r="E7" s="2">
        <v>100</v>
      </c>
    </row>
    <row r="8" spans="1:6" x14ac:dyDescent="0.25">
      <c r="A8" s="1">
        <v>43348</v>
      </c>
      <c r="B8">
        <v>118558</v>
      </c>
      <c r="C8" t="s">
        <v>11</v>
      </c>
      <c r="D8" t="s">
        <v>457</v>
      </c>
      <c r="E8" s="2">
        <v>56</v>
      </c>
    </row>
    <row r="9" spans="1:6" x14ac:dyDescent="0.25">
      <c r="A9" s="1">
        <v>43348</v>
      </c>
      <c r="B9">
        <v>118559</v>
      </c>
      <c r="C9" t="s">
        <v>12</v>
      </c>
      <c r="D9" t="s">
        <v>407</v>
      </c>
      <c r="E9" s="2">
        <v>38.44</v>
      </c>
    </row>
    <row r="10" spans="1:6" x14ac:dyDescent="0.25">
      <c r="A10" s="1">
        <v>43348</v>
      </c>
      <c r="B10">
        <v>118560</v>
      </c>
      <c r="C10" t="s">
        <v>13</v>
      </c>
      <c r="D10" t="s">
        <v>458</v>
      </c>
      <c r="E10" s="2">
        <v>175.63</v>
      </c>
    </row>
    <row r="11" spans="1:6" x14ac:dyDescent="0.25">
      <c r="A11" s="1">
        <v>43348</v>
      </c>
      <c r="B11">
        <v>118561</v>
      </c>
      <c r="C11" t="s">
        <v>14</v>
      </c>
      <c r="D11" t="s">
        <v>15</v>
      </c>
      <c r="E11" s="2">
        <v>505.51</v>
      </c>
    </row>
    <row r="12" spans="1:6" x14ac:dyDescent="0.25">
      <c r="A12" s="1">
        <v>43348</v>
      </c>
      <c r="B12">
        <v>118562</v>
      </c>
      <c r="C12" t="s">
        <v>16</v>
      </c>
      <c r="D12" t="s">
        <v>459</v>
      </c>
      <c r="E12" s="2">
        <v>726.37</v>
      </c>
    </row>
    <row r="13" spans="1:6" x14ac:dyDescent="0.25">
      <c r="A13" s="1">
        <v>43348</v>
      </c>
      <c r="B13">
        <v>118563</v>
      </c>
      <c r="C13" t="s">
        <v>17</v>
      </c>
      <c r="D13" t="s">
        <v>18</v>
      </c>
      <c r="E13" s="2">
        <v>85</v>
      </c>
    </row>
    <row r="14" spans="1:6" x14ac:dyDescent="0.25">
      <c r="A14" s="1">
        <v>43348</v>
      </c>
      <c r="B14">
        <v>118564</v>
      </c>
      <c r="C14" t="s">
        <v>19</v>
      </c>
      <c r="D14" t="s">
        <v>20</v>
      </c>
      <c r="E14" s="2">
        <v>1057.25</v>
      </c>
    </row>
    <row r="15" spans="1:6" x14ac:dyDescent="0.25">
      <c r="A15" s="1">
        <v>43348</v>
      </c>
      <c r="B15">
        <v>201800022</v>
      </c>
      <c r="C15" t="s">
        <v>400</v>
      </c>
      <c r="D15" t="s">
        <v>593</v>
      </c>
      <c r="E15" s="2">
        <v>249.5</v>
      </c>
    </row>
    <row r="16" spans="1:6" x14ac:dyDescent="0.25">
      <c r="A16" s="1">
        <v>43349</v>
      </c>
      <c r="B16">
        <v>118565</v>
      </c>
      <c r="C16" t="s">
        <v>21</v>
      </c>
      <c r="D16" t="s">
        <v>408</v>
      </c>
      <c r="E16" s="2">
        <v>25</v>
      </c>
    </row>
    <row r="17" spans="1:5" x14ac:dyDescent="0.25">
      <c r="A17" s="1">
        <v>43349</v>
      </c>
      <c r="B17">
        <v>118567</v>
      </c>
      <c r="C17" t="s">
        <v>22</v>
      </c>
      <c r="D17" t="s">
        <v>23</v>
      </c>
      <c r="E17" s="2">
        <v>1630.28</v>
      </c>
    </row>
    <row r="18" spans="1:5" x14ac:dyDescent="0.25">
      <c r="A18" s="1">
        <v>43349</v>
      </c>
      <c r="B18">
        <v>118567</v>
      </c>
      <c r="C18" t="s">
        <v>22</v>
      </c>
      <c r="D18" t="s">
        <v>24</v>
      </c>
      <c r="E18" s="2">
        <v>3977.73</v>
      </c>
    </row>
    <row r="19" spans="1:5" x14ac:dyDescent="0.25">
      <c r="A19" s="1">
        <v>43349</v>
      </c>
      <c r="B19">
        <v>118568</v>
      </c>
      <c r="C19" t="s">
        <v>25</v>
      </c>
      <c r="D19" t="s">
        <v>460</v>
      </c>
      <c r="E19" s="2">
        <v>5000</v>
      </c>
    </row>
    <row r="20" spans="1:5" x14ac:dyDescent="0.25">
      <c r="A20" s="1">
        <v>43349</v>
      </c>
      <c r="B20">
        <v>118569</v>
      </c>
      <c r="C20" t="s">
        <v>26</v>
      </c>
      <c r="D20" t="s">
        <v>27</v>
      </c>
      <c r="E20" s="2">
        <v>400</v>
      </c>
    </row>
    <row r="21" spans="1:5" x14ac:dyDescent="0.25">
      <c r="A21" s="1">
        <v>43349</v>
      </c>
      <c r="B21">
        <v>118570</v>
      </c>
      <c r="C21" t="s">
        <v>28</v>
      </c>
      <c r="D21" t="s">
        <v>409</v>
      </c>
      <c r="E21" s="2">
        <v>300</v>
      </c>
    </row>
    <row r="22" spans="1:5" x14ac:dyDescent="0.25">
      <c r="A22" s="1">
        <v>43349</v>
      </c>
      <c r="B22">
        <v>118571</v>
      </c>
      <c r="C22" t="s">
        <v>29</v>
      </c>
      <c r="D22" t="s">
        <v>410</v>
      </c>
      <c r="E22" s="2">
        <v>25</v>
      </c>
    </row>
    <row r="23" spans="1:5" x14ac:dyDescent="0.25">
      <c r="A23" s="1">
        <v>43349</v>
      </c>
      <c r="B23">
        <v>118572</v>
      </c>
      <c r="C23" t="s">
        <v>30</v>
      </c>
      <c r="D23" t="s">
        <v>461</v>
      </c>
      <c r="E23" s="2">
        <v>58660</v>
      </c>
    </row>
    <row r="24" spans="1:5" x14ac:dyDescent="0.25">
      <c r="A24" s="1">
        <v>43349</v>
      </c>
      <c r="B24">
        <v>118573</v>
      </c>
      <c r="C24" t="s">
        <v>31</v>
      </c>
      <c r="D24" t="s">
        <v>32</v>
      </c>
      <c r="E24" s="2">
        <v>315.27999999999997</v>
      </c>
    </row>
    <row r="25" spans="1:5" x14ac:dyDescent="0.25">
      <c r="A25" s="1">
        <v>43349</v>
      </c>
      <c r="B25">
        <v>118574</v>
      </c>
      <c r="C25" t="s">
        <v>33</v>
      </c>
      <c r="D25" t="s">
        <v>34</v>
      </c>
      <c r="E25" s="2">
        <v>3150</v>
      </c>
    </row>
    <row r="26" spans="1:5" x14ac:dyDescent="0.25">
      <c r="A26" s="1">
        <v>43349</v>
      </c>
      <c r="B26">
        <v>118575</v>
      </c>
      <c r="C26" t="s">
        <v>35</v>
      </c>
      <c r="D26" t="s">
        <v>36</v>
      </c>
      <c r="E26" s="2">
        <v>9.64</v>
      </c>
    </row>
    <row r="27" spans="1:5" x14ac:dyDescent="0.25">
      <c r="A27" s="1">
        <v>43349</v>
      </c>
      <c r="B27">
        <v>118576</v>
      </c>
      <c r="C27" t="s">
        <v>37</v>
      </c>
      <c r="D27" t="s">
        <v>38</v>
      </c>
      <c r="E27" s="2">
        <v>100</v>
      </c>
    </row>
    <row r="28" spans="1:5" x14ac:dyDescent="0.25">
      <c r="A28" s="1">
        <v>43349</v>
      </c>
      <c r="B28">
        <v>118577</v>
      </c>
      <c r="C28" t="s">
        <v>39</v>
      </c>
      <c r="D28" t="s">
        <v>36</v>
      </c>
      <c r="E28" s="2">
        <v>49.18</v>
      </c>
    </row>
    <row r="29" spans="1:5" x14ac:dyDescent="0.25">
      <c r="A29" s="1">
        <v>43349</v>
      </c>
      <c r="B29">
        <v>118578</v>
      </c>
      <c r="C29" t="s">
        <v>40</v>
      </c>
      <c r="D29" t="s">
        <v>411</v>
      </c>
      <c r="E29" s="2">
        <v>99</v>
      </c>
    </row>
    <row r="30" spans="1:5" x14ac:dyDescent="0.25">
      <c r="A30" s="1">
        <v>43349</v>
      </c>
      <c r="B30">
        <v>118579</v>
      </c>
      <c r="C30" t="s">
        <v>41</v>
      </c>
      <c r="D30" t="s">
        <v>42</v>
      </c>
      <c r="E30" s="2">
        <v>32989</v>
      </c>
    </row>
    <row r="31" spans="1:5" x14ac:dyDescent="0.25">
      <c r="A31" s="1">
        <v>43349</v>
      </c>
      <c r="B31">
        <v>118580</v>
      </c>
      <c r="C31" t="s">
        <v>43</v>
      </c>
      <c r="D31" t="s">
        <v>36</v>
      </c>
      <c r="E31" s="2">
        <v>28.59</v>
      </c>
    </row>
    <row r="32" spans="1:5" x14ac:dyDescent="0.25">
      <c r="A32" s="1">
        <v>43349</v>
      </c>
      <c r="B32">
        <v>118581</v>
      </c>
      <c r="C32" t="s">
        <v>44</v>
      </c>
      <c r="D32" t="s">
        <v>462</v>
      </c>
      <c r="E32" s="2">
        <v>355.6</v>
      </c>
    </row>
    <row r="33" spans="1:5" x14ac:dyDescent="0.25">
      <c r="A33" s="1">
        <v>43349</v>
      </c>
      <c r="B33">
        <v>118582</v>
      </c>
      <c r="C33" t="s">
        <v>45</v>
      </c>
      <c r="D33" t="s">
        <v>409</v>
      </c>
      <c r="E33" s="2">
        <v>168</v>
      </c>
    </row>
    <row r="34" spans="1:5" x14ac:dyDescent="0.25">
      <c r="A34" s="1">
        <v>43349</v>
      </c>
      <c r="B34">
        <v>118583</v>
      </c>
      <c r="C34" t="s">
        <v>46</v>
      </c>
      <c r="D34" t="s">
        <v>463</v>
      </c>
      <c r="E34" s="2">
        <v>300</v>
      </c>
    </row>
    <row r="35" spans="1:5" x14ac:dyDescent="0.25">
      <c r="A35" s="1">
        <v>43349</v>
      </c>
      <c r="B35">
        <v>118584</v>
      </c>
      <c r="C35" t="s">
        <v>47</v>
      </c>
      <c r="D35" t="s">
        <v>464</v>
      </c>
      <c r="E35" s="2">
        <v>45.96</v>
      </c>
    </row>
    <row r="36" spans="1:5" x14ac:dyDescent="0.25">
      <c r="A36" s="1">
        <v>43349</v>
      </c>
      <c r="B36">
        <v>118585</v>
      </c>
      <c r="C36" t="s">
        <v>48</v>
      </c>
      <c r="D36" t="s">
        <v>603</v>
      </c>
      <c r="E36" s="2">
        <v>7406.98</v>
      </c>
    </row>
    <row r="37" spans="1:5" x14ac:dyDescent="0.25">
      <c r="A37" s="1">
        <v>43349</v>
      </c>
      <c r="B37">
        <v>118586</v>
      </c>
      <c r="C37" t="s">
        <v>49</v>
      </c>
      <c r="D37" t="s">
        <v>466</v>
      </c>
      <c r="E37" s="2">
        <v>199</v>
      </c>
    </row>
    <row r="38" spans="1:5" x14ac:dyDescent="0.25">
      <c r="A38" s="1">
        <v>43349</v>
      </c>
      <c r="B38">
        <v>118587</v>
      </c>
      <c r="C38" t="s">
        <v>50</v>
      </c>
      <c r="D38" t="s">
        <v>467</v>
      </c>
      <c r="E38" s="2">
        <v>18200</v>
      </c>
    </row>
    <row r="39" spans="1:5" x14ac:dyDescent="0.25">
      <c r="A39" s="1">
        <v>43349</v>
      </c>
      <c r="B39">
        <v>118588</v>
      </c>
      <c r="C39" t="s">
        <v>51</v>
      </c>
      <c r="D39" t="s">
        <v>52</v>
      </c>
      <c r="E39" s="2">
        <v>68.400000000000006</v>
      </c>
    </row>
    <row r="40" spans="1:5" x14ac:dyDescent="0.25">
      <c r="A40" s="1">
        <v>43349</v>
      </c>
      <c r="B40">
        <v>118589</v>
      </c>
      <c r="C40" t="s">
        <v>53</v>
      </c>
      <c r="D40" t="s">
        <v>409</v>
      </c>
      <c r="E40" s="2">
        <v>300</v>
      </c>
    </row>
    <row r="41" spans="1:5" x14ac:dyDescent="0.25">
      <c r="A41" s="1">
        <v>43349</v>
      </c>
      <c r="B41">
        <v>118590</v>
      </c>
      <c r="C41" t="s">
        <v>54</v>
      </c>
      <c r="D41" t="s">
        <v>408</v>
      </c>
      <c r="E41" s="2">
        <v>25</v>
      </c>
    </row>
    <row r="42" spans="1:5" x14ac:dyDescent="0.25">
      <c r="A42" s="1">
        <v>43349</v>
      </c>
      <c r="B42">
        <v>118591</v>
      </c>
      <c r="C42" t="s">
        <v>55</v>
      </c>
      <c r="D42" t="s">
        <v>468</v>
      </c>
      <c r="E42" s="2">
        <v>5585</v>
      </c>
    </row>
    <row r="43" spans="1:5" x14ac:dyDescent="0.25">
      <c r="A43" s="1">
        <v>43349</v>
      </c>
      <c r="B43">
        <v>118592</v>
      </c>
      <c r="C43" t="s">
        <v>57</v>
      </c>
      <c r="D43" t="s">
        <v>469</v>
      </c>
      <c r="E43" s="2">
        <v>37230.080000000002</v>
      </c>
    </row>
    <row r="44" spans="1:5" x14ac:dyDescent="0.25">
      <c r="A44" s="1">
        <v>43349</v>
      </c>
      <c r="B44">
        <v>118593</v>
      </c>
      <c r="C44" t="s">
        <v>58</v>
      </c>
      <c r="D44" t="s">
        <v>470</v>
      </c>
      <c r="E44" s="2">
        <v>291699</v>
      </c>
    </row>
    <row r="45" spans="1:5" x14ac:dyDescent="0.25">
      <c r="A45" s="1">
        <v>43349</v>
      </c>
      <c r="B45">
        <v>118594</v>
      </c>
      <c r="C45" t="s">
        <v>59</v>
      </c>
      <c r="D45" t="s">
        <v>471</v>
      </c>
      <c r="E45" s="2">
        <v>1950</v>
      </c>
    </row>
    <row r="46" spans="1:5" x14ac:dyDescent="0.25">
      <c r="A46" s="1">
        <v>43349</v>
      </c>
      <c r="B46">
        <v>118595</v>
      </c>
      <c r="C46" t="s">
        <v>60</v>
      </c>
      <c r="D46" t="s">
        <v>463</v>
      </c>
      <c r="E46" s="2">
        <v>325</v>
      </c>
    </row>
    <row r="47" spans="1:5" x14ac:dyDescent="0.25">
      <c r="A47" s="1">
        <v>43349</v>
      </c>
      <c r="B47">
        <v>118596</v>
      </c>
      <c r="C47" t="s">
        <v>61</v>
      </c>
      <c r="D47" t="s">
        <v>412</v>
      </c>
      <c r="E47" s="2">
        <v>5000</v>
      </c>
    </row>
    <row r="48" spans="1:5" x14ac:dyDescent="0.25">
      <c r="A48" s="1">
        <v>43349</v>
      </c>
      <c r="B48">
        <v>118597</v>
      </c>
      <c r="C48" t="s">
        <v>62</v>
      </c>
      <c r="D48" t="s">
        <v>472</v>
      </c>
      <c r="E48" s="2">
        <v>385</v>
      </c>
    </row>
    <row r="49" spans="1:5" x14ac:dyDescent="0.25">
      <c r="A49" s="1">
        <v>43349</v>
      </c>
      <c r="B49">
        <v>118598</v>
      </c>
      <c r="C49" t="s">
        <v>14</v>
      </c>
      <c r="D49" t="s">
        <v>413</v>
      </c>
      <c r="E49" s="2">
        <v>210.39</v>
      </c>
    </row>
    <row r="50" spans="1:5" x14ac:dyDescent="0.25">
      <c r="A50" s="1">
        <v>43349</v>
      </c>
      <c r="B50">
        <v>118599</v>
      </c>
      <c r="C50" t="s">
        <v>17</v>
      </c>
      <c r="D50" t="s">
        <v>473</v>
      </c>
      <c r="E50" s="2">
        <v>260</v>
      </c>
    </row>
    <row r="51" spans="1:5" x14ac:dyDescent="0.25">
      <c r="A51" s="1">
        <v>43349</v>
      </c>
      <c r="B51">
        <v>118600</v>
      </c>
      <c r="C51" t="s">
        <v>17</v>
      </c>
      <c r="D51" t="s">
        <v>414</v>
      </c>
      <c r="E51" s="2">
        <v>85</v>
      </c>
    </row>
    <row r="52" spans="1:5" x14ac:dyDescent="0.25">
      <c r="A52" s="1">
        <v>43350</v>
      </c>
      <c r="B52">
        <v>118601</v>
      </c>
      <c r="C52" t="s">
        <v>50</v>
      </c>
      <c r="D52" t="s">
        <v>467</v>
      </c>
      <c r="E52" s="2">
        <v>4550</v>
      </c>
    </row>
    <row r="53" spans="1:5" x14ac:dyDescent="0.25">
      <c r="A53" s="1">
        <v>43353</v>
      </c>
      <c r="B53">
        <v>118602</v>
      </c>
      <c r="C53" t="s">
        <v>63</v>
      </c>
      <c r="D53" t="s">
        <v>474</v>
      </c>
      <c r="E53" s="2">
        <v>380754.7</v>
      </c>
    </row>
    <row r="54" spans="1:5" x14ac:dyDescent="0.25">
      <c r="A54" s="1">
        <v>43354</v>
      </c>
      <c r="B54">
        <v>201800023</v>
      </c>
      <c r="C54" t="s">
        <v>401</v>
      </c>
      <c r="D54" t="s">
        <v>481</v>
      </c>
      <c r="E54" s="2">
        <v>156.78</v>
      </c>
    </row>
    <row r="55" spans="1:5" x14ac:dyDescent="0.25">
      <c r="A55" s="1">
        <v>43354</v>
      </c>
      <c r="B55">
        <v>201800024</v>
      </c>
      <c r="C55" t="s">
        <v>402</v>
      </c>
      <c r="D55" t="s">
        <v>403</v>
      </c>
      <c r="E55" s="2">
        <v>334.01</v>
      </c>
    </row>
    <row r="56" spans="1:5" x14ac:dyDescent="0.25">
      <c r="A56" s="1">
        <v>43354</v>
      </c>
      <c r="B56">
        <v>201800025</v>
      </c>
      <c r="C56" t="s">
        <v>404</v>
      </c>
      <c r="D56" t="s">
        <v>417</v>
      </c>
      <c r="E56" s="2">
        <f>8+48+48+48+48+48+48</f>
        <v>296</v>
      </c>
    </row>
    <row r="57" spans="1:5" x14ac:dyDescent="0.25">
      <c r="A57" s="1">
        <v>43354</v>
      </c>
      <c r="B57">
        <v>201800026</v>
      </c>
      <c r="C57" t="s">
        <v>405</v>
      </c>
      <c r="D57" t="s">
        <v>594</v>
      </c>
      <c r="E57" s="2">
        <v>77.5</v>
      </c>
    </row>
    <row r="58" spans="1:5" x14ac:dyDescent="0.25">
      <c r="A58" s="1">
        <v>43355</v>
      </c>
      <c r="B58">
        <v>118604</v>
      </c>
      <c r="C58" t="s">
        <v>64</v>
      </c>
      <c r="D58" t="s">
        <v>65</v>
      </c>
      <c r="E58" s="2">
        <v>1550</v>
      </c>
    </row>
    <row r="59" spans="1:5" x14ac:dyDescent="0.25">
      <c r="A59" s="1">
        <v>43355</v>
      </c>
      <c r="B59">
        <v>118605</v>
      </c>
      <c r="C59" t="s">
        <v>66</v>
      </c>
      <c r="D59" t="s">
        <v>415</v>
      </c>
      <c r="E59" s="2">
        <v>89</v>
      </c>
    </row>
    <row r="60" spans="1:5" x14ac:dyDescent="0.25">
      <c r="A60" s="1">
        <v>43355</v>
      </c>
      <c r="B60">
        <v>118606</v>
      </c>
      <c r="C60" t="s">
        <v>67</v>
      </c>
      <c r="D60" t="s">
        <v>7482</v>
      </c>
      <c r="E60" s="2">
        <v>929.5</v>
      </c>
    </row>
    <row r="61" spans="1:5" x14ac:dyDescent="0.25">
      <c r="A61" s="1">
        <v>43355</v>
      </c>
      <c r="B61">
        <v>118607</v>
      </c>
      <c r="C61" t="s">
        <v>31</v>
      </c>
      <c r="D61" t="s">
        <v>604</v>
      </c>
      <c r="E61" s="2">
        <v>252.12</v>
      </c>
    </row>
    <row r="62" spans="1:5" x14ac:dyDescent="0.25">
      <c r="A62" s="1">
        <v>43355</v>
      </c>
      <c r="B62">
        <v>118608</v>
      </c>
      <c r="C62" t="s">
        <v>68</v>
      </c>
      <c r="D62" t="s">
        <v>7483</v>
      </c>
      <c r="E62" s="2">
        <v>177.64</v>
      </c>
    </row>
    <row r="63" spans="1:5" x14ac:dyDescent="0.25">
      <c r="A63" s="1">
        <v>43355</v>
      </c>
      <c r="B63">
        <v>118609</v>
      </c>
      <c r="C63" t="s">
        <v>69</v>
      </c>
      <c r="D63" t="s">
        <v>475</v>
      </c>
      <c r="E63" s="2">
        <v>918</v>
      </c>
    </row>
    <row r="64" spans="1:5" x14ac:dyDescent="0.25">
      <c r="A64" s="1">
        <v>43355</v>
      </c>
      <c r="B64">
        <v>118610</v>
      </c>
      <c r="C64" t="s">
        <v>70</v>
      </c>
      <c r="D64" t="s">
        <v>476</v>
      </c>
      <c r="E64" s="2">
        <v>200</v>
      </c>
    </row>
    <row r="65" spans="1:5" x14ac:dyDescent="0.25">
      <c r="A65" s="1">
        <v>43355</v>
      </c>
      <c r="B65">
        <v>118611</v>
      </c>
      <c r="C65" t="s">
        <v>71</v>
      </c>
      <c r="D65" t="s">
        <v>477</v>
      </c>
      <c r="E65" s="2">
        <v>350</v>
      </c>
    </row>
    <row r="66" spans="1:5" x14ac:dyDescent="0.25">
      <c r="A66" s="1">
        <v>43355</v>
      </c>
      <c r="B66">
        <v>118612</v>
      </c>
      <c r="C66" t="s">
        <v>72</v>
      </c>
      <c r="D66" t="s">
        <v>478</v>
      </c>
      <c r="E66" s="2">
        <v>717.3</v>
      </c>
    </row>
    <row r="67" spans="1:5" x14ac:dyDescent="0.25">
      <c r="A67" s="1">
        <v>43355</v>
      </c>
      <c r="B67">
        <v>118613</v>
      </c>
      <c r="C67" t="s">
        <v>73</v>
      </c>
      <c r="D67" t="s">
        <v>479</v>
      </c>
      <c r="E67" s="2">
        <v>335</v>
      </c>
    </row>
    <row r="68" spans="1:5" x14ac:dyDescent="0.25">
      <c r="A68" s="1">
        <v>43355</v>
      </c>
      <c r="B68">
        <v>118614</v>
      </c>
      <c r="C68" t="s">
        <v>44</v>
      </c>
      <c r="D68" t="s">
        <v>480</v>
      </c>
      <c r="E68" s="2">
        <v>107.66</v>
      </c>
    </row>
    <row r="69" spans="1:5" x14ac:dyDescent="0.25">
      <c r="A69" s="1">
        <v>43355</v>
      </c>
      <c r="B69">
        <v>118615</v>
      </c>
      <c r="C69" t="s">
        <v>74</v>
      </c>
      <c r="D69" t="s">
        <v>481</v>
      </c>
      <c r="E69" s="2">
        <v>80.56</v>
      </c>
    </row>
    <row r="70" spans="1:5" x14ac:dyDescent="0.25">
      <c r="A70" s="1">
        <v>43355</v>
      </c>
      <c r="B70">
        <v>118616</v>
      </c>
      <c r="C70" t="s">
        <v>75</v>
      </c>
      <c r="D70" t="s">
        <v>76</v>
      </c>
      <c r="E70" s="2">
        <v>9</v>
      </c>
    </row>
    <row r="71" spans="1:5" x14ac:dyDescent="0.25">
      <c r="A71" s="1">
        <v>43355</v>
      </c>
      <c r="B71">
        <v>118617</v>
      </c>
      <c r="C71" t="s">
        <v>77</v>
      </c>
      <c r="D71" t="s">
        <v>78</v>
      </c>
      <c r="E71" s="2">
        <v>5.86</v>
      </c>
    </row>
    <row r="72" spans="1:5" x14ac:dyDescent="0.25">
      <c r="A72" s="1">
        <v>43355</v>
      </c>
      <c r="B72">
        <v>118618</v>
      </c>
      <c r="C72" t="s">
        <v>77</v>
      </c>
      <c r="D72" t="s">
        <v>79</v>
      </c>
      <c r="E72" s="2">
        <v>63.52</v>
      </c>
    </row>
    <row r="73" spans="1:5" x14ac:dyDescent="0.25">
      <c r="A73" s="1">
        <v>43355</v>
      </c>
      <c r="B73">
        <v>118619</v>
      </c>
      <c r="C73" t="s">
        <v>80</v>
      </c>
      <c r="D73" t="s">
        <v>482</v>
      </c>
      <c r="E73" s="2">
        <v>101.84</v>
      </c>
    </row>
    <row r="74" spans="1:5" x14ac:dyDescent="0.25">
      <c r="A74" s="1">
        <v>43355</v>
      </c>
      <c r="B74">
        <v>118620</v>
      </c>
      <c r="C74" t="s">
        <v>81</v>
      </c>
      <c r="D74" t="s">
        <v>82</v>
      </c>
      <c r="E74" s="2">
        <v>3293</v>
      </c>
    </row>
    <row r="75" spans="1:5" x14ac:dyDescent="0.25">
      <c r="A75" s="1">
        <v>43355</v>
      </c>
      <c r="B75">
        <v>118620</v>
      </c>
      <c r="C75" t="s">
        <v>81</v>
      </c>
      <c r="D75" t="s">
        <v>83</v>
      </c>
      <c r="E75" s="2">
        <v>1093.7</v>
      </c>
    </row>
    <row r="76" spans="1:5" x14ac:dyDescent="0.25">
      <c r="A76" s="1">
        <v>43355</v>
      </c>
      <c r="B76">
        <v>118620</v>
      </c>
      <c r="C76" t="s">
        <v>81</v>
      </c>
      <c r="D76" t="s">
        <v>84</v>
      </c>
      <c r="E76" s="2">
        <v>2292.56</v>
      </c>
    </row>
    <row r="77" spans="1:5" x14ac:dyDescent="0.25">
      <c r="A77" s="1">
        <v>43355</v>
      </c>
      <c r="B77">
        <v>118620</v>
      </c>
      <c r="C77" t="s">
        <v>81</v>
      </c>
      <c r="D77" t="s">
        <v>85</v>
      </c>
      <c r="E77" s="2">
        <v>2061.7600000000002</v>
      </c>
    </row>
    <row r="78" spans="1:5" x14ac:dyDescent="0.25">
      <c r="A78" s="1">
        <v>43355</v>
      </c>
      <c r="B78">
        <v>118621</v>
      </c>
      <c r="C78" t="s">
        <v>86</v>
      </c>
      <c r="D78" t="s">
        <v>87</v>
      </c>
      <c r="E78" s="2">
        <v>460</v>
      </c>
    </row>
    <row r="79" spans="1:5" x14ac:dyDescent="0.25">
      <c r="A79" s="1">
        <v>43355</v>
      </c>
      <c r="B79">
        <v>118622</v>
      </c>
      <c r="C79" t="s">
        <v>88</v>
      </c>
      <c r="D79" t="s">
        <v>89</v>
      </c>
      <c r="E79" s="2">
        <v>2784</v>
      </c>
    </row>
    <row r="80" spans="1:5" x14ac:dyDescent="0.25">
      <c r="A80" s="1">
        <v>43355</v>
      </c>
      <c r="B80">
        <v>118623</v>
      </c>
      <c r="C80" t="s">
        <v>90</v>
      </c>
      <c r="D80" t="s">
        <v>91</v>
      </c>
      <c r="E80" s="2">
        <v>205</v>
      </c>
    </row>
    <row r="81" spans="1:5" x14ac:dyDescent="0.25">
      <c r="A81" s="1">
        <v>43355</v>
      </c>
      <c r="B81">
        <v>118624</v>
      </c>
      <c r="C81" t="s">
        <v>92</v>
      </c>
      <c r="D81" t="s">
        <v>483</v>
      </c>
      <c r="E81" s="2">
        <v>7728.73</v>
      </c>
    </row>
    <row r="82" spans="1:5" x14ac:dyDescent="0.25">
      <c r="A82" s="1">
        <v>43355</v>
      </c>
      <c r="B82">
        <v>118625</v>
      </c>
      <c r="C82" t="s">
        <v>93</v>
      </c>
      <c r="D82" t="s">
        <v>484</v>
      </c>
      <c r="E82" s="2">
        <v>41</v>
      </c>
    </row>
    <row r="83" spans="1:5" x14ac:dyDescent="0.25">
      <c r="A83" s="1">
        <v>43355</v>
      </c>
      <c r="B83">
        <v>118626</v>
      </c>
      <c r="C83" t="s">
        <v>94</v>
      </c>
      <c r="D83" t="s">
        <v>485</v>
      </c>
      <c r="E83" s="2">
        <v>540.48</v>
      </c>
    </row>
    <row r="84" spans="1:5" x14ac:dyDescent="0.25">
      <c r="A84" s="1">
        <v>43355</v>
      </c>
      <c r="B84">
        <v>118627</v>
      </c>
      <c r="C84" t="s">
        <v>19</v>
      </c>
      <c r="D84" t="s">
        <v>7484</v>
      </c>
      <c r="E84" s="2">
        <v>197</v>
      </c>
    </row>
    <row r="85" spans="1:5" x14ac:dyDescent="0.25">
      <c r="A85" s="1">
        <v>43355</v>
      </c>
      <c r="B85">
        <v>181900001</v>
      </c>
      <c r="C85" t="s">
        <v>393</v>
      </c>
      <c r="D85" t="s">
        <v>591</v>
      </c>
      <c r="E85" s="2">
        <v>99.79</v>
      </c>
    </row>
    <row r="86" spans="1:5" x14ac:dyDescent="0.25">
      <c r="A86" s="1">
        <v>43356</v>
      </c>
      <c r="B86">
        <v>118628</v>
      </c>
      <c r="C86" t="s">
        <v>95</v>
      </c>
      <c r="D86" t="s">
        <v>7485</v>
      </c>
      <c r="E86" s="2">
        <v>1600</v>
      </c>
    </row>
    <row r="87" spans="1:5" x14ac:dyDescent="0.25">
      <c r="A87" s="1">
        <v>43356</v>
      </c>
      <c r="B87">
        <v>118629</v>
      </c>
      <c r="C87" t="s">
        <v>96</v>
      </c>
      <c r="D87" t="s">
        <v>486</v>
      </c>
      <c r="E87" s="2">
        <v>400</v>
      </c>
    </row>
    <row r="88" spans="1:5" x14ac:dyDescent="0.25">
      <c r="A88" s="1">
        <v>43356</v>
      </c>
      <c r="B88">
        <v>118630</v>
      </c>
      <c r="C88" t="s">
        <v>97</v>
      </c>
      <c r="D88" t="s">
        <v>98</v>
      </c>
      <c r="E88" s="2">
        <v>1169.97</v>
      </c>
    </row>
    <row r="89" spans="1:5" x14ac:dyDescent="0.25">
      <c r="A89" s="1">
        <v>43356</v>
      </c>
      <c r="B89">
        <v>118630</v>
      </c>
      <c r="C89" t="s">
        <v>97</v>
      </c>
      <c r="D89" t="s">
        <v>99</v>
      </c>
      <c r="E89" s="2">
        <v>239.7</v>
      </c>
    </row>
    <row r="90" spans="1:5" x14ac:dyDescent="0.25">
      <c r="A90" s="1">
        <v>43356</v>
      </c>
      <c r="B90">
        <v>118631</v>
      </c>
      <c r="C90" t="s">
        <v>100</v>
      </c>
      <c r="D90" t="s">
        <v>101</v>
      </c>
      <c r="E90" s="2">
        <v>1088.8699999999999</v>
      </c>
    </row>
    <row r="91" spans="1:5" x14ac:dyDescent="0.25">
      <c r="A91" s="1">
        <v>43356</v>
      </c>
      <c r="B91">
        <v>118631</v>
      </c>
      <c r="C91" t="s">
        <v>100</v>
      </c>
      <c r="D91" t="s">
        <v>101</v>
      </c>
      <c r="E91" s="2">
        <v>311.85000000000002</v>
      </c>
    </row>
    <row r="92" spans="1:5" x14ac:dyDescent="0.25">
      <c r="A92" s="1">
        <v>43356</v>
      </c>
      <c r="B92">
        <v>118632</v>
      </c>
      <c r="C92" t="s">
        <v>102</v>
      </c>
      <c r="D92" t="s">
        <v>464</v>
      </c>
      <c r="E92" s="2">
        <v>244</v>
      </c>
    </row>
    <row r="93" spans="1:5" x14ac:dyDescent="0.25">
      <c r="A93" s="1">
        <v>43356</v>
      </c>
      <c r="B93">
        <v>118633</v>
      </c>
      <c r="C93" t="s">
        <v>103</v>
      </c>
      <c r="D93" t="s">
        <v>104</v>
      </c>
      <c r="E93" s="2">
        <v>400</v>
      </c>
    </row>
    <row r="94" spans="1:5" x14ac:dyDescent="0.25">
      <c r="A94" s="1">
        <v>43356</v>
      </c>
      <c r="B94">
        <v>118634</v>
      </c>
      <c r="C94" t="s">
        <v>105</v>
      </c>
      <c r="D94" t="s">
        <v>104</v>
      </c>
      <c r="E94" s="2">
        <v>425</v>
      </c>
    </row>
    <row r="95" spans="1:5" x14ac:dyDescent="0.25">
      <c r="A95" s="1">
        <v>43356</v>
      </c>
      <c r="B95">
        <v>118634</v>
      </c>
      <c r="C95" t="s">
        <v>105</v>
      </c>
      <c r="D95" t="s">
        <v>104</v>
      </c>
      <c r="E95" s="2">
        <v>200</v>
      </c>
    </row>
    <row r="96" spans="1:5" x14ac:dyDescent="0.25">
      <c r="A96" s="1">
        <v>43356</v>
      </c>
      <c r="B96">
        <v>118638</v>
      </c>
      <c r="C96" t="s">
        <v>106</v>
      </c>
      <c r="D96" t="s">
        <v>424</v>
      </c>
      <c r="E96" s="2">
        <f>46.63+1436.4+2490.96+330.89+1081.61+178.98+1719.96+214.9+190.5+497.42+533.11+83.57+5602.4+330.89+330.89+1076.4+330.89</f>
        <v>16476.399999999998</v>
      </c>
    </row>
    <row r="97" spans="1:5" x14ac:dyDescent="0.25">
      <c r="A97" s="1">
        <v>43356</v>
      </c>
      <c r="B97">
        <v>118639</v>
      </c>
      <c r="C97" t="s">
        <v>107</v>
      </c>
      <c r="D97" t="s">
        <v>487</v>
      </c>
      <c r="E97" s="2">
        <v>271.5</v>
      </c>
    </row>
    <row r="98" spans="1:5" x14ac:dyDescent="0.25">
      <c r="A98" s="1">
        <v>43356</v>
      </c>
      <c r="B98">
        <v>118640</v>
      </c>
      <c r="C98" t="s">
        <v>108</v>
      </c>
      <c r="D98" t="s">
        <v>488</v>
      </c>
      <c r="E98" s="2">
        <v>4400</v>
      </c>
    </row>
    <row r="99" spans="1:5" x14ac:dyDescent="0.25">
      <c r="A99" s="1">
        <v>43356</v>
      </c>
      <c r="B99">
        <v>118641</v>
      </c>
      <c r="C99" t="s">
        <v>109</v>
      </c>
      <c r="D99" t="s">
        <v>489</v>
      </c>
      <c r="E99" s="2">
        <v>40</v>
      </c>
    </row>
    <row r="100" spans="1:5" x14ac:dyDescent="0.25">
      <c r="A100" s="1">
        <v>43356</v>
      </c>
      <c r="B100">
        <v>118642</v>
      </c>
      <c r="C100" t="s">
        <v>68</v>
      </c>
      <c r="D100" t="s">
        <v>490</v>
      </c>
      <c r="E100" s="2">
        <v>14318.88</v>
      </c>
    </row>
    <row r="101" spans="1:5" x14ac:dyDescent="0.25">
      <c r="A101" s="1">
        <v>43356</v>
      </c>
      <c r="B101">
        <v>118642</v>
      </c>
      <c r="C101" t="s">
        <v>68</v>
      </c>
      <c r="D101" t="s">
        <v>491</v>
      </c>
      <c r="E101" s="2">
        <v>125.38</v>
      </c>
    </row>
    <row r="102" spans="1:5" x14ac:dyDescent="0.25">
      <c r="A102" s="1">
        <v>43356</v>
      </c>
      <c r="B102">
        <v>118643</v>
      </c>
      <c r="C102" t="s">
        <v>110</v>
      </c>
      <c r="D102" t="s">
        <v>492</v>
      </c>
      <c r="E102" s="2">
        <v>92069.63</v>
      </c>
    </row>
    <row r="103" spans="1:5" x14ac:dyDescent="0.25">
      <c r="A103" s="1">
        <v>43356</v>
      </c>
      <c r="B103">
        <v>118644</v>
      </c>
      <c r="C103" t="s">
        <v>111</v>
      </c>
      <c r="D103" t="s">
        <v>489</v>
      </c>
      <c r="E103" s="2">
        <v>40</v>
      </c>
    </row>
    <row r="104" spans="1:5" x14ac:dyDescent="0.25">
      <c r="A104" s="1">
        <v>43356</v>
      </c>
      <c r="B104">
        <v>118645</v>
      </c>
      <c r="C104" t="s">
        <v>112</v>
      </c>
      <c r="D104" t="s">
        <v>493</v>
      </c>
      <c r="E104" s="2">
        <v>1800</v>
      </c>
    </row>
    <row r="105" spans="1:5" x14ac:dyDescent="0.25">
      <c r="A105" s="1">
        <v>43356</v>
      </c>
      <c r="B105">
        <v>118646</v>
      </c>
      <c r="C105" t="s">
        <v>113</v>
      </c>
      <c r="D105" t="s">
        <v>468</v>
      </c>
      <c r="E105" s="2">
        <v>6339</v>
      </c>
    </row>
    <row r="106" spans="1:5" x14ac:dyDescent="0.25">
      <c r="A106" s="1">
        <v>43356</v>
      </c>
      <c r="B106">
        <v>118647</v>
      </c>
      <c r="C106" t="s">
        <v>114</v>
      </c>
      <c r="D106" t="s">
        <v>494</v>
      </c>
      <c r="E106" s="2">
        <v>198</v>
      </c>
    </row>
    <row r="107" spans="1:5" x14ac:dyDescent="0.25">
      <c r="A107" s="1">
        <v>43356</v>
      </c>
      <c r="B107">
        <v>118648</v>
      </c>
      <c r="C107" t="s">
        <v>115</v>
      </c>
      <c r="D107" t="s">
        <v>489</v>
      </c>
      <c r="E107" s="2">
        <v>35</v>
      </c>
    </row>
    <row r="108" spans="1:5" x14ac:dyDescent="0.25">
      <c r="A108" s="1">
        <v>43356</v>
      </c>
      <c r="B108">
        <v>118649</v>
      </c>
      <c r="C108" t="s">
        <v>116</v>
      </c>
      <c r="D108" t="s">
        <v>117</v>
      </c>
      <c r="E108" s="2">
        <v>140</v>
      </c>
    </row>
    <row r="109" spans="1:5" x14ac:dyDescent="0.25">
      <c r="A109" s="1">
        <v>43356</v>
      </c>
      <c r="B109">
        <v>118650</v>
      </c>
      <c r="C109" t="s">
        <v>56</v>
      </c>
      <c r="D109" t="s">
        <v>495</v>
      </c>
      <c r="E109" s="2">
        <v>350</v>
      </c>
    </row>
    <row r="110" spans="1:5" x14ac:dyDescent="0.25">
      <c r="A110" s="1">
        <v>43356</v>
      </c>
      <c r="B110">
        <v>118651</v>
      </c>
      <c r="C110" t="s">
        <v>118</v>
      </c>
      <c r="D110" t="s">
        <v>119</v>
      </c>
      <c r="E110" s="2">
        <v>1590</v>
      </c>
    </row>
    <row r="111" spans="1:5" x14ac:dyDescent="0.25">
      <c r="A111" s="1">
        <v>43356</v>
      </c>
      <c r="B111">
        <v>118651</v>
      </c>
      <c r="C111" t="s">
        <v>118</v>
      </c>
      <c r="D111" t="s">
        <v>496</v>
      </c>
      <c r="E111" s="2">
        <v>19548</v>
      </c>
    </row>
    <row r="112" spans="1:5" x14ac:dyDescent="0.25">
      <c r="A112" s="1">
        <v>43356</v>
      </c>
      <c r="B112">
        <v>118652</v>
      </c>
      <c r="C112" t="s">
        <v>120</v>
      </c>
      <c r="D112" t="s">
        <v>495</v>
      </c>
      <c r="E112" s="2">
        <v>400</v>
      </c>
    </row>
    <row r="113" spans="1:5" x14ac:dyDescent="0.25">
      <c r="A113" s="1">
        <v>43356</v>
      </c>
      <c r="B113">
        <v>118653</v>
      </c>
      <c r="C113" t="s">
        <v>121</v>
      </c>
      <c r="D113" t="s">
        <v>497</v>
      </c>
      <c r="E113" s="2">
        <v>5975</v>
      </c>
    </row>
    <row r="114" spans="1:5" x14ac:dyDescent="0.25">
      <c r="A114" s="1">
        <v>43356</v>
      </c>
      <c r="B114">
        <v>118654</v>
      </c>
      <c r="C114" t="s">
        <v>122</v>
      </c>
      <c r="D114" t="s">
        <v>498</v>
      </c>
      <c r="E114" s="2">
        <v>350</v>
      </c>
    </row>
    <row r="115" spans="1:5" x14ac:dyDescent="0.25">
      <c r="A115" s="1">
        <v>43356</v>
      </c>
      <c r="B115">
        <v>118660</v>
      </c>
      <c r="C115" t="s">
        <v>123</v>
      </c>
      <c r="D115" t="s">
        <v>499</v>
      </c>
      <c r="E115" s="2">
        <v>64301.08</v>
      </c>
    </row>
    <row r="116" spans="1:5" x14ac:dyDescent="0.25">
      <c r="A116" s="1">
        <v>43356</v>
      </c>
      <c r="B116">
        <v>118660</v>
      </c>
      <c r="C116" t="s">
        <v>123</v>
      </c>
      <c r="D116" t="s">
        <v>500</v>
      </c>
      <c r="E116" s="2">
        <f>39.15+80.58+983.85+313.62+223.56+105+34.98+59.03+394.11+25.5+65+204.03</f>
        <v>2528.41</v>
      </c>
    </row>
    <row r="117" spans="1:5" x14ac:dyDescent="0.25">
      <c r="A117" s="1">
        <v>43356</v>
      </c>
      <c r="B117">
        <v>118660</v>
      </c>
      <c r="C117" t="s">
        <v>123</v>
      </c>
      <c r="D117" t="s">
        <v>501</v>
      </c>
      <c r="E117" s="2">
        <f>88.49+88.49+88.49+81.68+81.68+81.68+81.68+81.68+81.68+81.68+81.67+81.68+191.27</f>
        <v>1191.8500000000001</v>
      </c>
    </row>
    <row r="118" spans="1:5" x14ac:dyDescent="0.25">
      <c r="A118" s="1">
        <v>43356</v>
      </c>
      <c r="B118">
        <v>118661</v>
      </c>
      <c r="C118" t="s">
        <v>124</v>
      </c>
      <c r="D118" t="s">
        <v>502</v>
      </c>
      <c r="E118" s="2">
        <v>50</v>
      </c>
    </row>
    <row r="119" spans="1:5" x14ac:dyDescent="0.25">
      <c r="A119" s="1">
        <v>43356</v>
      </c>
      <c r="B119">
        <v>118664</v>
      </c>
      <c r="C119" t="s">
        <v>125</v>
      </c>
      <c r="D119" t="s">
        <v>464</v>
      </c>
      <c r="E119" s="2">
        <v>72.48</v>
      </c>
    </row>
    <row r="120" spans="1:5" x14ac:dyDescent="0.25">
      <c r="A120" s="1">
        <v>43356</v>
      </c>
      <c r="B120">
        <v>118664</v>
      </c>
      <c r="C120" t="s">
        <v>125</v>
      </c>
      <c r="D120" t="s">
        <v>7486</v>
      </c>
      <c r="E120" s="2">
        <v>122.14</v>
      </c>
    </row>
    <row r="121" spans="1:5" x14ac:dyDescent="0.25">
      <c r="A121" s="1">
        <v>43356</v>
      </c>
      <c r="B121">
        <v>118664</v>
      </c>
      <c r="C121" t="s">
        <v>125</v>
      </c>
      <c r="D121" t="s">
        <v>7487</v>
      </c>
      <c r="E121" s="2">
        <v>87.58</v>
      </c>
    </row>
    <row r="122" spans="1:5" x14ac:dyDescent="0.25">
      <c r="A122" s="1">
        <v>43356</v>
      </c>
      <c r="B122">
        <v>118664</v>
      </c>
      <c r="C122" t="s">
        <v>125</v>
      </c>
      <c r="D122" t="s">
        <v>425</v>
      </c>
      <c r="E122" s="2">
        <v>78.28</v>
      </c>
    </row>
    <row r="123" spans="1:5" x14ac:dyDescent="0.25">
      <c r="A123" s="1">
        <v>43356</v>
      </c>
      <c r="B123">
        <v>118664</v>
      </c>
      <c r="C123" t="s">
        <v>125</v>
      </c>
      <c r="D123" t="s">
        <v>7486</v>
      </c>
      <c r="E123" s="2">
        <v>26.1</v>
      </c>
    </row>
    <row r="124" spans="1:5" x14ac:dyDescent="0.25">
      <c r="A124" s="1">
        <v>43356</v>
      </c>
      <c r="B124">
        <v>118664</v>
      </c>
      <c r="C124" t="s">
        <v>125</v>
      </c>
      <c r="D124" t="s">
        <v>7488</v>
      </c>
      <c r="E124" s="2">
        <v>457.07</v>
      </c>
    </row>
    <row r="125" spans="1:5" x14ac:dyDescent="0.25">
      <c r="A125" s="1">
        <v>43356</v>
      </c>
      <c r="B125">
        <v>118664</v>
      </c>
      <c r="C125" t="s">
        <v>125</v>
      </c>
      <c r="D125" t="s">
        <v>7489</v>
      </c>
      <c r="E125" s="2">
        <f>69+1</f>
        <v>70</v>
      </c>
    </row>
    <row r="126" spans="1:5" x14ac:dyDescent="0.25">
      <c r="A126" s="1">
        <v>43356</v>
      </c>
      <c r="B126">
        <v>118664</v>
      </c>
      <c r="C126" t="s">
        <v>125</v>
      </c>
      <c r="D126" t="s">
        <v>7490</v>
      </c>
      <c r="E126" s="2">
        <v>26.34</v>
      </c>
    </row>
    <row r="127" spans="1:5" x14ac:dyDescent="0.25">
      <c r="A127" s="1">
        <v>43356</v>
      </c>
      <c r="B127">
        <v>118664</v>
      </c>
      <c r="C127" t="s">
        <v>125</v>
      </c>
      <c r="D127" t="s">
        <v>7491</v>
      </c>
      <c r="E127" s="2">
        <v>106.94</v>
      </c>
    </row>
    <row r="128" spans="1:5" x14ac:dyDescent="0.25">
      <c r="A128" s="1">
        <v>43356</v>
      </c>
      <c r="B128">
        <v>118665</v>
      </c>
      <c r="C128" t="s">
        <v>127</v>
      </c>
      <c r="D128" t="s">
        <v>128</v>
      </c>
      <c r="E128" s="2">
        <f>240.99+339.99</f>
        <v>580.98</v>
      </c>
    </row>
    <row r="129" spans="1:5" x14ac:dyDescent="0.25">
      <c r="A129" s="1">
        <v>43356</v>
      </c>
      <c r="B129">
        <v>118666</v>
      </c>
      <c r="C129" t="s">
        <v>129</v>
      </c>
      <c r="D129" t="s">
        <v>503</v>
      </c>
      <c r="E129" s="2">
        <v>4699</v>
      </c>
    </row>
    <row r="130" spans="1:5" x14ac:dyDescent="0.25">
      <c r="A130" s="1">
        <v>43356</v>
      </c>
      <c r="B130">
        <v>118667</v>
      </c>
      <c r="C130" t="s">
        <v>130</v>
      </c>
      <c r="D130" t="s">
        <v>495</v>
      </c>
      <c r="E130" s="2">
        <v>300</v>
      </c>
    </row>
    <row r="131" spans="1:5" x14ac:dyDescent="0.25">
      <c r="A131" s="1">
        <v>43356</v>
      </c>
      <c r="B131">
        <v>118668</v>
      </c>
      <c r="C131" t="s">
        <v>131</v>
      </c>
      <c r="D131" t="s">
        <v>132</v>
      </c>
      <c r="E131" s="2">
        <v>300</v>
      </c>
    </row>
    <row r="132" spans="1:5" x14ac:dyDescent="0.25">
      <c r="A132" s="1">
        <v>43356</v>
      </c>
      <c r="B132">
        <v>118669</v>
      </c>
      <c r="C132" t="s">
        <v>133</v>
      </c>
      <c r="D132" t="s">
        <v>504</v>
      </c>
      <c r="E132" s="2">
        <v>175</v>
      </c>
    </row>
    <row r="133" spans="1:5" x14ac:dyDescent="0.25">
      <c r="A133" s="1">
        <v>43356</v>
      </c>
      <c r="B133">
        <v>118670</v>
      </c>
      <c r="C133" t="s">
        <v>134</v>
      </c>
      <c r="D133" t="s">
        <v>505</v>
      </c>
      <c r="E133" s="2">
        <v>356.25</v>
      </c>
    </row>
    <row r="134" spans="1:5" x14ac:dyDescent="0.25">
      <c r="A134" s="1">
        <v>43356</v>
      </c>
      <c r="B134">
        <v>118671</v>
      </c>
      <c r="C134" t="s">
        <v>135</v>
      </c>
      <c r="D134" t="s">
        <v>426</v>
      </c>
      <c r="E134" s="2">
        <v>25</v>
      </c>
    </row>
    <row r="135" spans="1:5" x14ac:dyDescent="0.25">
      <c r="A135" s="1">
        <v>43356</v>
      </c>
      <c r="B135">
        <v>118674</v>
      </c>
      <c r="C135" t="s">
        <v>74</v>
      </c>
      <c r="D135" t="s">
        <v>427</v>
      </c>
      <c r="E135" s="2">
        <v>443.31</v>
      </c>
    </row>
    <row r="136" spans="1:5" x14ac:dyDescent="0.25">
      <c r="A136" s="1">
        <v>43356</v>
      </c>
      <c r="B136">
        <v>118674</v>
      </c>
      <c r="C136" t="s">
        <v>74</v>
      </c>
      <c r="D136" t="s">
        <v>136</v>
      </c>
      <c r="E136" s="2">
        <v>263.83999999999997</v>
      </c>
    </row>
    <row r="137" spans="1:5" x14ac:dyDescent="0.25">
      <c r="A137" s="1">
        <v>43356</v>
      </c>
      <c r="B137">
        <v>118674</v>
      </c>
      <c r="C137" t="s">
        <v>74</v>
      </c>
      <c r="D137" t="s">
        <v>137</v>
      </c>
      <c r="E137" s="2">
        <v>589.07000000000005</v>
      </c>
    </row>
    <row r="138" spans="1:5" x14ac:dyDescent="0.25">
      <c r="A138" s="1">
        <v>43356</v>
      </c>
      <c r="B138">
        <v>118674</v>
      </c>
      <c r="C138" t="s">
        <v>74</v>
      </c>
      <c r="D138" t="s">
        <v>138</v>
      </c>
      <c r="E138" s="2">
        <v>210.87</v>
      </c>
    </row>
    <row r="139" spans="1:5" x14ac:dyDescent="0.25">
      <c r="A139" s="1">
        <v>43356</v>
      </c>
      <c r="B139">
        <v>118674</v>
      </c>
      <c r="C139" t="s">
        <v>74</v>
      </c>
      <c r="D139" t="s">
        <v>428</v>
      </c>
      <c r="E139" s="2">
        <v>74.75</v>
      </c>
    </row>
    <row r="140" spans="1:5" x14ac:dyDescent="0.25">
      <c r="A140" s="1">
        <v>43356</v>
      </c>
      <c r="B140">
        <v>118674</v>
      </c>
      <c r="C140" t="s">
        <v>74</v>
      </c>
      <c r="D140" t="s">
        <v>139</v>
      </c>
      <c r="E140" s="2">
        <v>1878.5</v>
      </c>
    </row>
    <row r="141" spans="1:5" x14ac:dyDescent="0.25">
      <c r="A141" s="1">
        <v>43356</v>
      </c>
      <c r="B141">
        <v>118674</v>
      </c>
      <c r="C141" t="s">
        <v>74</v>
      </c>
      <c r="D141" t="s">
        <v>140</v>
      </c>
      <c r="E141" s="2">
        <v>182.9</v>
      </c>
    </row>
    <row r="142" spans="1:5" x14ac:dyDescent="0.25">
      <c r="A142" s="1">
        <v>43356</v>
      </c>
      <c r="B142">
        <v>118674</v>
      </c>
      <c r="C142" t="s">
        <v>74</v>
      </c>
      <c r="D142" t="s">
        <v>506</v>
      </c>
      <c r="E142" s="2">
        <v>190.5</v>
      </c>
    </row>
    <row r="143" spans="1:5" x14ac:dyDescent="0.25">
      <c r="A143" s="1">
        <v>43356</v>
      </c>
      <c r="B143">
        <v>118674</v>
      </c>
      <c r="C143" t="s">
        <v>74</v>
      </c>
      <c r="D143" t="s">
        <v>7492</v>
      </c>
      <c r="E143" s="2">
        <v>2097.89</v>
      </c>
    </row>
    <row r="144" spans="1:5" x14ac:dyDescent="0.25">
      <c r="A144" s="1">
        <v>43356</v>
      </c>
      <c r="B144">
        <v>118674</v>
      </c>
      <c r="C144" t="s">
        <v>74</v>
      </c>
      <c r="D144" t="s">
        <v>140</v>
      </c>
      <c r="E144" s="2">
        <v>41.99</v>
      </c>
    </row>
    <row r="145" spans="1:5" x14ac:dyDescent="0.25">
      <c r="A145" s="1">
        <v>43356</v>
      </c>
      <c r="B145">
        <v>118674</v>
      </c>
      <c r="C145" t="s">
        <v>74</v>
      </c>
      <c r="D145" t="s">
        <v>141</v>
      </c>
      <c r="E145" s="2">
        <v>1445</v>
      </c>
    </row>
    <row r="146" spans="1:5" x14ac:dyDescent="0.25">
      <c r="A146" s="1">
        <v>43356</v>
      </c>
      <c r="B146">
        <v>118675</v>
      </c>
      <c r="C146" t="s">
        <v>142</v>
      </c>
      <c r="D146" t="s">
        <v>143</v>
      </c>
      <c r="E146" s="2">
        <v>25.5</v>
      </c>
    </row>
    <row r="147" spans="1:5" x14ac:dyDescent="0.25">
      <c r="A147" s="1">
        <v>43356</v>
      </c>
      <c r="B147">
        <v>118676</v>
      </c>
      <c r="C147" t="s">
        <v>144</v>
      </c>
      <c r="D147" t="s">
        <v>7494</v>
      </c>
      <c r="E147" s="2">
        <v>406</v>
      </c>
    </row>
    <row r="148" spans="1:5" x14ac:dyDescent="0.25">
      <c r="A148" s="1">
        <v>43356</v>
      </c>
      <c r="B148">
        <v>118677</v>
      </c>
      <c r="C148" t="s">
        <v>145</v>
      </c>
      <c r="D148" t="s">
        <v>495</v>
      </c>
      <c r="E148" s="2">
        <v>400</v>
      </c>
    </row>
    <row r="149" spans="1:5" x14ac:dyDescent="0.25">
      <c r="A149" s="1">
        <v>43356</v>
      </c>
      <c r="B149">
        <v>118678</v>
      </c>
      <c r="C149" t="s">
        <v>146</v>
      </c>
      <c r="D149" t="s">
        <v>7493</v>
      </c>
      <c r="E149" s="2">
        <v>122.16</v>
      </c>
    </row>
    <row r="150" spans="1:5" x14ac:dyDescent="0.25">
      <c r="A150" s="1">
        <v>43356</v>
      </c>
      <c r="B150">
        <v>118679</v>
      </c>
      <c r="C150" t="s">
        <v>147</v>
      </c>
      <c r="D150" t="s">
        <v>507</v>
      </c>
      <c r="E150" s="2">
        <v>900</v>
      </c>
    </row>
    <row r="151" spans="1:5" x14ac:dyDescent="0.25">
      <c r="A151" s="1">
        <v>43356</v>
      </c>
      <c r="B151">
        <v>118680</v>
      </c>
      <c r="C151" t="s">
        <v>148</v>
      </c>
      <c r="D151" t="s">
        <v>508</v>
      </c>
      <c r="E151" s="2">
        <v>1617</v>
      </c>
    </row>
    <row r="152" spans="1:5" x14ac:dyDescent="0.25">
      <c r="A152" s="1">
        <v>43356</v>
      </c>
      <c r="B152">
        <v>118681</v>
      </c>
      <c r="C152" t="s">
        <v>50</v>
      </c>
      <c r="D152" t="s">
        <v>467</v>
      </c>
      <c r="E152" s="2">
        <v>4550</v>
      </c>
    </row>
    <row r="153" spans="1:5" x14ac:dyDescent="0.25">
      <c r="A153" s="1">
        <v>43356</v>
      </c>
      <c r="B153">
        <v>118682</v>
      </c>
      <c r="C153" t="s">
        <v>149</v>
      </c>
      <c r="D153" t="s">
        <v>509</v>
      </c>
      <c r="E153" s="2">
        <v>3000</v>
      </c>
    </row>
    <row r="154" spans="1:5" x14ac:dyDescent="0.25">
      <c r="A154" s="1">
        <v>43356</v>
      </c>
      <c r="B154">
        <v>118683</v>
      </c>
      <c r="C154" t="s">
        <v>51</v>
      </c>
      <c r="D154" t="s">
        <v>150</v>
      </c>
      <c r="E154" s="2">
        <v>121.99</v>
      </c>
    </row>
    <row r="155" spans="1:5" x14ac:dyDescent="0.25">
      <c r="A155" s="1">
        <v>43356</v>
      </c>
      <c r="B155">
        <v>118684</v>
      </c>
      <c r="C155" t="s">
        <v>151</v>
      </c>
      <c r="D155" t="s">
        <v>495</v>
      </c>
      <c r="E155" s="2">
        <v>350</v>
      </c>
    </row>
    <row r="156" spans="1:5" x14ac:dyDescent="0.25">
      <c r="A156" s="1">
        <v>43356</v>
      </c>
      <c r="B156">
        <v>118685</v>
      </c>
      <c r="C156" t="s">
        <v>152</v>
      </c>
      <c r="D156" t="s">
        <v>495</v>
      </c>
      <c r="E156" s="2">
        <v>200</v>
      </c>
    </row>
    <row r="157" spans="1:5" x14ac:dyDescent="0.25">
      <c r="A157" s="1">
        <v>43356</v>
      </c>
      <c r="B157">
        <v>118686</v>
      </c>
      <c r="C157" t="s">
        <v>80</v>
      </c>
      <c r="D157" t="s">
        <v>153</v>
      </c>
      <c r="E157" s="2">
        <v>57.18</v>
      </c>
    </row>
    <row r="158" spans="1:5" x14ac:dyDescent="0.25">
      <c r="A158" s="1">
        <v>43356</v>
      </c>
      <c r="B158">
        <v>118687</v>
      </c>
      <c r="C158" t="s">
        <v>154</v>
      </c>
      <c r="D158" t="s">
        <v>155</v>
      </c>
      <c r="E158" s="2">
        <v>539</v>
      </c>
    </row>
    <row r="159" spans="1:5" x14ac:dyDescent="0.25">
      <c r="A159" s="1">
        <v>43356</v>
      </c>
      <c r="B159">
        <v>118688</v>
      </c>
      <c r="C159" t="s">
        <v>156</v>
      </c>
      <c r="D159" t="s">
        <v>157</v>
      </c>
      <c r="E159" s="2">
        <v>157.5</v>
      </c>
    </row>
    <row r="160" spans="1:5" x14ac:dyDescent="0.25">
      <c r="A160" s="1">
        <v>43356</v>
      </c>
      <c r="B160">
        <v>118689</v>
      </c>
      <c r="C160" t="s">
        <v>158</v>
      </c>
      <c r="D160" t="s">
        <v>159</v>
      </c>
      <c r="E160" s="2">
        <v>977.6</v>
      </c>
    </row>
    <row r="161" spans="1:5" x14ac:dyDescent="0.25">
      <c r="A161" s="1">
        <v>43356</v>
      </c>
      <c r="B161">
        <v>118691</v>
      </c>
      <c r="C161" t="s">
        <v>160</v>
      </c>
      <c r="D161" t="s">
        <v>510</v>
      </c>
      <c r="E161" s="2">
        <v>102989.5</v>
      </c>
    </row>
    <row r="162" spans="1:5" x14ac:dyDescent="0.25">
      <c r="A162" s="1">
        <v>43356</v>
      </c>
      <c r="B162">
        <v>118692</v>
      </c>
      <c r="C162" t="s">
        <v>161</v>
      </c>
      <c r="D162" t="s">
        <v>511</v>
      </c>
      <c r="E162" s="2">
        <v>1700</v>
      </c>
    </row>
    <row r="163" spans="1:5" x14ac:dyDescent="0.25">
      <c r="A163" s="1">
        <v>43356</v>
      </c>
      <c r="B163">
        <v>118693</v>
      </c>
      <c r="C163" t="s">
        <v>162</v>
      </c>
      <c r="D163" t="s">
        <v>512</v>
      </c>
      <c r="E163" s="2">
        <v>705.07</v>
      </c>
    </row>
    <row r="164" spans="1:5" x14ac:dyDescent="0.25">
      <c r="A164" s="1">
        <v>43356</v>
      </c>
      <c r="B164">
        <v>118693</v>
      </c>
      <c r="C164" t="s">
        <v>162</v>
      </c>
      <c r="D164" t="s">
        <v>163</v>
      </c>
      <c r="E164" s="2">
        <v>1419</v>
      </c>
    </row>
    <row r="165" spans="1:5" x14ac:dyDescent="0.25">
      <c r="A165" s="1">
        <v>43356</v>
      </c>
      <c r="B165">
        <v>118694</v>
      </c>
      <c r="C165" t="s">
        <v>164</v>
      </c>
      <c r="D165" t="s">
        <v>165</v>
      </c>
      <c r="E165" s="2">
        <v>1785</v>
      </c>
    </row>
    <row r="166" spans="1:5" x14ac:dyDescent="0.25">
      <c r="A166" s="1">
        <v>43356</v>
      </c>
      <c r="B166">
        <v>118694</v>
      </c>
      <c r="C166" t="s">
        <v>164</v>
      </c>
      <c r="D166" t="s">
        <v>513</v>
      </c>
      <c r="E166" s="2">
        <v>1025</v>
      </c>
    </row>
    <row r="167" spans="1:5" x14ac:dyDescent="0.25">
      <c r="A167" s="1">
        <v>43356</v>
      </c>
      <c r="B167">
        <v>118695</v>
      </c>
      <c r="C167" t="s">
        <v>166</v>
      </c>
      <c r="D167" t="s">
        <v>511</v>
      </c>
      <c r="E167" s="2">
        <v>295</v>
      </c>
    </row>
    <row r="168" spans="1:5" x14ac:dyDescent="0.25">
      <c r="A168" s="1">
        <v>43356</v>
      </c>
      <c r="B168">
        <v>118696</v>
      </c>
      <c r="C168" t="s">
        <v>167</v>
      </c>
      <c r="D168" t="s">
        <v>511</v>
      </c>
      <c r="E168" s="2">
        <v>750</v>
      </c>
    </row>
    <row r="169" spans="1:5" x14ac:dyDescent="0.25">
      <c r="A169" s="1">
        <v>43356</v>
      </c>
      <c r="B169">
        <v>118697</v>
      </c>
      <c r="C169" t="s">
        <v>168</v>
      </c>
      <c r="D169" t="s">
        <v>511</v>
      </c>
      <c r="E169" s="2">
        <v>130</v>
      </c>
    </row>
    <row r="170" spans="1:5" x14ac:dyDescent="0.25">
      <c r="A170" s="1">
        <v>43356</v>
      </c>
      <c r="B170">
        <v>118699</v>
      </c>
      <c r="C170" t="s">
        <v>169</v>
      </c>
      <c r="D170" t="s">
        <v>7495</v>
      </c>
      <c r="E170" s="2">
        <f>2900+4600</f>
        <v>7500</v>
      </c>
    </row>
    <row r="171" spans="1:5" x14ac:dyDescent="0.25">
      <c r="A171" s="1">
        <v>43356</v>
      </c>
      <c r="B171">
        <v>118701</v>
      </c>
      <c r="C171" t="s">
        <v>170</v>
      </c>
      <c r="D171" t="s">
        <v>511</v>
      </c>
      <c r="E171" s="2">
        <f>375*9</f>
        <v>3375</v>
      </c>
    </row>
    <row r="172" spans="1:5" x14ac:dyDescent="0.25">
      <c r="A172" s="1">
        <v>43356</v>
      </c>
      <c r="B172">
        <v>118702</v>
      </c>
      <c r="C172" t="s">
        <v>171</v>
      </c>
      <c r="D172" t="s">
        <v>511</v>
      </c>
      <c r="E172" s="2">
        <v>150</v>
      </c>
    </row>
    <row r="173" spans="1:5" x14ac:dyDescent="0.25">
      <c r="A173" s="1">
        <v>43356</v>
      </c>
      <c r="B173">
        <v>118703</v>
      </c>
      <c r="C173" t="s">
        <v>172</v>
      </c>
      <c r="D173" t="s">
        <v>173</v>
      </c>
      <c r="E173" s="2">
        <v>350</v>
      </c>
    </row>
    <row r="174" spans="1:5" x14ac:dyDescent="0.25">
      <c r="A174" s="1">
        <v>43356</v>
      </c>
      <c r="B174">
        <v>118704</v>
      </c>
      <c r="C174" t="s">
        <v>174</v>
      </c>
      <c r="D174" t="s">
        <v>175</v>
      </c>
      <c r="E174" s="2">
        <v>1941.06</v>
      </c>
    </row>
    <row r="175" spans="1:5" x14ac:dyDescent="0.25">
      <c r="A175" s="1">
        <v>43356</v>
      </c>
      <c r="B175">
        <v>118705</v>
      </c>
      <c r="C175" t="s">
        <v>176</v>
      </c>
      <c r="D175" t="s">
        <v>177</v>
      </c>
      <c r="E175" s="2">
        <v>1825</v>
      </c>
    </row>
    <row r="176" spans="1:5" x14ac:dyDescent="0.25">
      <c r="A176" s="1">
        <v>43356</v>
      </c>
      <c r="B176">
        <v>118706</v>
      </c>
      <c r="C176" t="s">
        <v>178</v>
      </c>
      <c r="D176" t="s">
        <v>514</v>
      </c>
      <c r="E176" s="2">
        <v>5000</v>
      </c>
    </row>
    <row r="177" spans="1:5" x14ac:dyDescent="0.25">
      <c r="A177" s="1">
        <v>43356</v>
      </c>
      <c r="B177">
        <v>118707</v>
      </c>
      <c r="C177" t="s">
        <v>179</v>
      </c>
      <c r="D177" t="s">
        <v>180</v>
      </c>
      <c r="E177" s="2">
        <v>735.54</v>
      </c>
    </row>
    <row r="178" spans="1:5" x14ac:dyDescent="0.25">
      <c r="A178" s="1">
        <v>43356</v>
      </c>
      <c r="B178">
        <v>118708</v>
      </c>
      <c r="C178" t="s">
        <v>181</v>
      </c>
      <c r="D178" t="s">
        <v>182</v>
      </c>
      <c r="E178" s="2">
        <v>1709.55</v>
      </c>
    </row>
    <row r="179" spans="1:5" x14ac:dyDescent="0.25">
      <c r="A179" s="1">
        <v>43356</v>
      </c>
      <c r="B179">
        <v>118709</v>
      </c>
      <c r="C179" t="s">
        <v>183</v>
      </c>
      <c r="D179" t="s">
        <v>515</v>
      </c>
      <c r="E179" s="2">
        <v>450</v>
      </c>
    </row>
    <row r="180" spans="1:5" x14ac:dyDescent="0.25">
      <c r="A180" s="1">
        <v>43356</v>
      </c>
      <c r="B180">
        <v>118710</v>
      </c>
      <c r="C180" t="s">
        <v>184</v>
      </c>
      <c r="D180" t="s">
        <v>423</v>
      </c>
      <c r="E180" s="2">
        <v>27.57</v>
      </c>
    </row>
    <row r="181" spans="1:5" x14ac:dyDescent="0.25">
      <c r="A181" s="1">
        <v>43360</v>
      </c>
      <c r="B181">
        <v>118711</v>
      </c>
      <c r="C181" t="s">
        <v>185</v>
      </c>
      <c r="D181" t="s">
        <v>186</v>
      </c>
      <c r="E181" s="2">
        <v>22756</v>
      </c>
    </row>
    <row r="182" spans="1:5" x14ac:dyDescent="0.25">
      <c r="A182" s="1">
        <v>43360</v>
      </c>
      <c r="B182">
        <v>118712</v>
      </c>
      <c r="C182" t="s">
        <v>185</v>
      </c>
      <c r="D182" t="s">
        <v>187</v>
      </c>
      <c r="E182" s="2">
        <f>9831+2500</f>
        <v>12331</v>
      </c>
    </row>
    <row r="183" spans="1:5" x14ac:dyDescent="0.25">
      <c r="A183" s="1">
        <v>43362</v>
      </c>
      <c r="B183">
        <v>118713</v>
      </c>
      <c r="C183" t="s">
        <v>188</v>
      </c>
      <c r="D183" t="s">
        <v>194</v>
      </c>
      <c r="E183" s="2">
        <v>351</v>
      </c>
    </row>
    <row r="184" spans="1:5" x14ac:dyDescent="0.25">
      <c r="A184" s="1">
        <v>43362</v>
      </c>
      <c r="B184">
        <v>118714</v>
      </c>
      <c r="C184" t="s">
        <v>64</v>
      </c>
      <c r="D184" t="s">
        <v>516</v>
      </c>
      <c r="E184" s="2">
        <v>105</v>
      </c>
    </row>
    <row r="185" spans="1:5" x14ac:dyDescent="0.25">
      <c r="A185" s="1">
        <v>43362</v>
      </c>
      <c r="B185">
        <v>118716</v>
      </c>
      <c r="C185" t="s">
        <v>189</v>
      </c>
      <c r="D185" t="s">
        <v>190</v>
      </c>
      <c r="E185" s="2">
        <v>24.44</v>
      </c>
    </row>
    <row r="186" spans="1:5" x14ac:dyDescent="0.25">
      <c r="A186" s="1">
        <v>43362</v>
      </c>
      <c r="B186">
        <v>118716</v>
      </c>
      <c r="C186" t="s">
        <v>189</v>
      </c>
      <c r="D186" t="s">
        <v>190</v>
      </c>
      <c r="E186" s="2">
        <v>44.98</v>
      </c>
    </row>
    <row r="187" spans="1:5" x14ac:dyDescent="0.25">
      <c r="A187" s="1">
        <v>43362</v>
      </c>
      <c r="B187">
        <v>118716</v>
      </c>
      <c r="C187" t="s">
        <v>189</v>
      </c>
      <c r="D187" t="s">
        <v>191</v>
      </c>
      <c r="E187" s="2">
        <v>55.81</v>
      </c>
    </row>
    <row r="188" spans="1:5" x14ac:dyDescent="0.25">
      <c r="A188" s="1">
        <v>43362</v>
      </c>
      <c r="B188">
        <v>118716</v>
      </c>
      <c r="C188" t="s">
        <v>189</v>
      </c>
      <c r="D188" t="s">
        <v>192</v>
      </c>
      <c r="E188" s="2">
        <v>58.65</v>
      </c>
    </row>
    <row r="189" spans="1:5" x14ac:dyDescent="0.25">
      <c r="A189" s="1">
        <v>43362</v>
      </c>
      <c r="B189">
        <v>118716</v>
      </c>
      <c r="C189" t="s">
        <v>189</v>
      </c>
      <c r="D189" t="s">
        <v>193</v>
      </c>
      <c r="E189" s="2">
        <v>319.45</v>
      </c>
    </row>
    <row r="190" spans="1:5" x14ac:dyDescent="0.25">
      <c r="A190" s="1">
        <v>43362</v>
      </c>
      <c r="B190">
        <v>118716</v>
      </c>
      <c r="C190" t="s">
        <v>189</v>
      </c>
      <c r="D190" t="s">
        <v>194</v>
      </c>
      <c r="E190" s="2">
        <v>38.97</v>
      </c>
    </row>
    <row r="191" spans="1:5" x14ac:dyDescent="0.25">
      <c r="A191" s="1">
        <v>43362</v>
      </c>
      <c r="B191">
        <v>118716</v>
      </c>
      <c r="C191" t="s">
        <v>189</v>
      </c>
      <c r="D191" t="s">
        <v>194</v>
      </c>
      <c r="E191" s="2">
        <v>244.57</v>
      </c>
    </row>
    <row r="192" spans="1:5" x14ac:dyDescent="0.25">
      <c r="A192" s="1">
        <v>43362</v>
      </c>
      <c r="B192">
        <v>118717</v>
      </c>
      <c r="C192" t="s">
        <v>195</v>
      </c>
      <c r="D192" t="s">
        <v>196</v>
      </c>
      <c r="E192" s="2">
        <v>500</v>
      </c>
    </row>
    <row r="193" spans="1:5" x14ac:dyDescent="0.25">
      <c r="A193" s="1">
        <v>43362</v>
      </c>
      <c r="B193">
        <v>118718</v>
      </c>
      <c r="C193" t="s">
        <v>67</v>
      </c>
      <c r="D193" t="s">
        <v>517</v>
      </c>
      <c r="E193" s="2">
        <v>375.38</v>
      </c>
    </row>
    <row r="194" spans="1:5" x14ac:dyDescent="0.25">
      <c r="A194" s="1">
        <v>43362</v>
      </c>
      <c r="B194">
        <v>118718</v>
      </c>
      <c r="C194" t="s">
        <v>67</v>
      </c>
      <c r="D194" t="s">
        <v>518</v>
      </c>
      <c r="E194" s="2">
        <v>893.5</v>
      </c>
    </row>
    <row r="195" spans="1:5" x14ac:dyDescent="0.25">
      <c r="A195" s="1">
        <v>43362</v>
      </c>
      <c r="B195">
        <v>118719</v>
      </c>
      <c r="C195" t="s">
        <v>197</v>
      </c>
      <c r="D195" t="s">
        <v>519</v>
      </c>
      <c r="E195" s="2">
        <v>108.79</v>
      </c>
    </row>
    <row r="196" spans="1:5" x14ac:dyDescent="0.25">
      <c r="A196" s="1">
        <v>43362</v>
      </c>
      <c r="B196">
        <v>118720</v>
      </c>
      <c r="C196" t="s">
        <v>198</v>
      </c>
      <c r="D196" t="s">
        <v>520</v>
      </c>
      <c r="E196" s="2">
        <v>480</v>
      </c>
    </row>
    <row r="197" spans="1:5" x14ac:dyDescent="0.25">
      <c r="A197" s="1">
        <v>43362</v>
      </c>
      <c r="B197">
        <v>118721</v>
      </c>
      <c r="C197" t="s">
        <v>199</v>
      </c>
      <c r="D197" t="s">
        <v>200</v>
      </c>
      <c r="E197" s="2">
        <v>1200</v>
      </c>
    </row>
    <row r="198" spans="1:5" x14ac:dyDescent="0.25">
      <c r="A198" s="1">
        <v>43362</v>
      </c>
      <c r="B198">
        <v>118722</v>
      </c>
      <c r="C198" t="s">
        <v>72</v>
      </c>
      <c r="D198" t="s">
        <v>258</v>
      </c>
      <c r="E198" s="2">
        <v>191.9</v>
      </c>
    </row>
    <row r="199" spans="1:5" x14ac:dyDescent="0.25">
      <c r="A199" s="1">
        <v>43362</v>
      </c>
      <c r="B199">
        <v>118723</v>
      </c>
      <c r="C199" t="s">
        <v>201</v>
      </c>
      <c r="D199" t="s">
        <v>202</v>
      </c>
      <c r="E199" s="2">
        <v>15</v>
      </c>
    </row>
    <row r="200" spans="1:5" x14ac:dyDescent="0.25">
      <c r="A200" s="1">
        <v>43362</v>
      </c>
      <c r="B200">
        <v>118724</v>
      </c>
      <c r="C200" t="s">
        <v>203</v>
      </c>
      <c r="D200" t="s">
        <v>204</v>
      </c>
      <c r="E200" s="2">
        <v>20</v>
      </c>
    </row>
    <row r="201" spans="1:5" x14ac:dyDescent="0.25">
      <c r="A201" s="1">
        <v>43362</v>
      </c>
      <c r="B201">
        <v>118725</v>
      </c>
      <c r="C201" t="s">
        <v>205</v>
      </c>
      <c r="D201" t="s">
        <v>206</v>
      </c>
      <c r="E201" s="2">
        <v>36.94</v>
      </c>
    </row>
    <row r="202" spans="1:5" x14ac:dyDescent="0.25">
      <c r="A202" s="1">
        <v>43362</v>
      </c>
      <c r="B202">
        <v>118725</v>
      </c>
      <c r="C202" t="s">
        <v>205</v>
      </c>
      <c r="D202" t="s">
        <v>207</v>
      </c>
      <c r="E202" s="2">
        <v>198.66</v>
      </c>
    </row>
    <row r="203" spans="1:5" x14ac:dyDescent="0.25">
      <c r="A203" s="1">
        <v>43362</v>
      </c>
      <c r="B203">
        <v>118726</v>
      </c>
      <c r="C203" t="s">
        <v>14</v>
      </c>
      <c r="D203" t="s">
        <v>208</v>
      </c>
      <c r="E203" s="2">
        <v>875.42</v>
      </c>
    </row>
    <row r="204" spans="1:5" x14ac:dyDescent="0.25">
      <c r="A204" s="1">
        <v>43362</v>
      </c>
      <c r="B204">
        <v>118726</v>
      </c>
      <c r="C204" t="s">
        <v>14</v>
      </c>
      <c r="D204" t="s">
        <v>209</v>
      </c>
      <c r="E204" s="2">
        <v>400.08</v>
      </c>
    </row>
    <row r="205" spans="1:5" x14ac:dyDescent="0.25">
      <c r="A205" s="1">
        <v>43362</v>
      </c>
      <c r="B205">
        <v>118726</v>
      </c>
      <c r="C205" t="s">
        <v>14</v>
      </c>
      <c r="D205" t="s">
        <v>210</v>
      </c>
      <c r="E205" s="2">
        <v>1276.73</v>
      </c>
    </row>
    <row r="206" spans="1:5" x14ac:dyDescent="0.25">
      <c r="A206" s="1">
        <v>43362</v>
      </c>
      <c r="B206">
        <v>118726</v>
      </c>
      <c r="C206" t="s">
        <v>14</v>
      </c>
      <c r="D206" t="s">
        <v>15</v>
      </c>
      <c r="E206" s="2">
        <v>27.03</v>
      </c>
    </row>
    <row r="207" spans="1:5" x14ac:dyDescent="0.25">
      <c r="A207" s="1">
        <v>43362</v>
      </c>
      <c r="B207">
        <v>118727</v>
      </c>
      <c r="C207" t="s">
        <v>211</v>
      </c>
      <c r="D207" t="s">
        <v>212</v>
      </c>
      <c r="E207" s="2">
        <v>167.5</v>
      </c>
    </row>
    <row r="208" spans="1:5" x14ac:dyDescent="0.25">
      <c r="A208" s="1">
        <v>43362</v>
      </c>
      <c r="B208">
        <v>118728</v>
      </c>
      <c r="C208" t="s">
        <v>213</v>
      </c>
      <c r="D208" t="s">
        <v>214</v>
      </c>
      <c r="E208" s="2">
        <v>279.39999999999998</v>
      </c>
    </row>
    <row r="209" spans="1:5" x14ac:dyDescent="0.25">
      <c r="A209" s="1">
        <v>43362</v>
      </c>
      <c r="B209">
        <v>118729</v>
      </c>
      <c r="C209" t="s">
        <v>215</v>
      </c>
      <c r="D209" t="s">
        <v>216</v>
      </c>
      <c r="E209" s="2">
        <v>55</v>
      </c>
    </row>
    <row r="210" spans="1:5" x14ac:dyDescent="0.25">
      <c r="A210" s="1">
        <v>43362</v>
      </c>
      <c r="B210">
        <v>118730</v>
      </c>
      <c r="C210" t="s">
        <v>217</v>
      </c>
      <c r="D210" t="s">
        <v>218</v>
      </c>
      <c r="E210" s="2">
        <v>118.15</v>
      </c>
    </row>
    <row r="211" spans="1:5" x14ac:dyDescent="0.25">
      <c r="A211" s="1">
        <v>43362</v>
      </c>
      <c r="B211">
        <v>118731</v>
      </c>
      <c r="C211" t="s">
        <v>219</v>
      </c>
      <c r="D211" t="s">
        <v>220</v>
      </c>
      <c r="E211" s="2">
        <v>960</v>
      </c>
    </row>
    <row r="212" spans="1:5" x14ac:dyDescent="0.25">
      <c r="A212" s="1">
        <v>43362</v>
      </c>
      <c r="B212">
        <v>118732</v>
      </c>
      <c r="C212" t="s">
        <v>221</v>
      </c>
      <c r="D212" t="s">
        <v>429</v>
      </c>
      <c r="E212" s="2">
        <v>150</v>
      </c>
    </row>
    <row r="213" spans="1:5" x14ac:dyDescent="0.25">
      <c r="A213" s="1">
        <v>43362</v>
      </c>
      <c r="B213">
        <v>118735</v>
      </c>
      <c r="C213" t="s">
        <v>222</v>
      </c>
      <c r="D213" t="s">
        <v>521</v>
      </c>
      <c r="E213" s="2">
        <v>92.74</v>
      </c>
    </row>
    <row r="214" spans="1:5" x14ac:dyDescent="0.25">
      <c r="A214" s="1">
        <v>43362</v>
      </c>
      <c r="B214">
        <v>118735</v>
      </c>
      <c r="C214" t="s">
        <v>222</v>
      </c>
      <c r="D214" t="s">
        <v>464</v>
      </c>
      <c r="E214" s="2">
        <v>49.64</v>
      </c>
    </row>
    <row r="215" spans="1:5" x14ac:dyDescent="0.25">
      <c r="A215" s="1">
        <v>43362</v>
      </c>
      <c r="B215">
        <v>118735</v>
      </c>
      <c r="C215" t="s">
        <v>222</v>
      </c>
      <c r="D215" t="s">
        <v>522</v>
      </c>
      <c r="E215" s="2">
        <v>121.52</v>
      </c>
    </row>
    <row r="216" spans="1:5" x14ac:dyDescent="0.25">
      <c r="A216" s="1">
        <v>43362</v>
      </c>
      <c r="B216">
        <v>118735</v>
      </c>
      <c r="C216" t="s">
        <v>222</v>
      </c>
      <c r="D216" t="s">
        <v>522</v>
      </c>
      <c r="E216" s="2">
        <v>170.78</v>
      </c>
    </row>
    <row r="217" spans="1:5" x14ac:dyDescent="0.25">
      <c r="A217" s="1">
        <v>43362</v>
      </c>
      <c r="B217">
        <v>118735</v>
      </c>
      <c r="C217" t="s">
        <v>222</v>
      </c>
      <c r="D217" t="s">
        <v>523</v>
      </c>
      <c r="E217" s="2">
        <v>47.83</v>
      </c>
    </row>
    <row r="218" spans="1:5" x14ac:dyDescent="0.25">
      <c r="A218" s="1">
        <v>43362</v>
      </c>
      <c r="B218">
        <v>118735</v>
      </c>
      <c r="C218" t="s">
        <v>222</v>
      </c>
      <c r="D218" t="s">
        <v>430</v>
      </c>
      <c r="E218" s="2">
        <v>86.3</v>
      </c>
    </row>
    <row r="219" spans="1:5" x14ac:dyDescent="0.25">
      <c r="A219" s="1">
        <v>43362</v>
      </c>
      <c r="B219">
        <v>118735</v>
      </c>
      <c r="C219" t="s">
        <v>222</v>
      </c>
      <c r="D219" t="s">
        <v>431</v>
      </c>
      <c r="E219" s="2">
        <v>84.63</v>
      </c>
    </row>
    <row r="220" spans="1:5" x14ac:dyDescent="0.25">
      <c r="A220" s="1">
        <v>43362</v>
      </c>
      <c r="B220">
        <v>118735</v>
      </c>
      <c r="C220" t="s">
        <v>222</v>
      </c>
      <c r="D220" t="s">
        <v>432</v>
      </c>
      <c r="E220" s="2">
        <v>80.7</v>
      </c>
    </row>
    <row r="221" spans="1:5" x14ac:dyDescent="0.25">
      <c r="A221" s="1">
        <v>43362</v>
      </c>
      <c r="B221">
        <v>118735</v>
      </c>
      <c r="C221" t="s">
        <v>222</v>
      </c>
      <c r="D221" t="s">
        <v>7496</v>
      </c>
      <c r="E221" s="2">
        <v>100</v>
      </c>
    </row>
    <row r="222" spans="1:5" x14ac:dyDescent="0.25">
      <c r="A222" s="1">
        <v>43362</v>
      </c>
      <c r="B222">
        <v>118735</v>
      </c>
      <c r="C222" t="s">
        <v>222</v>
      </c>
      <c r="D222" t="s">
        <v>485</v>
      </c>
      <c r="E222" s="2">
        <v>43.41</v>
      </c>
    </row>
    <row r="223" spans="1:5" x14ac:dyDescent="0.25">
      <c r="A223" s="1">
        <v>43362</v>
      </c>
      <c r="B223">
        <v>118735</v>
      </c>
      <c r="C223" t="s">
        <v>222</v>
      </c>
      <c r="D223" t="s">
        <v>524</v>
      </c>
      <c r="E223" s="2">
        <v>94.7</v>
      </c>
    </row>
    <row r="224" spans="1:5" x14ac:dyDescent="0.25">
      <c r="A224" s="1">
        <v>43362</v>
      </c>
      <c r="B224">
        <v>118736</v>
      </c>
      <c r="C224" t="s">
        <v>19</v>
      </c>
      <c r="D224" t="s">
        <v>223</v>
      </c>
      <c r="E224" s="2">
        <v>1305.5</v>
      </c>
    </row>
    <row r="225" spans="1:5" x14ac:dyDescent="0.25">
      <c r="A225" s="1">
        <v>43362</v>
      </c>
      <c r="B225">
        <v>118736</v>
      </c>
      <c r="C225" t="s">
        <v>19</v>
      </c>
      <c r="D225" t="s">
        <v>224</v>
      </c>
      <c r="E225" s="2">
        <v>365.05</v>
      </c>
    </row>
    <row r="226" spans="1:5" x14ac:dyDescent="0.25">
      <c r="A226" s="1">
        <v>43362</v>
      </c>
      <c r="B226">
        <v>118737</v>
      </c>
      <c r="C226" t="s">
        <v>225</v>
      </c>
      <c r="D226" t="s">
        <v>525</v>
      </c>
      <c r="E226" s="2">
        <v>6600</v>
      </c>
    </row>
    <row r="227" spans="1:5" x14ac:dyDescent="0.25">
      <c r="A227" s="1">
        <v>43362</v>
      </c>
      <c r="B227">
        <v>181900002</v>
      </c>
      <c r="C227" t="s">
        <v>394</v>
      </c>
      <c r="D227" t="s">
        <v>592</v>
      </c>
      <c r="E227" s="2">
        <v>876</v>
      </c>
    </row>
    <row r="228" spans="1:5" x14ac:dyDescent="0.25">
      <c r="A228" s="1">
        <v>43362</v>
      </c>
      <c r="B228">
        <v>181900003</v>
      </c>
      <c r="C228" t="s">
        <v>395</v>
      </c>
      <c r="D228" t="s">
        <v>396</v>
      </c>
      <c r="E228" s="2">
        <v>1000</v>
      </c>
    </row>
    <row r="229" spans="1:5" x14ac:dyDescent="0.25">
      <c r="A229" s="1">
        <v>43362</v>
      </c>
      <c r="B229">
        <v>181900003</v>
      </c>
      <c r="C229" t="s">
        <v>597</v>
      </c>
      <c r="D229" t="s">
        <v>598</v>
      </c>
      <c r="E229" s="2">
        <v>0</v>
      </c>
    </row>
    <row r="230" spans="1:5" x14ac:dyDescent="0.25">
      <c r="A230" s="1">
        <v>43362</v>
      </c>
      <c r="B230">
        <v>181900005</v>
      </c>
      <c r="C230" t="s">
        <v>394</v>
      </c>
      <c r="D230" t="s">
        <v>7497</v>
      </c>
      <c r="E230" s="2">
        <v>876</v>
      </c>
    </row>
    <row r="231" spans="1:5" x14ac:dyDescent="0.25">
      <c r="A231" s="1">
        <v>43362</v>
      </c>
      <c r="B231">
        <v>181900006</v>
      </c>
      <c r="C231" t="s">
        <v>395</v>
      </c>
      <c r="D231" t="s">
        <v>396</v>
      </c>
      <c r="E231" s="2">
        <v>1000</v>
      </c>
    </row>
    <row r="232" spans="1:5" x14ac:dyDescent="0.25">
      <c r="A232" s="1">
        <v>43362</v>
      </c>
      <c r="B232">
        <v>181900007</v>
      </c>
      <c r="C232" t="s">
        <v>397</v>
      </c>
      <c r="D232" t="s">
        <v>596</v>
      </c>
      <c r="E232" s="2">
        <v>100</v>
      </c>
    </row>
    <row r="233" spans="1:5" x14ac:dyDescent="0.25">
      <c r="A233" s="1">
        <v>43363</v>
      </c>
      <c r="B233">
        <v>118738</v>
      </c>
      <c r="C233" t="s">
        <v>64</v>
      </c>
      <c r="D233" t="s">
        <v>7498</v>
      </c>
      <c r="E233" s="2">
        <v>323</v>
      </c>
    </row>
    <row r="234" spans="1:5" x14ac:dyDescent="0.25">
      <c r="A234" s="1">
        <v>43363</v>
      </c>
      <c r="B234">
        <v>118739</v>
      </c>
      <c r="C234" t="s">
        <v>226</v>
      </c>
      <c r="D234" t="s">
        <v>7499</v>
      </c>
      <c r="E234" s="2">
        <v>51.9</v>
      </c>
    </row>
    <row r="235" spans="1:5" x14ac:dyDescent="0.25">
      <c r="A235" s="1">
        <v>43363</v>
      </c>
      <c r="B235">
        <v>118739</v>
      </c>
      <c r="C235" t="s">
        <v>226</v>
      </c>
      <c r="D235" t="s">
        <v>7464</v>
      </c>
      <c r="E235" s="2">
        <v>556.6</v>
      </c>
    </row>
    <row r="236" spans="1:5" x14ac:dyDescent="0.25">
      <c r="A236" s="1">
        <v>43363</v>
      </c>
      <c r="B236">
        <v>118740</v>
      </c>
      <c r="C236" t="s">
        <v>227</v>
      </c>
      <c r="D236" t="s">
        <v>7500</v>
      </c>
      <c r="E236" s="2">
        <v>735</v>
      </c>
    </row>
    <row r="237" spans="1:5" x14ac:dyDescent="0.25">
      <c r="A237" s="1">
        <v>43363</v>
      </c>
      <c r="B237">
        <v>118745</v>
      </c>
      <c r="C237" t="s">
        <v>189</v>
      </c>
      <c r="D237" t="s">
        <v>228</v>
      </c>
      <c r="E237" s="2">
        <v>11.45</v>
      </c>
    </row>
    <row r="238" spans="1:5" x14ac:dyDescent="0.25">
      <c r="A238" s="1">
        <v>43363</v>
      </c>
      <c r="B238">
        <v>118745</v>
      </c>
      <c r="C238" t="s">
        <v>189</v>
      </c>
      <c r="D238" t="s">
        <v>229</v>
      </c>
      <c r="E238" s="2">
        <v>541.49</v>
      </c>
    </row>
    <row r="239" spans="1:5" x14ac:dyDescent="0.25">
      <c r="A239" s="1">
        <v>43363</v>
      </c>
      <c r="B239">
        <v>118745</v>
      </c>
      <c r="C239" t="s">
        <v>189</v>
      </c>
      <c r="D239" t="s">
        <v>230</v>
      </c>
      <c r="E239" s="2">
        <v>76.739999999999995</v>
      </c>
    </row>
    <row r="240" spans="1:5" x14ac:dyDescent="0.25">
      <c r="A240" s="1">
        <v>43363</v>
      </c>
      <c r="B240">
        <v>118745</v>
      </c>
      <c r="C240" t="s">
        <v>189</v>
      </c>
      <c r="D240" t="s">
        <v>228</v>
      </c>
      <c r="E240" s="2">
        <v>7.72</v>
      </c>
    </row>
    <row r="241" spans="1:5" x14ac:dyDescent="0.25">
      <c r="A241" s="1">
        <v>43363</v>
      </c>
      <c r="B241">
        <v>118745</v>
      </c>
      <c r="C241" t="s">
        <v>189</v>
      </c>
      <c r="D241" t="s">
        <v>7501</v>
      </c>
      <c r="E241" s="2">
        <v>6.98</v>
      </c>
    </row>
    <row r="242" spans="1:5" x14ac:dyDescent="0.25">
      <c r="A242" s="1">
        <v>43363</v>
      </c>
      <c r="B242">
        <v>118745</v>
      </c>
      <c r="C242" t="s">
        <v>189</v>
      </c>
      <c r="D242" t="s">
        <v>433</v>
      </c>
      <c r="E242" s="2">
        <v>209.9</v>
      </c>
    </row>
    <row r="243" spans="1:5" x14ac:dyDescent="0.25">
      <c r="A243" s="1">
        <v>43363</v>
      </c>
      <c r="B243">
        <v>118745</v>
      </c>
      <c r="C243" t="s">
        <v>189</v>
      </c>
      <c r="D243" t="s">
        <v>526</v>
      </c>
      <c r="E243" s="2">
        <v>318.99</v>
      </c>
    </row>
    <row r="244" spans="1:5" x14ac:dyDescent="0.25">
      <c r="A244" s="1">
        <v>43363</v>
      </c>
      <c r="B244">
        <v>118745</v>
      </c>
      <c r="C244" t="s">
        <v>189</v>
      </c>
      <c r="D244" t="s">
        <v>434</v>
      </c>
      <c r="E244" s="2">
        <v>13.74</v>
      </c>
    </row>
    <row r="245" spans="1:5" x14ac:dyDescent="0.25">
      <c r="A245" s="1">
        <v>43363</v>
      </c>
      <c r="B245">
        <v>118745</v>
      </c>
      <c r="C245" t="s">
        <v>189</v>
      </c>
      <c r="D245" t="s">
        <v>434</v>
      </c>
      <c r="E245" s="2">
        <v>30.84</v>
      </c>
    </row>
    <row r="246" spans="1:5" x14ac:dyDescent="0.25">
      <c r="A246" s="1">
        <v>43363</v>
      </c>
      <c r="B246">
        <v>118745</v>
      </c>
      <c r="C246" t="s">
        <v>189</v>
      </c>
      <c r="D246" t="s">
        <v>435</v>
      </c>
      <c r="E246" s="2">
        <v>70.08</v>
      </c>
    </row>
    <row r="247" spans="1:5" x14ac:dyDescent="0.25">
      <c r="A247" s="1">
        <v>43363</v>
      </c>
      <c r="B247">
        <v>118745</v>
      </c>
      <c r="C247" t="s">
        <v>189</v>
      </c>
      <c r="D247" t="s">
        <v>434</v>
      </c>
      <c r="E247" s="2">
        <v>70.06</v>
      </c>
    </row>
    <row r="248" spans="1:5" x14ac:dyDescent="0.25">
      <c r="A248" s="1">
        <v>43363</v>
      </c>
      <c r="B248">
        <v>118745</v>
      </c>
      <c r="C248" t="s">
        <v>189</v>
      </c>
      <c r="D248" t="s">
        <v>228</v>
      </c>
      <c r="E248" s="2">
        <v>835.85</v>
      </c>
    </row>
    <row r="249" spans="1:5" x14ac:dyDescent="0.25">
      <c r="A249" s="1">
        <v>43363</v>
      </c>
      <c r="B249">
        <v>118745</v>
      </c>
      <c r="C249" t="s">
        <v>189</v>
      </c>
      <c r="D249" t="s">
        <v>434</v>
      </c>
      <c r="E249" s="2">
        <v>18.98</v>
      </c>
    </row>
    <row r="250" spans="1:5" x14ac:dyDescent="0.25">
      <c r="A250" s="1">
        <v>43363</v>
      </c>
      <c r="B250">
        <v>118745</v>
      </c>
      <c r="C250" t="s">
        <v>189</v>
      </c>
      <c r="D250" t="s">
        <v>231</v>
      </c>
      <c r="E250" s="2">
        <v>28.03</v>
      </c>
    </row>
    <row r="251" spans="1:5" x14ac:dyDescent="0.25">
      <c r="A251" s="1">
        <v>43363</v>
      </c>
      <c r="B251">
        <v>118745</v>
      </c>
      <c r="C251" t="s">
        <v>189</v>
      </c>
      <c r="D251" t="s">
        <v>434</v>
      </c>
      <c r="E251" s="2">
        <v>33.24</v>
      </c>
    </row>
    <row r="252" spans="1:5" x14ac:dyDescent="0.25">
      <c r="A252" s="1">
        <v>43363</v>
      </c>
      <c r="B252">
        <v>118745</v>
      </c>
      <c r="C252" t="s">
        <v>189</v>
      </c>
      <c r="D252" t="s">
        <v>232</v>
      </c>
      <c r="E252" s="2">
        <v>89.94</v>
      </c>
    </row>
    <row r="253" spans="1:5" x14ac:dyDescent="0.25">
      <c r="A253" s="1">
        <v>43363</v>
      </c>
      <c r="B253">
        <v>118745</v>
      </c>
      <c r="C253" t="s">
        <v>189</v>
      </c>
      <c r="D253" t="s">
        <v>436</v>
      </c>
      <c r="E253" s="2">
        <v>93.03</v>
      </c>
    </row>
    <row r="254" spans="1:5" x14ac:dyDescent="0.25">
      <c r="A254" s="1">
        <v>43363</v>
      </c>
      <c r="B254">
        <v>118745</v>
      </c>
      <c r="C254" t="s">
        <v>189</v>
      </c>
      <c r="D254" t="s">
        <v>527</v>
      </c>
      <c r="E254" s="2">
        <v>185.51</v>
      </c>
    </row>
    <row r="255" spans="1:5" x14ac:dyDescent="0.25">
      <c r="A255" s="1">
        <v>43363</v>
      </c>
      <c r="B255">
        <v>118746</v>
      </c>
      <c r="C255" t="s">
        <v>233</v>
      </c>
      <c r="D255" t="s">
        <v>234</v>
      </c>
      <c r="E255" s="2">
        <v>105</v>
      </c>
    </row>
    <row r="256" spans="1:5" x14ac:dyDescent="0.25">
      <c r="A256" s="1">
        <v>43363</v>
      </c>
      <c r="B256">
        <v>118747</v>
      </c>
      <c r="C256" t="s">
        <v>235</v>
      </c>
      <c r="D256" t="s">
        <v>236</v>
      </c>
      <c r="E256" s="2">
        <v>422</v>
      </c>
    </row>
    <row r="257" spans="1:5" x14ac:dyDescent="0.25">
      <c r="A257" s="1">
        <v>43363</v>
      </c>
      <c r="B257">
        <v>118748</v>
      </c>
      <c r="C257" t="s">
        <v>237</v>
      </c>
      <c r="D257" t="s">
        <v>528</v>
      </c>
      <c r="E257" s="2">
        <v>219</v>
      </c>
    </row>
    <row r="258" spans="1:5" x14ac:dyDescent="0.25">
      <c r="A258" s="1">
        <v>43363</v>
      </c>
      <c r="B258">
        <v>118749</v>
      </c>
      <c r="C258" t="s">
        <v>22</v>
      </c>
      <c r="D258" t="s">
        <v>529</v>
      </c>
      <c r="E258" s="2">
        <v>35.549999999999997</v>
      </c>
    </row>
    <row r="259" spans="1:5" x14ac:dyDescent="0.25">
      <c r="A259" s="1">
        <v>43363</v>
      </c>
      <c r="B259">
        <v>118750</v>
      </c>
      <c r="C259" t="s">
        <v>22</v>
      </c>
      <c r="D259" t="s">
        <v>530</v>
      </c>
      <c r="E259" s="2">
        <v>8810.2999999999993</v>
      </c>
    </row>
    <row r="260" spans="1:5" x14ac:dyDescent="0.25">
      <c r="A260" s="1">
        <v>43363</v>
      </c>
      <c r="B260">
        <v>118750</v>
      </c>
      <c r="C260" t="s">
        <v>22</v>
      </c>
      <c r="D260" t="s">
        <v>531</v>
      </c>
      <c r="E260" s="2">
        <v>9663.27</v>
      </c>
    </row>
    <row r="261" spans="1:5" x14ac:dyDescent="0.25">
      <c r="A261" s="1">
        <v>43363</v>
      </c>
      <c r="B261">
        <v>118753</v>
      </c>
      <c r="C261" t="s">
        <v>238</v>
      </c>
      <c r="D261" t="s">
        <v>437</v>
      </c>
      <c r="E261" s="2">
        <f>46.32+52.32+110.92+56.6+110.74+91.68+55.4+165.29+92.19+49.97+123.13</f>
        <v>954.56000000000006</v>
      </c>
    </row>
    <row r="262" spans="1:5" x14ac:dyDescent="0.25">
      <c r="A262" s="1">
        <v>43363</v>
      </c>
      <c r="B262">
        <v>118754</v>
      </c>
      <c r="C262" t="s">
        <v>239</v>
      </c>
      <c r="D262" t="s">
        <v>240</v>
      </c>
      <c r="E262" s="2">
        <v>1400</v>
      </c>
    </row>
    <row r="263" spans="1:5" x14ac:dyDescent="0.25">
      <c r="A263" s="1">
        <v>43363</v>
      </c>
      <c r="B263">
        <v>118755</v>
      </c>
      <c r="C263" t="s">
        <v>241</v>
      </c>
      <c r="D263" t="s">
        <v>242</v>
      </c>
      <c r="E263" s="2">
        <v>5600</v>
      </c>
    </row>
    <row r="264" spans="1:5" x14ac:dyDescent="0.25">
      <c r="A264" s="1">
        <v>43363</v>
      </c>
      <c r="B264">
        <v>118756</v>
      </c>
      <c r="C264" t="s">
        <v>243</v>
      </c>
      <c r="D264" t="s">
        <v>438</v>
      </c>
      <c r="E264" s="2">
        <v>1245.26</v>
      </c>
    </row>
    <row r="265" spans="1:5" x14ac:dyDescent="0.25">
      <c r="A265" s="1">
        <v>43363</v>
      </c>
      <c r="B265">
        <v>118757</v>
      </c>
      <c r="C265" t="s">
        <v>244</v>
      </c>
      <c r="D265" t="s">
        <v>532</v>
      </c>
      <c r="E265" s="2">
        <v>735.04</v>
      </c>
    </row>
    <row r="266" spans="1:5" x14ac:dyDescent="0.25">
      <c r="A266" s="1">
        <v>43363</v>
      </c>
      <c r="B266">
        <v>118758</v>
      </c>
      <c r="C266" t="s">
        <v>245</v>
      </c>
      <c r="D266" t="s">
        <v>246</v>
      </c>
      <c r="E266" s="2">
        <v>1000</v>
      </c>
    </row>
    <row r="267" spans="1:5" x14ac:dyDescent="0.25">
      <c r="A267" s="1">
        <v>43363</v>
      </c>
      <c r="B267">
        <v>118759</v>
      </c>
      <c r="C267" t="s">
        <v>247</v>
      </c>
      <c r="D267" t="s">
        <v>424</v>
      </c>
      <c r="E267" s="2">
        <v>1477.33</v>
      </c>
    </row>
    <row r="268" spans="1:5" x14ac:dyDescent="0.25">
      <c r="A268" s="1">
        <v>43363</v>
      </c>
      <c r="B268">
        <v>118760</v>
      </c>
      <c r="C268" t="s">
        <v>248</v>
      </c>
      <c r="D268" t="s">
        <v>533</v>
      </c>
      <c r="E268" s="2">
        <v>300</v>
      </c>
    </row>
    <row r="269" spans="1:5" x14ac:dyDescent="0.25">
      <c r="A269" s="1">
        <v>43363</v>
      </c>
      <c r="B269">
        <v>118761</v>
      </c>
      <c r="C269" t="s">
        <v>197</v>
      </c>
      <c r="D269" t="s">
        <v>439</v>
      </c>
      <c r="E269" s="2">
        <v>3495</v>
      </c>
    </row>
    <row r="270" spans="1:5" x14ac:dyDescent="0.25">
      <c r="A270" s="1">
        <v>43363</v>
      </c>
      <c r="B270">
        <v>118762</v>
      </c>
      <c r="C270" t="s">
        <v>249</v>
      </c>
      <c r="D270" t="s">
        <v>250</v>
      </c>
      <c r="E270" s="2">
        <v>6531</v>
      </c>
    </row>
    <row r="271" spans="1:5" x14ac:dyDescent="0.25">
      <c r="A271" s="1">
        <v>43363</v>
      </c>
      <c r="B271">
        <v>118763</v>
      </c>
      <c r="C271" t="s">
        <v>109</v>
      </c>
      <c r="D271" t="s">
        <v>534</v>
      </c>
      <c r="E271" s="2">
        <v>50</v>
      </c>
    </row>
    <row r="272" spans="1:5" x14ac:dyDescent="0.25">
      <c r="A272" s="1">
        <v>43363</v>
      </c>
      <c r="B272">
        <v>118763</v>
      </c>
      <c r="C272" t="s">
        <v>109</v>
      </c>
      <c r="D272" t="s">
        <v>534</v>
      </c>
      <c r="E272" s="2">
        <v>50</v>
      </c>
    </row>
    <row r="273" spans="1:5" x14ac:dyDescent="0.25">
      <c r="A273" s="1">
        <v>43363</v>
      </c>
      <c r="B273">
        <v>118764</v>
      </c>
      <c r="C273" t="s">
        <v>251</v>
      </c>
      <c r="D273" t="s">
        <v>252</v>
      </c>
      <c r="E273" s="2">
        <v>560</v>
      </c>
    </row>
    <row r="274" spans="1:5" x14ac:dyDescent="0.25">
      <c r="A274" s="1">
        <v>43363</v>
      </c>
      <c r="B274">
        <v>118765</v>
      </c>
      <c r="C274" t="s">
        <v>68</v>
      </c>
      <c r="D274" t="s">
        <v>253</v>
      </c>
      <c r="E274" s="2">
        <v>6513</v>
      </c>
    </row>
    <row r="275" spans="1:5" x14ac:dyDescent="0.25">
      <c r="A275" s="1">
        <v>43363</v>
      </c>
      <c r="B275">
        <v>118765</v>
      </c>
      <c r="C275" t="s">
        <v>68</v>
      </c>
      <c r="D275" t="s">
        <v>491</v>
      </c>
      <c r="E275" s="2">
        <v>156.74</v>
      </c>
    </row>
    <row r="276" spans="1:5" x14ac:dyDescent="0.25">
      <c r="A276" s="1">
        <v>43363</v>
      </c>
      <c r="B276">
        <v>118765</v>
      </c>
      <c r="C276" t="s">
        <v>68</v>
      </c>
      <c r="D276" t="s">
        <v>491</v>
      </c>
      <c r="E276" s="2">
        <v>930.87</v>
      </c>
    </row>
    <row r="277" spans="1:5" x14ac:dyDescent="0.25">
      <c r="A277" s="1">
        <v>43363</v>
      </c>
      <c r="B277">
        <v>118765</v>
      </c>
      <c r="C277" t="s">
        <v>68</v>
      </c>
      <c r="D277" t="s">
        <v>491</v>
      </c>
      <c r="E277" s="2">
        <v>436.95</v>
      </c>
    </row>
    <row r="278" spans="1:5" x14ac:dyDescent="0.25">
      <c r="A278" s="1">
        <v>43363</v>
      </c>
      <c r="B278">
        <v>118766</v>
      </c>
      <c r="C278" t="s">
        <v>111</v>
      </c>
      <c r="D278" t="s">
        <v>534</v>
      </c>
      <c r="E278" s="2">
        <v>50</v>
      </c>
    </row>
    <row r="279" spans="1:5" x14ac:dyDescent="0.25">
      <c r="A279" s="1">
        <v>43363</v>
      </c>
      <c r="B279">
        <v>118766</v>
      </c>
      <c r="C279" t="s">
        <v>111</v>
      </c>
      <c r="D279" t="s">
        <v>534</v>
      </c>
      <c r="E279" s="2">
        <v>50</v>
      </c>
    </row>
    <row r="280" spans="1:5" x14ac:dyDescent="0.25">
      <c r="A280" s="1">
        <v>43363</v>
      </c>
      <c r="B280">
        <v>118767</v>
      </c>
      <c r="C280" t="s">
        <v>198</v>
      </c>
      <c r="D280" t="s">
        <v>535</v>
      </c>
      <c r="E280" s="2">
        <v>95</v>
      </c>
    </row>
    <row r="281" spans="1:5" x14ac:dyDescent="0.25">
      <c r="A281" s="1">
        <v>43363</v>
      </c>
      <c r="B281">
        <v>118768</v>
      </c>
      <c r="C281" t="s">
        <v>114</v>
      </c>
      <c r="D281" t="s">
        <v>473</v>
      </c>
      <c r="E281" s="2">
        <v>255</v>
      </c>
    </row>
    <row r="282" spans="1:5" x14ac:dyDescent="0.25">
      <c r="A282" s="1">
        <v>43363</v>
      </c>
      <c r="B282">
        <v>118769</v>
      </c>
      <c r="C282" t="s">
        <v>254</v>
      </c>
      <c r="D282" t="s">
        <v>255</v>
      </c>
      <c r="E282" s="2">
        <v>3295</v>
      </c>
    </row>
    <row r="283" spans="1:5" x14ac:dyDescent="0.25">
      <c r="A283" s="1">
        <v>43363</v>
      </c>
      <c r="B283">
        <v>118770</v>
      </c>
      <c r="C283" t="s">
        <v>115</v>
      </c>
      <c r="D283" t="s">
        <v>534</v>
      </c>
      <c r="E283" s="2">
        <f>37.5+47.5</f>
        <v>85</v>
      </c>
    </row>
    <row r="284" spans="1:5" x14ac:dyDescent="0.25">
      <c r="A284" s="1">
        <v>43363</v>
      </c>
      <c r="B284">
        <v>118771</v>
      </c>
      <c r="C284" t="s">
        <v>256</v>
      </c>
      <c r="D284" t="s">
        <v>536</v>
      </c>
      <c r="E284" s="2">
        <v>750</v>
      </c>
    </row>
    <row r="285" spans="1:5" x14ac:dyDescent="0.25">
      <c r="A285" s="1">
        <v>43363</v>
      </c>
      <c r="B285">
        <v>118772</v>
      </c>
      <c r="C285" t="s">
        <v>257</v>
      </c>
      <c r="D285" t="s">
        <v>537</v>
      </c>
      <c r="E285" s="2">
        <v>96263.52</v>
      </c>
    </row>
    <row r="286" spans="1:5" x14ac:dyDescent="0.25">
      <c r="A286" s="1">
        <v>43363</v>
      </c>
      <c r="B286">
        <v>118773</v>
      </c>
      <c r="C286" t="s">
        <v>72</v>
      </c>
      <c r="D286" t="s">
        <v>258</v>
      </c>
      <c r="E286" s="2">
        <v>72.209999999999994</v>
      </c>
    </row>
    <row r="287" spans="1:5" x14ac:dyDescent="0.25">
      <c r="A287" s="1">
        <v>43363</v>
      </c>
      <c r="B287">
        <v>118774</v>
      </c>
      <c r="C287" t="s">
        <v>259</v>
      </c>
      <c r="D287" t="s">
        <v>260</v>
      </c>
      <c r="E287" s="2">
        <v>92.1</v>
      </c>
    </row>
    <row r="288" spans="1:5" x14ac:dyDescent="0.25">
      <c r="A288" s="1">
        <v>43363</v>
      </c>
      <c r="B288">
        <v>118774</v>
      </c>
      <c r="C288" t="s">
        <v>259</v>
      </c>
      <c r="D288" t="s">
        <v>261</v>
      </c>
      <c r="E288" s="2">
        <v>663.6</v>
      </c>
    </row>
    <row r="289" spans="1:5" x14ac:dyDescent="0.25">
      <c r="A289" s="1">
        <v>43363</v>
      </c>
      <c r="B289">
        <v>118774</v>
      </c>
      <c r="C289" t="s">
        <v>259</v>
      </c>
      <c r="D289" t="s">
        <v>261</v>
      </c>
      <c r="E289" s="2">
        <v>5353.16</v>
      </c>
    </row>
    <row r="290" spans="1:5" x14ac:dyDescent="0.25">
      <c r="A290" s="1">
        <v>43363</v>
      </c>
      <c r="B290">
        <v>118775</v>
      </c>
      <c r="C290" t="s">
        <v>262</v>
      </c>
      <c r="D290" t="s">
        <v>538</v>
      </c>
      <c r="E290" s="2">
        <v>1004.69</v>
      </c>
    </row>
    <row r="291" spans="1:5" x14ac:dyDescent="0.25">
      <c r="A291" s="1">
        <v>43363</v>
      </c>
      <c r="B291">
        <v>118776</v>
      </c>
      <c r="C291" t="s">
        <v>263</v>
      </c>
      <c r="D291" t="s">
        <v>539</v>
      </c>
      <c r="E291" s="2">
        <v>800</v>
      </c>
    </row>
    <row r="292" spans="1:5" x14ac:dyDescent="0.25">
      <c r="A292" s="1">
        <v>43363</v>
      </c>
      <c r="B292">
        <v>118777</v>
      </c>
      <c r="C292" t="s">
        <v>264</v>
      </c>
      <c r="D292" t="s">
        <v>538</v>
      </c>
      <c r="E292" s="2">
        <v>132.68</v>
      </c>
    </row>
    <row r="293" spans="1:5" x14ac:dyDescent="0.25">
      <c r="A293" s="1">
        <v>43363</v>
      </c>
      <c r="B293">
        <v>118780</v>
      </c>
      <c r="C293" t="s">
        <v>125</v>
      </c>
      <c r="D293" t="s">
        <v>464</v>
      </c>
      <c r="E293" s="2">
        <v>72.48</v>
      </c>
    </row>
    <row r="294" spans="1:5" x14ac:dyDescent="0.25">
      <c r="A294" s="1">
        <v>43363</v>
      </c>
      <c r="B294">
        <v>118780</v>
      </c>
      <c r="C294" t="s">
        <v>125</v>
      </c>
      <c r="D294" t="s">
        <v>7486</v>
      </c>
      <c r="E294" s="2">
        <v>122.14</v>
      </c>
    </row>
    <row r="295" spans="1:5" x14ac:dyDescent="0.25">
      <c r="A295" s="1">
        <v>43363</v>
      </c>
      <c r="B295">
        <v>118780</v>
      </c>
      <c r="C295" t="s">
        <v>125</v>
      </c>
      <c r="D295" t="s">
        <v>7490</v>
      </c>
      <c r="E295" s="2">
        <v>26.34</v>
      </c>
    </row>
    <row r="296" spans="1:5" x14ac:dyDescent="0.25">
      <c r="A296" s="1">
        <v>43363</v>
      </c>
      <c r="B296">
        <v>118780</v>
      </c>
      <c r="C296" t="s">
        <v>125</v>
      </c>
      <c r="D296" t="s">
        <v>7502</v>
      </c>
      <c r="E296" s="2">
        <v>87.58</v>
      </c>
    </row>
    <row r="297" spans="1:5" x14ac:dyDescent="0.25">
      <c r="A297" s="1">
        <v>43363</v>
      </c>
      <c r="B297">
        <v>118780</v>
      </c>
      <c r="C297" t="s">
        <v>125</v>
      </c>
      <c r="D297" t="s">
        <v>126</v>
      </c>
      <c r="E297" s="2">
        <v>78.28</v>
      </c>
    </row>
    <row r="298" spans="1:5" x14ac:dyDescent="0.25">
      <c r="A298" s="1">
        <v>43363</v>
      </c>
      <c r="B298">
        <v>118780</v>
      </c>
      <c r="C298" t="s">
        <v>125</v>
      </c>
      <c r="D298" t="s">
        <v>5773</v>
      </c>
      <c r="E298" s="2">
        <v>106.94</v>
      </c>
    </row>
    <row r="299" spans="1:5" x14ac:dyDescent="0.25">
      <c r="A299" s="1">
        <v>43363</v>
      </c>
      <c r="B299">
        <v>118780</v>
      </c>
      <c r="C299" t="s">
        <v>125</v>
      </c>
      <c r="D299" t="s">
        <v>7486</v>
      </c>
      <c r="E299" s="2">
        <v>26.1</v>
      </c>
    </row>
    <row r="300" spans="1:5" x14ac:dyDescent="0.25">
      <c r="A300" s="1">
        <v>43363</v>
      </c>
      <c r="B300">
        <v>118780</v>
      </c>
      <c r="C300" t="s">
        <v>125</v>
      </c>
      <c r="D300" t="s">
        <v>7488</v>
      </c>
      <c r="E300" s="2">
        <v>457</v>
      </c>
    </row>
    <row r="301" spans="1:5" x14ac:dyDescent="0.25">
      <c r="A301" s="1">
        <v>43363</v>
      </c>
      <c r="B301">
        <v>118780</v>
      </c>
      <c r="C301" t="s">
        <v>125</v>
      </c>
      <c r="D301" t="s">
        <v>440</v>
      </c>
      <c r="E301" s="2">
        <v>70</v>
      </c>
    </row>
    <row r="302" spans="1:5" x14ac:dyDescent="0.25">
      <c r="A302" s="1">
        <v>43363</v>
      </c>
      <c r="B302">
        <v>118781</v>
      </c>
      <c r="C302" t="s">
        <v>265</v>
      </c>
      <c r="D302" t="s">
        <v>540</v>
      </c>
      <c r="E302" s="2">
        <v>3025</v>
      </c>
    </row>
    <row r="303" spans="1:5" x14ac:dyDescent="0.25">
      <c r="A303" s="1">
        <v>43363</v>
      </c>
      <c r="B303">
        <v>118782</v>
      </c>
      <c r="C303" t="s">
        <v>266</v>
      </c>
      <c r="D303" t="s">
        <v>541</v>
      </c>
      <c r="E303" s="2">
        <v>12400</v>
      </c>
    </row>
    <row r="304" spans="1:5" x14ac:dyDescent="0.25">
      <c r="A304" s="1">
        <v>43363</v>
      </c>
      <c r="B304">
        <v>118783</v>
      </c>
      <c r="C304" t="s">
        <v>267</v>
      </c>
      <c r="D304" t="s">
        <v>542</v>
      </c>
      <c r="E304" s="2">
        <v>16350.6</v>
      </c>
    </row>
    <row r="305" spans="1:5" x14ac:dyDescent="0.25">
      <c r="A305" s="1">
        <v>43363</v>
      </c>
      <c r="B305">
        <v>118784</v>
      </c>
      <c r="C305" t="s">
        <v>268</v>
      </c>
      <c r="D305" t="s">
        <v>543</v>
      </c>
      <c r="E305" s="2">
        <v>4800</v>
      </c>
    </row>
    <row r="306" spans="1:5" x14ac:dyDescent="0.25">
      <c r="A306" s="1">
        <v>43363</v>
      </c>
      <c r="B306">
        <v>118785</v>
      </c>
      <c r="C306" t="s">
        <v>269</v>
      </c>
      <c r="D306" t="s">
        <v>270</v>
      </c>
      <c r="E306" s="2">
        <v>26.99</v>
      </c>
    </row>
    <row r="307" spans="1:5" x14ac:dyDescent="0.25">
      <c r="A307" s="1">
        <v>43363</v>
      </c>
      <c r="B307">
        <v>118785</v>
      </c>
      <c r="C307" t="s">
        <v>269</v>
      </c>
      <c r="D307" t="s">
        <v>270</v>
      </c>
      <c r="E307" s="2">
        <v>60</v>
      </c>
    </row>
    <row r="308" spans="1:5" x14ac:dyDescent="0.25">
      <c r="A308" s="1">
        <v>43363</v>
      </c>
      <c r="B308">
        <v>118786</v>
      </c>
      <c r="C308" t="s">
        <v>271</v>
      </c>
      <c r="D308" t="s">
        <v>426</v>
      </c>
      <c r="E308" s="2">
        <v>25</v>
      </c>
    </row>
    <row r="309" spans="1:5" x14ac:dyDescent="0.25">
      <c r="A309" s="1">
        <v>43363</v>
      </c>
      <c r="B309">
        <v>118787</v>
      </c>
      <c r="C309" t="s">
        <v>272</v>
      </c>
      <c r="D309" t="s">
        <v>273</v>
      </c>
      <c r="E309" s="2">
        <f>160+320</f>
        <v>480</v>
      </c>
    </row>
    <row r="310" spans="1:5" x14ac:dyDescent="0.25">
      <c r="A310" s="1">
        <v>43363</v>
      </c>
      <c r="B310">
        <v>118788</v>
      </c>
      <c r="C310" t="s">
        <v>274</v>
      </c>
      <c r="D310" t="s">
        <v>544</v>
      </c>
      <c r="E310" s="2">
        <v>8191.6</v>
      </c>
    </row>
    <row r="311" spans="1:5" x14ac:dyDescent="0.25">
      <c r="A311" s="1">
        <v>43363</v>
      </c>
      <c r="B311">
        <v>118789</v>
      </c>
      <c r="C311" t="s">
        <v>275</v>
      </c>
      <c r="D311" t="s">
        <v>545</v>
      </c>
      <c r="E311" s="2">
        <v>357.5</v>
      </c>
    </row>
    <row r="312" spans="1:5" x14ac:dyDescent="0.25">
      <c r="A312" s="1">
        <v>43363</v>
      </c>
      <c r="B312">
        <v>118790</v>
      </c>
      <c r="C312" t="s">
        <v>276</v>
      </c>
      <c r="D312" t="s">
        <v>277</v>
      </c>
      <c r="E312" s="2">
        <v>455.92</v>
      </c>
    </row>
    <row r="313" spans="1:5" x14ac:dyDescent="0.25">
      <c r="A313" s="1">
        <v>43363</v>
      </c>
      <c r="B313">
        <v>118792</v>
      </c>
      <c r="C313" t="s">
        <v>74</v>
      </c>
      <c r="D313" t="s">
        <v>278</v>
      </c>
      <c r="E313" s="2">
        <v>2890</v>
      </c>
    </row>
    <row r="314" spans="1:5" x14ac:dyDescent="0.25">
      <c r="A314" s="1">
        <v>43363</v>
      </c>
      <c r="B314">
        <v>118792</v>
      </c>
      <c r="C314" t="s">
        <v>74</v>
      </c>
      <c r="D314" t="s">
        <v>491</v>
      </c>
      <c r="E314" s="2">
        <v>109.9</v>
      </c>
    </row>
    <row r="315" spans="1:5" x14ac:dyDescent="0.25">
      <c r="A315" s="1">
        <v>43363</v>
      </c>
      <c r="B315">
        <v>118792</v>
      </c>
      <c r="C315" t="s">
        <v>74</v>
      </c>
      <c r="D315" t="s">
        <v>279</v>
      </c>
      <c r="E315" s="2">
        <v>773.97</v>
      </c>
    </row>
    <row r="316" spans="1:5" x14ac:dyDescent="0.25">
      <c r="A316" s="1">
        <v>43363</v>
      </c>
      <c r="B316">
        <v>118792</v>
      </c>
      <c r="C316" t="s">
        <v>74</v>
      </c>
      <c r="D316" t="s">
        <v>280</v>
      </c>
      <c r="E316" s="2">
        <v>276.75</v>
      </c>
    </row>
    <row r="317" spans="1:5" x14ac:dyDescent="0.25">
      <c r="A317" s="1">
        <v>43363</v>
      </c>
      <c r="B317">
        <v>118792</v>
      </c>
      <c r="C317" t="s">
        <v>74</v>
      </c>
      <c r="D317" t="s">
        <v>279</v>
      </c>
      <c r="E317" s="2">
        <v>63.66</v>
      </c>
    </row>
    <row r="318" spans="1:5" x14ac:dyDescent="0.25">
      <c r="A318" s="1">
        <v>43363</v>
      </c>
      <c r="B318">
        <v>118792</v>
      </c>
      <c r="C318" t="s">
        <v>74</v>
      </c>
      <c r="D318" t="s">
        <v>281</v>
      </c>
      <c r="E318" s="2">
        <v>1734</v>
      </c>
    </row>
    <row r="319" spans="1:5" x14ac:dyDescent="0.25">
      <c r="A319" s="1">
        <v>43363</v>
      </c>
      <c r="B319">
        <v>118792</v>
      </c>
      <c r="C319" t="s">
        <v>74</v>
      </c>
      <c r="D319" t="s">
        <v>546</v>
      </c>
      <c r="E319" s="2">
        <v>417.09</v>
      </c>
    </row>
    <row r="320" spans="1:5" x14ac:dyDescent="0.25">
      <c r="A320" s="1">
        <v>43363</v>
      </c>
      <c r="B320">
        <v>118792</v>
      </c>
      <c r="C320" t="s">
        <v>74</v>
      </c>
      <c r="D320" t="s">
        <v>279</v>
      </c>
      <c r="E320" s="2">
        <v>411.98</v>
      </c>
    </row>
    <row r="321" spans="1:5" x14ac:dyDescent="0.25">
      <c r="A321" s="1">
        <v>43363</v>
      </c>
      <c r="B321">
        <v>118792</v>
      </c>
      <c r="C321" t="s">
        <v>74</v>
      </c>
      <c r="D321" t="s">
        <v>279</v>
      </c>
      <c r="E321" s="2">
        <v>12.99</v>
      </c>
    </row>
    <row r="322" spans="1:5" x14ac:dyDescent="0.25">
      <c r="A322" s="1">
        <v>43363</v>
      </c>
      <c r="B322">
        <v>118793</v>
      </c>
      <c r="C322" t="s">
        <v>282</v>
      </c>
      <c r="D322" t="s">
        <v>533</v>
      </c>
      <c r="E322" s="2">
        <v>300</v>
      </c>
    </row>
    <row r="323" spans="1:5" x14ac:dyDescent="0.25">
      <c r="A323" s="1">
        <v>43363</v>
      </c>
      <c r="B323">
        <v>118794</v>
      </c>
      <c r="C323" t="s">
        <v>283</v>
      </c>
      <c r="D323" t="s">
        <v>441</v>
      </c>
      <c r="E323" s="2">
        <v>1029.67</v>
      </c>
    </row>
    <row r="324" spans="1:5" x14ac:dyDescent="0.25">
      <c r="A324" s="1">
        <v>43363</v>
      </c>
      <c r="B324">
        <v>118795</v>
      </c>
      <c r="C324" t="s">
        <v>284</v>
      </c>
      <c r="D324" t="s">
        <v>7503</v>
      </c>
      <c r="E324" s="2">
        <v>204.47</v>
      </c>
    </row>
    <row r="325" spans="1:5" x14ac:dyDescent="0.25">
      <c r="A325" s="1">
        <v>43363</v>
      </c>
      <c r="B325">
        <v>118796</v>
      </c>
      <c r="C325" t="s">
        <v>285</v>
      </c>
      <c r="D325" t="s">
        <v>286</v>
      </c>
      <c r="E325" s="2">
        <v>969.53</v>
      </c>
    </row>
    <row r="326" spans="1:5" x14ac:dyDescent="0.25">
      <c r="A326" s="1">
        <v>43363</v>
      </c>
      <c r="B326">
        <v>118797</v>
      </c>
      <c r="C326" t="s">
        <v>287</v>
      </c>
      <c r="D326" t="s">
        <v>288</v>
      </c>
      <c r="E326" s="2">
        <v>40</v>
      </c>
    </row>
    <row r="327" spans="1:5" x14ac:dyDescent="0.25">
      <c r="A327" s="1">
        <v>43363</v>
      </c>
      <c r="B327">
        <v>118798</v>
      </c>
      <c r="C327" t="s">
        <v>75</v>
      </c>
      <c r="D327" t="s">
        <v>289</v>
      </c>
      <c r="E327" s="2">
        <v>3.34</v>
      </c>
    </row>
    <row r="328" spans="1:5" x14ac:dyDescent="0.25">
      <c r="A328" s="1">
        <v>43363</v>
      </c>
      <c r="B328">
        <v>118801</v>
      </c>
      <c r="C328" t="s">
        <v>11</v>
      </c>
      <c r="D328" t="s">
        <v>428</v>
      </c>
      <c r="E328" s="2">
        <f>33.96+34.44</f>
        <v>68.400000000000006</v>
      </c>
    </row>
    <row r="329" spans="1:5" x14ac:dyDescent="0.25">
      <c r="A329" s="1">
        <v>43363</v>
      </c>
      <c r="B329">
        <v>118801</v>
      </c>
      <c r="C329" t="s">
        <v>11</v>
      </c>
      <c r="D329" t="s">
        <v>491</v>
      </c>
      <c r="E329" s="2">
        <v>535.04999999999995</v>
      </c>
    </row>
    <row r="330" spans="1:5" x14ac:dyDescent="0.25">
      <c r="A330" s="1">
        <v>43363</v>
      </c>
      <c r="B330">
        <v>118801</v>
      </c>
      <c r="C330" t="s">
        <v>11</v>
      </c>
      <c r="D330" t="s">
        <v>491</v>
      </c>
      <c r="E330" s="2">
        <v>702.94</v>
      </c>
    </row>
    <row r="331" spans="1:5" x14ac:dyDescent="0.25">
      <c r="A331" s="1">
        <v>43363</v>
      </c>
      <c r="B331">
        <v>118801</v>
      </c>
      <c r="C331" t="s">
        <v>11</v>
      </c>
      <c r="D331" t="s">
        <v>290</v>
      </c>
      <c r="E331" s="2">
        <v>72.98</v>
      </c>
    </row>
    <row r="332" spans="1:5" x14ac:dyDescent="0.25">
      <c r="A332" s="1">
        <v>43363</v>
      </c>
      <c r="B332">
        <v>118801</v>
      </c>
      <c r="C332" t="s">
        <v>11</v>
      </c>
      <c r="D332" t="s">
        <v>290</v>
      </c>
      <c r="E332" s="2">
        <v>24.04</v>
      </c>
    </row>
    <row r="333" spans="1:5" x14ac:dyDescent="0.25">
      <c r="A333" s="1">
        <v>43363</v>
      </c>
      <c r="B333">
        <v>118801</v>
      </c>
      <c r="C333" t="s">
        <v>11</v>
      </c>
      <c r="D333" t="s">
        <v>428</v>
      </c>
      <c r="E333" s="2">
        <v>2464.52</v>
      </c>
    </row>
    <row r="334" spans="1:5" x14ac:dyDescent="0.25">
      <c r="A334" s="1">
        <v>43363</v>
      </c>
      <c r="B334">
        <v>118801</v>
      </c>
      <c r="C334" t="s">
        <v>11</v>
      </c>
      <c r="D334" t="s">
        <v>228</v>
      </c>
      <c r="E334" s="2">
        <v>31.84</v>
      </c>
    </row>
    <row r="335" spans="1:5" x14ac:dyDescent="0.25">
      <c r="A335" s="1">
        <v>43363</v>
      </c>
      <c r="B335">
        <v>118801</v>
      </c>
      <c r="C335" t="s">
        <v>11</v>
      </c>
      <c r="D335" t="s">
        <v>228</v>
      </c>
      <c r="E335" s="2">
        <v>23.09</v>
      </c>
    </row>
    <row r="336" spans="1:5" x14ac:dyDescent="0.25">
      <c r="A336" s="1">
        <v>43363</v>
      </c>
      <c r="B336">
        <v>118801</v>
      </c>
      <c r="C336" t="s">
        <v>11</v>
      </c>
      <c r="D336" t="s">
        <v>228</v>
      </c>
      <c r="E336" s="2">
        <v>215.04</v>
      </c>
    </row>
    <row r="337" spans="1:5" x14ac:dyDescent="0.25">
      <c r="A337" s="1">
        <v>43363</v>
      </c>
      <c r="B337">
        <v>118801</v>
      </c>
      <c r="C337" t="s">
        <v>11</v>
      </c>
      <c r="D337" t="s">
        <v>442</v>
      </c>
      <c r="E337" s="2">
        <v>24.4</v>
      </c>
    </row>
    <row r="338" spans="1:5" x14ac:dyDescent="0.25">
      <c r="A338" s="1">
        <v>43363</v>
      </c>
      <c r="B338">
        <v>118801</v>
      </c>
      <c r="C338" t="s">
        <v>11</v>
      </c>
      <c r="D338" t="s">
        <v>443</v>
      </c>
      <c r="E338" s="2">
        <v>195.73</v>
      </c>
    </row>
    <row r="339" spans="1:5" x14ac:dyDescent="0.25">
      <c r="A339" s="1">
        <v>43363</v>
      </c>
      <c r="B339">
        <v>118802</v>
      </c>
      <c r="C339" t="s">
        <v>291</v>
      </c>
      <c r="D339" t="s">
        <v>547</v>
      </c>
      <c r="E339" s="2">
        <v>300</v>
      </c>
    </row>
    <row r="340" spans="1:5" x14ac:dyDescent="0.25">
      <c r="A340" s="1">
        <v>43363</v>
      </c>
      <c r="B340">
        <v>118803</v>
      </c>
      <c r="C340" t="s">
        <v>292</v>
      </c>
      <c r="D340" t="s">
        <v>293</v>
      </c>
      <c r="E340" s="2">
        <v>385</v>
      </c>
    </row>
    <row r="341" spans="1:5" x14ac:dyDescent="0.25">
      <c r="A341" s="1">
        <v>43363</v>
      </c>
      <c r="B341">
        <v>118804</v>
      </c>
      <c r="C341" t="s">
        <v>292</v>
      </c>
      <c r="D341" t="s">
        <v>294</v>
      </c>
      <c r="E341" s="2">
        <v>835</v>
      </c>
    </row>
    <row r="342" spans="1:5" x14ac:dyDescent="0.25">
      <c r="A342" s="1">
        <v>43363</v>
      </c>
      <c r="B342">
        <v>118805</v>
      </c>
      <c r="C342" t="s">
        <v>295</v>
      </c>
      <c r="D342" t="s">
        <v>548</v>
      </c>
      <c r="E342" s="2">
        <v>6602.2</v>
      </c>
    </row>
    <row r="343" spans="1:5" x14ac:dyDescent="0.25">
      <c r="A343" s="1">
        <v>43363</v>
      </c>
      <c r="B343">
        <v>118806</v>
      </c>
      <c r="C343" t="s">
        <v>296</v>
      </c>
      <c r="D343" t="s">
        <v>297</v>
      </c>
      <c r="E343" s="2">
        <v>314</v>
      </c>
    </row>
    <row r="344" spans="1:5" x14ac:dyDescent="0.25">
      <c r="A344" s="1">
        <v>43363</v>
      </c>
      <c r="B344">
        <v>118807</v>
      </c>
      <c r="C344" t="s">
        <v>50</v>
      </c>
      <c r="D344" t="s">
        <v>467</v>
      </c>
      <c r="E344" s="2">
        <v>4550</v>
      </c>
    </row>
    <row r="345" spans="1:5" x14ac:dyDescent="0.25">
      <c r="A345" s="1">
        <v>43363</v>
      </c>
      <c r="B345">
        <v>118808</v>
      </c>
      <c r="C345" t="s">
        <v>298</v>
      </c>
      <c r="D345" t="s">
        <v>299</v>
      </c>
      <c r="E345" s="2">
        <v>9135.0499999999993</v>
      </c>
    </row>
    <row r="346" spans="1:5" x14ac:dyDescent="0.25">
      <c r="A346" s="1">
        <v>43363</v>
      </c>
      <c r="B346">
        <v>118809</v>
      </c>
      <c r="C346" t="s">
        <v>80</v>
      </c>
      <c r="D346" t="s">
        <v>300</v>
      </c>
      <c r="E346" s="2">
        <v>46.4</v>
      </c>
    </row>
    <row r="347" spans="1:5" x14ac:dyDescent="0.25">
      <c r="A347" s="1">
        <v>43363</v>
      </c>
      <c r="B347">
        <v>118810</v>
      </c>
      <c r="C347" t="s">
        <v>301</v>
      </c>
      <c r="D347" t="s">
        <v>549</v>
      </c>
      <c r="E347" s="2">
        <v>3754</v>
      </c>
    </row>
    <row r="348" spans="1:5" x14ac:dyDescent="0.25">
      <c r="A348" s="1">
        <v>43363</v>
      </c>
      <c r="B348">
        <v>118811</v>
      </c>
      <c r="C348" t="s">
        <v>302</v>
      </c>
      <c r="D348" t="s">
        <v>550</v>
      </c>
      <c r="E348" s="2">
        <v>3187</v>
      </c>
    </row>
    <row r="349" spans="1:5" x14ac:dyDescent="0.25">
      <c r="A349" s="1">
        <v>43363</v>
      </c>
      <c r="B349">
        <v>118811</v>
      </c>
      <c r="C349" t="s">
        <v>302</v>
      </c>
      <c r="D349" t="s">
        <v>551</v>
      </c>
      <c r="E349" s="2">
        <v>1258</v>
      </c>
    </row>
    <row r="350" spans="1:5" x14ac:dyDescent="0.25">
      <c r="A350" s="1">
        <v>43363</v>
      </c>
      <c r="B350">
        <v>118812</v>
      </c>
      <c r="C350" t="s">
        <v>14</v>
      </c>
      <c r="D350" t="s">
        <v>552</v>
      </c>
      <c r="E350" s="2">
        <v>1841.1</v>
      </c>
    </row>
    <row r="351" spans="1:5" x14ac:dyDescent="0.25">
      <c r="A351" s="1">
        <v>43363</v>
      </c>
      <c r="B351">
        <v>118812</v>
      </c>
      <c r="C351" t="s">
        <v>14</v>
      </c>
      <c r="D351" t="s">
        <v>303</v>
      </c>
      <c r="E351" s="2">
        <v>72.83</v>
      </c>
    </row>
    <row r="352" spans="1:5" x14ac:dyDescent="0.25">
      <c r="A352" s="1">
        <v>43363</v>
      </c>
      <c r="B352">
        <v>118813</v>
      </c>
      <c r="C352" t="s">
        <v>304</v>
      </c>
      <c r="D352" t="s">
        <v>305</v>
      </c>
      <c r="E352" s="2">
        <v>372.97</v>
      </c>
    </row>
    <row r="353" spans="1:5" x14ac:dyDescent="0.25">
      <c r="A353" s="1">
        <v>43363</v>
      </c>
      <c r="B353">
        <v>118814</v>
      </c>
      <c r="C353" t="s">
        <v>306</v>
      </c>
      <c r="D353" t="s">
        <v>553</v>
      </c>
      <c r="E353" s="2">
        <v>11357.77</v>
      </c>
    </row>
    <row r="354" spans="1:5" x14ac:dyDescent="0.25">
      <c r="A354" s="1">
        <v>43363</v>
      </c>
      <c r="B354">
        <v>118815</v>
      </c>
      <c r="C354" t="s">
        <v>307</v>
      </c>
      <c r="D354" t="s">
        <v>554</v>
      </c>
      <c r="E354" s="2">
        <v>374</v>
      </c>
    </row>
    <row r="355" spans="1:5" x14ac:dyDescent="0.25">
      <c r="A355" s="1">
        <v>43363</v>
      </c>
      <c r="B355">
        <v>118816</v>
      </c>
      <c r="C355" t="s">
        <v>308</v>
      </c>
      <c r="D355" t="s">
        <v>555</v>
      </c>
      <c r="E355" s="2">
        <v>930.98</v>
      </c>
    </row>
    <row r="356" spans="1:5" x14ac:dyDescent="0.25">
      <c r="A356" s="1">
        <v>43363</v>
      </c>
      <c r="B356">
        <v>118816</v>
      </c>
      <c r="C356" t="s">
        <v>308</v>
      </c>
      <c r="D356" t="s">
        <v>555</v>
      </c>
      <c r="E356" s="2">
        <v>250.3</v>
      </c>
    </row>
    <row r="357" spans="1:5" x14ac:dyDescent="0.25">
      <c r="A357" s="1">
        <v>43363</v>
      </c>
      <c r="B357">
        <v>118817</v>
      </c>
      <c r="C357" t="s">
        <v>309</v>
      </c>
      <c r="D357" t="s">
        <v>444</v>
      </c>
      <c r="E357" s="2">
        <v>420</v>
      </c>
    </row>
    <row r="358" spans="1:5" x14ac:dyDescent="0.25">
      <c r="A358" s="1">
        <v>43363</v>
      </c>
      <c r="B358">
        <v>118818</v>
      </c>
      <c r="C358" t="s">
        <v>310</v>
      </c>
      <c r="D358" t="s">
        <v>556</v>
      </c>
      <c r="E358" s="2">
        <v>300</v>
      </c>
    </row>
    <row r="359" spans="1:5" x14ac:dyDescent="0.25">
      <c r="A359" s="1">
        <v>43363</v>
      </c>
      <c r="B359">
        <v>118819</v>
      </c>
      <c r="C359" t="s">
        <v>161</v>
      </c>
      <c r="D359" t="s">
        <v>511</v>
      </c>
      <c r="E359" s="2">
        <v>669</v>
      </c>
    </row>
    <row r="360" spans="1:5" x14ac:dyDescent="0.25">
      <c r="A360" s="1">
        <v>43363</v>
      </c>
      <c r="B360">
        <v>118820</v>
      </c>
      <c r="C360" t="s">
        <v>311</v>
      </c>
      <c r="D360" t="s">
        <v>511</v>
      </c>
      <c r="E360" s="2">
        <v>320</v>
      </c>
    </row>
    <row r="361" spans="1:5" x14ac:dyDescent="0.25">
      <c r="A361" s="1">
        <v>43363</v>
      </c>
      <c r="B361">
        <v>118821</v>
      </c>
      <c r="C361" t="s">
        <v>312</v>
      </c>
      <c r="D361" t="s">
        <v>313</v>
      </c>
      <c r="E361" s="2">
        <v>2120</v>
      </c>
    </row>
    <row r="362" spans="1:5" x14ac:dyDescent="0.25">
      <c r="A362" s="1">
        <v>43363</v>
      </c>
      <c r="B362">
        <v>118822</v>
      </c>
      <c r="C362" t="s">
        <v>314</v>
      </c>
      <c r="D362" t="s">
        <v>315</v>
      </c>
      <c r="E362" s="2">
        <v>252</v>
      </c>
    </row>
    <row r="363" spans="1:5" x14ac:dyDescent="0.25">
      <c r="A363" s="1">
        <v>43363</v>
      </c>
      <c r="B363">
        <v>118823</v>
      </c>
      <c r="C363" t="s">
        <v>316</v>
      </c>
      <c r="D363" t="s">
        <v>557</v>
      </c>
      <c r="E363" s="2">
        <v>350</v>
      </c>
    </row>
    <row r="364" spans="1:5" x14ac:dyDescent="0.25">
      <c r="A364" s="1">
        <v>43363</v>
      </c>
      <c r="B364">
        <v>118824</v>
      </c>
      <c r="C364" t="s">
        <v>317</v>
      </c>
      <c r="D364" t="s">
        <v>558</v>
      </c>
      <c r="E364" s="2">
        <v>3500</v>
      </c>
    </row>
    <row r="365" spans="1:5" x14ac:dyDescent="0.25">
      <c r="A365" s="1">
        <v>43363</v>
      </c>
      <c r="B365">
        <v>118826</v>
      </c>
      <c r="C365" t="s">
        <v>318</v>
      </c>
      <c r="D365" t="s">
        <v>559</v>
      </c>
      <c r="E365" s="2">
        <v>77401.47</v>
      </c>
    </row>
    <row r="366" spans="1:5" x14ac:dyDescent="0.25">
      <c r="A366" s="1">
        <v>43363</v>
      </c>
      <c r="B366">
        <v>118826</v>
      </c>
      <c r="C366" t="s">
        <v>318</v>
      </c>
      <c r="D366" t="s">
        <v>560</v>
      </c>
      <c r="E366" s="2">
        <v>13280.61</v>
      </c>
    </row>
    <row r="367" spans="1:5" x14ac:dyDescent="0.25">
      <c r="A367" s="1">
        <v>43363</v>
      </c>
      <c r="B367">
        <v>118826</v>
      </c>
      <c r="C367" t="s">
        <v>318</v>
      </c>
      <c r="D367" t="s">
        <v>561</v>
      </c>
      <c r="E367" s="2">
        <v>1206.56</v>
      </c>
    </row>
    <row r="368" spans="1:5" x14ac:dyDescent="0.25">
      <c r="A368" s="1">
        <v>43363</v>
      </c>
      <c r="B368">
        <v>118827</v>
      </c>
      <c r="C368" t="s">
        <v>319</v>
      </c>
      <c r="D368" t="s">
        <v>562</v>
      </c>
      <c r="E368" s="2">
        <v>170</v>
      </c>
    </row>
    <row r="369" spans="1:5" x14ac:dyDescent="0.25">
      <c r="A369" s="1">
        <v>43363</v>
      </c>
      <c r="B369">
        <v>118828</v>
      </c>
      <c r="C369" t="s">
        <v>320</v>
      </c>
      <c r="D369" t="s">
        <v>511</v>
      </c>
      <c r="E369" s="2">
        <v>375</v>
      </c>
    </row>
    <row r="370" spans="1:5" x14ac:dyDescent="0.25">
      <c r="A370" s="1">
        <v>43363</v>
      </c>
      <c r="B370">
        <v>118828</v>
      </c>
      <c r="C370" t="s">
        <v>320</v>
      </c>
      <c r="D370" t="s">
        <v>511</v>
      </c>
      <c r="E370" s="2">
        <v>2625</v>
      </c>
    </row>
    <row r="371" spans="1:5" x14ac:dyDescent="0.25">
      <c r="A371" s="1">
        <v>43363</v>
      </c>
      <c r="B371">
        <v>118828</v>
      </c>
      <c r="C371" t="s">
        <v>320</v>
      </c>
      <c r="D371" t="s">
        <v>511</v>
      </c>
      <c r="E371" s="2">
        <v>165</v>
      </c>
    </row>
    <row r="372" spans="1:5" x14ac:dyDescent="0.25">
      <c r="A372" s="1">
        <v>43363</v>
      </c>
      <c r="B372">
        <v>118829</v>
      </c>
      <c r="C372" t="s">
        <v>166</v>
      </c>
      <c r="D372" t="s">
        <v>468</v>
      </c>
      <c r="E372" s="2">
        <v>135</v>
      </c>
    </row>
    <row r="373" spans="1:5" x14ac:dyDescent="0.25">
      <c r="A373" s="1">
        <v>43363</v>
      </c>
      <c r="B373">
        <v>118831</v>
      </c>
      <c r="C373" t="s">
        <v>321</v>
      </c>
      <c r="D373" t="s">
        <v>468</v>
      </c>
      <c r="E373" s="2">
        <v>240</v>
      </c>
    </row>
    <row r="374" spans="1:5" x14ac:dyDescent="0.25">
      <c r="A374" s="1">
        <v>43363</v>
      </c>
      <c r="B374">
        <v>118831</v>
      </c>
      <c r="C374" t="s">
        <v>321</v>
      </c>
      <c r="D374" t="s">
        <v>468</v>
      </c>
      <c r="E374" s="2">
        <v>240</v>
      </c>
    </row>
    <row r="375" spans="1:5" x14ac:dyDescent="0.25">
      <c r="A375" s="1">
        <v>43363</v>
      </c>
      <c r="B375">
        <v>118831</v>
      </c>
      <c r="C375" t="s">
        <v>321</v>
      </c>
      <c r="D375" t="s">
        <v>563</v>
      </c>
      <c r="E375" s="2">
        <v>240</v>
      </c>
    </row>
    <row r="376" spans="1:5" x14ac:dyDescent="0.25">
      <c r="A376" s="1">
        <v>43363</v>
      </c>
      <c r="B376">
        <v>118831</v>
      </c>
      <c r="C376" t="s">
        <v>321</v>
      </c>
      <c r="D376" t="s">
        <v>563</v>
      </c>
      <c r="E376" s="2">
        <v>240</v>
      </c>
    </row>
    <row r="377" spans="1:5" x14ac:dyDescent="0.25">
      <c r="A377" s="1">
        <v>43363</v>
      </c>
      <c r="B377">
        <v>118831</v>
      </c>
      <c r="C377" t="s">
        <v>321</v>
      </c>
      <c r="D377" t="s">
        <v>563</v>
      </c>
      <c r="E377" s="2">
        <v>240</v>
      </c>
    </row>
    <row r="378" spans="1:5" x14ac:dyDescent="0.25">
      <c r="A378" s="1">
        <v>43363</v>
      </c>
      <c r="B378">
        <v>118832</v>
      </c>
      <c r="C378" t="s">
        <v>322</v>
      </c>
      <c r="D378" t="s">
        <v>468</v>
      </c>
      <c r="E378" s="2">
        <v>125</v>
      </c>
    </row>
    <row r="379" spans="1:5" x14ac:dyDescent="0.25">
      <c r="A379" s="1">
        <v>43363</v>
      </c>
      <c r="B379">
        <v>118833</v>
      </c>
      <c r="C379" t="s">
        <v>323</v>
      </c>
      <c r="D379" t="s">
        <v>468</v>
      </c>
      <c r="E379" s="2">
        <v>386</v>
      </c>
    </row>
    <row r="380" spans="1:5" x14ac:dyDescent="0.25">
      <c r="A380" s="1">
        <v>43363</v>
      </c>
      <c r="B380">
        <v>118834</v>
      </c>
      <c r="C380" t="s">
        <v>167</v>
      </c>
      <c r="D380" t="s">
        <v>511</v>
      </c>
      <c r="E380" s="2">
        <v>450</v>
      </c>
    </row>
    <row r="381" spans="1:5" x14ac:dyDescent="0.25">
      <c r="A381" s="1">
        <v>43363</v>
      </c>
      <c r="B381">
        <v>118834</v>
      </c>
      <c r="C381" t="s">
        <v>167</v>
      </c>
      <c r="D381" t="s">
        <v>511</v>
      </c>
      <c r="E381" s="2">
        <v>150</v>
      </c>
    </row>
    <row r="382" spans="1:5" x14ac:dyDescent="0.25">
      <c r="A382" s="1">
        <v>43363</v>
      </c>
      <c r="B382">
        <v>118835</v>
      </c>
      <c r="C382" t="s">
        <v>170</v>
      </c>
      <c r="D382" t="s">
        <v>511</v>
      </c>
      <c r="E382" s="2">
        <v>405</v>
      </c>
    </row>
    <row r="383" spans="1:5" x14ac:dyDescent="0.25">
      <c r="A383" s="1">
        <v>43363</v>
      </c>
      <c r="B383">
        <v>118836</v>
      </c>
      <c r="C383" t="s">
        <v>324</v>
      </c>
      <c r="D383" t="s">
        <v>564</v>
      </c>
      <c r="E383" s="2">
        <v>6364.57</v>
      </c>
    </row>
    <row r="384" spans="1:5" x14ac:dyDescent="0.25">
      <c r="A384" s="1">
        <v>43363</v>
      </c>
      <c r="B384">
        <v>118837</v>
      </c>
      <c r="C384" t="s">
        <v>325</v>
      </c>
      <c r="D384" t="s">
        <v>445</v>
      </c>
      <c r="E384" s="2">
        <v>1049.7</v>
      </c>
    </row>
    <row r="385" spans="1:5" x14ac:dyDescent="0.25">
      <c r="A385" s="1">
        <v>43363</v>
      </c>
      <c r="B385">
        <v>118838</v>
      </c>
      <c r="C385" t="s">
        <v>179</v>
      </c>
      <c r="D385" t="s">
        <v>565</v>
      </c>
      <c r="E385" s="2">
        <v>1041.52</v>
      </c>
    </row>
    <row r="386" spans="1:5" x14ac:dyDescent="0.25">
      <c r="A386" s="1">
        <v>43363</v>
      </c>
      <c r="B386">
        <v>118839</v>
      </c>
      <c r="C386" t="s">
        <v>326</v>
      </c>
      <c r="D386" t="s">
        <v>566</v>
      </c>
      <c r="E386" s="2">
        <v>3450</v>
      </c>
    </row>
    <row r="387" spans="1:5" x14ac:dyDescent="0.25">
      <c r="A387" s="1">
        <v>43363</v>
      </c>
      <c r="B387">
        <v>118840</v>
      </c>
      <c r="C387" t="s">
        <v>222</v>
      </c>
      <c r="D387" t="s">
        <v>416</v>
      </c>
      <c r="E387" s="3">
        <v>-126.72</v>
      </c>
    </row>
    <row r="388" spans="1:5" x14ac:dyDescent="0.25">
      <c r="A388" s="1">
        <v>43363</v>
      </c>
      <c r="B388">
        <v>118840</v>
      </c>
      <c r="C388" t="s">
        <v>222</v>
      </c>
      <c r="D388" t="s">
        <v>446</v>
      </c>
      <c r="E388" s="2">
        <v>114.09</v>
      </c>
    </row>
    <row r="389" spans="1:5" x14ac:dyDescent="0.25">
      <c r="A389" s="1">
        <v>43363</v>
      </c>
      <c r="B389">
        <v>118840</v>
      </c>
      <c r="C389" t="s">
        <v>222</v>
      </c>
      <c r="D389" t="s">
        <v>567</v>
      </c>
      <c r="E389" s="2">
        <v>93.27</v>
      </c>
    </row>
    <row r="390" spans="1:5" x14ac:dyDescent="0.25">
      <c r="A390" s="1">
        <v>43363</v>
      </c>
      <c r="B390">
        <v>118841</v>
      </c>
      <c r="C390" t="s">
        <v>327</v>
      </c>
      <c r="D390" t="s">
        <v>328</v>
      </c>
      <c r="E390" s="2">
        <f>1000+1742.11+27.5</f>
        <v>2769.6099999999997</v>
      </c>
    </row>
    <row r="391" spans="1:5" x14ac:dyDescent="0.25">
      <c r="A391" s="1">
        <v>43363</v>
      </c>
      <c r="B391">
        <v>118842</v>
      </c>
      <c r="C391" t="s">
        <v>329</v>
      </c>
      <c r="D391" t="s">
        <v>568</v>
      </c>
      <c r="E391" s="2">
        <v>750</v>
      </c>
    </row>
    <row r="392" spans="1:5" x14ac:dyDescent="0.25">
      <c r="A392" s="1">
        <v>43363</v>
      </c>
      <c r="B392">
        <v>118843</v>
      </c>
      <c r="C392" t="s">
        <v>330</v>
      </c>
      <c r="D392" t="s">
        <v>569</v>
      </c>
      <c r="E392" s="2">
        <v>400</v>
      </c>
    </row>
    <row r="393" spans="1:5" x14ac:dyDescent="0.25">
      <c r="A393" s="1">
        <v>43363</v>
      </c>
      <c r="B393">
        <v>118844</v>
      </c>
      <c r="C393" t="s">
        <v>61</v>
      </c>
      <c r="D393" t="s">
        <v>412</v>
      </c>
      <c r="E393" s="2">
        <v>5000</v>
      </c>
    </row>
    <row r="394" spans="1:5" x14ac:dyDescent="0.25">
      <c r="A394" s="1">
        <v>43363</v>
      </c>
      <c r="B394">
        <v>118845</v>
      </c>
      <c r="C394" t="s">
        <v>331</v>
      </c>
      <c r="D394" t="s">
        <v>570</v>
      </c>
      <c r="E394" s="2">
        <v>1500</v>
      </c>
    </row>
    <row r="395" spans="1:5" x14ac:dyDescent="0.25">
      <c r="A395" s="1">
        <v>43363</v>
      </c>
      <c r="B395">
        <v>181900008</v>
      </c>
      <c r="C395" t="s">
        <v>398</v>
      </c>
      <c r="D395" t="s">
        <v>595</v>
      </c>
      <c r="E395" s="2">
        <v>129052.8</v>
      </c>
    </row>
    <row r="396" spans="1:5" x14ac:dyDescent="0.25">
      <c r="A396" s="1">
        <v>43363</v>
      </c>
      <c r="B396">
        <v>181900009</v>
      </c>
      <c r="C396" t="s">
        <v>399</v>
      </c>
      <c r="D396" t="s">
        <v>418</v>
      </c>
      <c r="E396" s="2">
        <v>131</v>
      </c>
    </row>
    <row r="397" spans="1:5" x14ac:dyDescent="0.25">
      <c r="A397" s="1">
        <v>43369</v>
      </c>
      <c r="B397">
        <v>118846</v>
      </c>
      <c r="C397" t="s">
        <v>64</v>
      </c>
      <c r="D397" t="s">
        <v>447</v>
      </c>
      <c r="E397" s="2">
        <v>100</v>
      </c>
    </row>
    <row r="398" spans="1:5" x14ac:dyDescent="0.25">
      <c r="A398" s="1">
        <v>43369</v>
      </c>
      <c r="B398">
        <v>118846</v>
      </c>
      <c r="C398" t="s">
        <v>64</v>
      </c>
      <c r="D398" t="s">
        <v>332</v>
      </c>
      <c r="E398" s="2">
        <v>1537</v>
      </c>
    </row>
    <row r="399" spans="1:5" x14ac:dyDescent="0.25">
      <c r="A399" s="1">
        <v>43369</v>
      </c>
      <c r="B399">
        <v>118846</v>
      </c>
      <c r="C399" t="s">
        <v>64</v>
      </c>
      <c r="D399" t="s">
        <v>571</v>
      </c>
      <c r="E399" s="2">
        <v>5085</v>
      </c>
    </row>
    <row r="400" spans="1:5" x14ac:dyDescent="0.25">
      <c r="A400" s="1">
        <v>43369</v>
      </c>
      <c r="B400">
        <v>118846</v>
      </c>
      <c r="C400" t="s">
        <v>64</v>
      </c>
      <c r="D400" t="s">
        <v>572</v>
      </c>
      <c r="E400" s="2">
        <v>240</v>
      </c>
    </row>
    <row r="401" spans="1:5" x14ac:dyDescent="0.25">
      <c r="A401" s="1">
        <v>43369</v>
      </c>
      <c r="B401">
        <v>118847</v>
      </c>
      <c r="C401" t="s">
        <v>333</v>
      </c>
      <c r="D401" t="s">
        <v>573</v>
      </c>
      <c r="E401" s="2">
        <v>83.92</v>
      </c>
    </row>
    <row r="402" spans="1:5" x14ac:dyDescent="0.25">
      <c r="A402" s="1">
        <v>43369</v>
      </c>
      <c r="B402">
        <v>118848</v>
      </c>
      <c r="C402" t="s">
        <v>7</v>
      </c>
      <c r="D402" t="s">
        <v>334</v>
      </c>
      <c r="E402" s="2">
        <v>270</v>
      </c>
    </row>
    <row r="403" spans="1:5" x14ac:dyDescent="0.25">
      <c r="A403" s="1">
        <v>43369</v>
      </c>
      <c r="B403">
        <v>118848</v>
      </c>
      <c r="C403" t="s">
        <v>7</v>
      </c>
      <c r="D403" t="s">
        <v>335</v>
      </c>
      <c r="E403" s="2">
        <v>50</v>
      </c>
    </row>
    <row r="404" spans="1:5" x14ac:dyDescent="0.25">
      <c r="A404" s="1">
        <v>43369</v>
      </c>
      <c r="B404">
        <v>118849</v>
      </c>
      <c r="C404" t="s">
        <v>199</v>
      </c>
      <c r="D404" t="s">
        <v>448</v>
      </c>
      <c r="E404" s="2">
        <v>168</v>
      </c>
    </row>
    <row r="405" spans="1:5" x14ac:dyDescent="0.25">
      <c r="A405" s="1">
        <v>43369</v>
      </c>
      <c r="B405">
        <v>118850</v>
      </c>
      <c r="C405" t="s">
        <v>44</v>
      </c>
      <c r="D405" t="s">
        <v>602</v>
      </c>
      <c r="E405" s="2">
        <v>98.85</v>
      </c>
    </row>
    <row r="406" spans="1:5" x14ac:dyDescent="0.25">
      <c r="A406" s="1">
        <v>43369</v>
      </c>
      <c r="B406">
        <v>118851</v>
      </c>
      <c r="C406" t="s">
        <v>336</v>
      </c>
      <c r="D406" t="s">
        <v>449</v>
      </c>
      <c r="E406" s="2">
        <v>60</v>
      </c>
    </row>
    <row r="407" spans="1:5" x14ac:dyDescent="0.25">
      <c r="A407" s="1">
        <v>43369</v>
      </c>
      <c r="B407">
        <v>118852</v>
      </c>
      <c r="C407" t="s">
        <v>337</v>
      </c>
      <c r="D407" t="s">
        <v>450</v>
      </c>
      <c r="E407" s="2">
        <v>231</v>
      </c>
    </row>
    <row r="408" spans="1:5" x14ac:dyDescent="0.25">
      <c r="A408" s="1">
        <v>43369</v>
      </c>
      <c r="B408">
        <v>118852</v>
      </c>
      <c r="C408" t="s">
        <v>337</v>
      </c>
      <c r="D408" t="s">
        <v>450</v>
      </c>
      <c r="E408" s="2">
        <v>261.99</v>
      </c>
    </row>
    <row r="409" spans="1:5" x14ac:dyDescent="0.25">
      <c r="A409" s="1">
        <v>43369</v>
      </c>
      <c r="B409">
        <v>118853</v>
      </c>
      <c r="C409" t="s">
        <v>77</v>
      </c>
      <c r="D409" t="s">
        <v>338</v>
      </c>
      <c r="E409" s="2">
        <v>35</v>
      </c>
    </row>
    <row r="410" spans="1:5" x14ac:dyDescent="0.25">
      <c r="A410" s="1">
        <v>43369</v>
      </c>
      <c r="B410">
        <v>118854</v>
      </c>
      <c r="C410" t="s">
        <v>77</v>
      </c>
      <c r="D410" t="s">
        <v>339</v>
      </c>
      <c r="E410" s="2">
        <v>100</v>
      </c>
    </row>
    <row r="411" spans="1:5" x14ac:dyDescent="0.25">
      <c r="A411" s="1">
        <v>43369</v>
      </c>
      <c r="B411">
        <v>118855</v>
      </c>
      <c r="C411" t="s">
        <v>14</v>
      </c>
      <c r="D411" t="s">
        <v>340</v>
      </c>
      <c r="E411" s="2">
        <v>96.71</v>
      </c>
    </row>
    <row r="412" spans="1:5" x14ac:dyDescent="0.25">
      <c r="A412" s="1">
        <v>43369</v>
      </c>
      <c r="B412">
        <v>118856</v>
      </c>
      <c r="C412" t="s">
        <v>341</v>
      </c>
      <c r="D412" t="s">
        <v>601</v>
      </c>
      <c r="E412" s="2">
        <v>205</v>
      </c>
    </row>
    <row r="413" spans="1:5" x14ac:dyDescent="0.25">
      <c r="A413" s="1">
        <v>43369</v>
      </c>
      <c r="B413">
        <v>118857</v>
      </c>
      <c r="C413" t="s">
        <v>92</v>
      </c>
      <c r="D413" t="s">
        <v>451</v>
      </c>
      <c r="E413" s="2">
        <v>5629.08</v>
      </c>
    </row>
    <row r="414" spans="1:5" x14ac:dyDescent="0.25">
      <c r="A414" s="1">
        <v>43370</v>
      </c>
      <c r="B414">
        <v>118858</v>
      </c>
      <c r="C414" t="s">
        <v>97</v>
      </c>
      <c r="D414" t="s">
        <v>342</v>
      </c>
      <c r="E414" s="2">
        <v>498.1</v>
      </c>
    </row>
    <row r="415" spans="1:5" x14ac:dyDescent="0.25">
      <c r="A415" s="1">
        <v>43370</v>
      </c>
      <c r="B415">
        <v>118859</v>
      </c>
      <c r="C415" t="s">
        <v>343</v>
      </c>
      <c r="D415" t="s">
        <v>452</v>
      </c>
      <c r="E415" s="2">
        <v>264</v>
      </c>
    </row>
    <row r="416" spans="1:5" x14ac:dyDescent="0.25">
      <c r="A416" s="1">
        <v>43370</v>
      </c>
      <c r="B416">
        <v>118860</v>
      </c>
      <c r="C416" t="s">
        <v>344</v>
      </c>
      <c r="D416" t="s">
        <v>345</v>
      </c>
      <c r="E416" s="2">
        <v>500</v>
      </c>
    </row>
    <row r="417" spans="1:5" x14ac:dyDescent="0.25">
      <c r="A417" s="1">
        <v>43370</v>
      </c>
      <c r="B417">
        <v>118861</v>
      </c>
      <c r="C417" t="s">
        <v>346</v>
      </c>
      <c r="D417" t="s">
        <v>347</v>
      </c>
      <c r="E417" s="2">
        <v>1108</v>
      </c>
    </row>
    <row r="418" spans="1:5" x14ac:dyDescent="0.25">
      <c r="A418" s="1">
        <v>43370</v>
      </c>
      <c r="B418">
        <v>118862</v>
      </c>
      <c r="C418" t="s">
        <v>348</v>
      </c>
      <c r="D418" t="s">
        <v>511</v>
      </c>
      <c r="E418" s="2">
        <v>1000</v>
      </c>
    </row>
    <row r="419" spans="1:5" x14ac:dyDescent="0.25">
      <c r="A419" s="1">
        <v>43370</v>
      </c>
      <c r="B419">
        <v>118863</v>
      </c>
      <c r="C419" t="s">
        <v>349</v>
      </c>
      <c r="D419" t="s">
        <v>511</v>
      </c>
      <c r="E419" s="2">
        <v>345</v>
      </c>
    </row>
    <row r="420" spans="1:5" x14ac:dyDescent="0.25">
      <c r="A420" s="1">
        <v>43370</v>
      </c>
      <c r="B420">
        <v>118864</v>
      </c>
      <c r="C420" t="s">
        <v>247</v>
      </c>
      <c r="D420" t="s">
        <v>453</v>
      </c>
      <c r="E420" s="2">
        <f>2202.4+9732.36+85+1429.49+1138.1+46.63+1438.12+889.25+373.05+2661.05+1131.31</f>
        <v>21126.76</v>
      </c>
    </row>
    <row r="421" spans="1:5" x14ac:dyDescent="0.25">
      <c r="A421" s="1">
        <v>43370</v>
      </c>
      <c r="B421">
        <v>118867</v>
      </c>
      <c r="C421" t="s">
        <v>31</v>
      </c>
      <c r="D421" t="s">
        <v>574</v>
      </c>
      <c r="E421" s="2">
        <v>243.84</v>
      </c>
    </row>
    <row r="422" spans="1:5" x14ac:dyDescent="0.25">
      <c r="A422" s="1">
        <v>43370</v>
      </c>
      <c r="B422">
        <v>118868</v>
      </c>
      <c r="C422" t="s">
        <v>350</v>
      </c>
      <c r="D422" t="s">
        <v>351</v>
      </c>
      <c r="E422" s="2">
        <f>296+205+770</f>
        <v>1271</v>
      </c>
    </row>
    <row r="423" spans="1:5" x14ac:dyDescent="0.25">
      <c r="A423" s="1">
        <v>43370</v>
      </c>
      <c r="B423">
        <v>118869</v>
      </c>
      <c r="C423" t="s">
        <v>352</v>
      </c>
      <c r="D423" t="s">
        <v>353</v>
      </c>
      <c r="E423" s="2">
        <v>318</v>
      </c>
    </row>
    <row r="424" spans="1:5" x14ac:dyDescent="0.25">
      <c r="A424" s="1">
        <v>43370</v>
      </c>
      <c r="B424">
        <v>118870</v>
      </c>
      <c r="C424" t="s">
        <v>68</v>
      </c>
      <c r="D424" t="s">
        <v>491</v>
      </c>
      <c r="E424" s="2">
        <v>729.56</v>
      </c>
    </row>
    <row r="425" spans="1:5" x14ac:dyDescent="0.25">
      <c r="A425" s="1">
        <v>43370</v>
      </c>
      <c r="B425">
        <v>118870</v>
      </c>
      <c r="C425" t="s">
        <v>68</v>
      </c>
      <c r="D425" t="s">
        <v>491</v>
      </c>
      <c r="E425" s="2">
        <v>47.49</v>
      </c>
    </row>
    <row r="426" spans="1:5" x14ac:dyDescent="0.25">
      <c r="A426" s="1">
        <v>43370</v>
      </c>
      <c r="B426">
        <v>118871</v>
      </c>
      <c r="C426" t="s">
        <v>354</v>
      </c>
      <c r="D426" t="s">
        <v>36</v>
      </c>
      <c r="E426" s="2">
        <v>50.39</v>
      </c>
    </row>
    <row r="427" spans="1:5" x14ac:dyDescent="0.25">
      <c r="A427" s="1">
        <v>43370</v>
      </c>
      <c r="B427">
        <v>118872</v>
      </c>
      <c r="C427" t="s">
        <v>355</v>
      </c>
      <c r="D427" t="s">
        <v>356</v>
      </c>
      <c r="E427" s="2">
        <v>238.91</v>
      </c>
    </row>
    <row r="428" spans="1:5" x14ac:dyDescent="0.25">
      <c r="A428" s="1">
        <v>43370</v>
      </c>
      <c r="B428">
        <v>118873</v>
      </c>
      <c r="C428" t="s">
        <v>357</v>
      </c>
      <c r="D428" t="s">
        <v>454</v>
      </c>
      <c r="E428" s="2">
        <v>757.3</v>
      </c>
    </row>
    <row r="429" spans="1:5" x14ac:dyDescent="0.25">
      <c r="A429" s="1">
        <v>43370</v>
      </c>
      <c r="B429">
        <v>118874</v>
      </c>
      <c r="C429" t="s">
        <v>358</v>
      </c>
      <c r="D429" t="s">
        <v>359</v>
      </c>
      <c r="E429" s="2">
        <v>5482.4</v>
      </c>
    </row>
    <row r="430" spans="1:5" x14ac:dyDescent="0.25">
      <c r="A430" s="1">
        <v>43370</v>
      </c>
      <c r="B430">
        <v>118875</v>
      </c>
      <c r="C430" t="s">
        <v>360</v>
      </c>
      <c r="D430" t="s">
        <v>575</v>
      </c>
      <c r="E430" s="2">
        <v>150</v>
      </c>
    </row>
    <row r="431" spans="1:5" x14ac:dyDescent="0.25">
      <c r="A431" s="1">
        <v>43370</v>
      </c>
      <c r="B431">
        <v>118876</v>
      </c>
      <c r="C431" t="s">
        <v>361</v>
      </c>
      <c r="D431" t="s">
        <v>576</v>
      </c>
      <c r="E431" s="2">
        <v>46.25</v>
      </c>
    </row>
    <row r="432" spans="1:5" x14ac:dyDescent="0.25">
      <c r="A432" s="1">
        <v>43370</v>
      </c>
      <c r="B432">
        <v>118877</v>
      </c>
      <c r="C432" t="s">
        <v>362</v>
      </c>
      <c r="D432" t="s">
        <v>577</v>
      </c>
      <c r="E432" s="2">
        <v>3500</v>
      </c>
    </row>
    <row r="433" spans="1:5" x14ac:dyDescent="0.25">
      <c r="A433" s="1">
        <v>43370</v>
      </c>
      <c r="B433">
        <v>118878</v>
      </c>
      <c r="C433" t="s">
        <v>116</v>
      </c>
      <c r="D433" t="s">
        <v>578</v>
      </c>
      <c r="E433" s="2">
        <v>175</v>
      </c>
    </row>
    <row r="434" spans="1:5" x14ac:dyDescent="0.25">
      <c r="A434" s="1">
        <v>43370</v>
      </c>
      <c r="B434">
        <v>118879</v>
      </c>
      <c r="C434" t="s">
        <v>363</v>
      </c>
      <c r="D434" t="s">
        <v>579</v>
      </c>
      <c r="E434" s="2">
        <v>350</v>
      </c>
    </row>
    <row r="435" spans="1:5" x14ac:dyDescent="0.25">
      <c r="A435" s="1">
        <v>43370</v>
      </c>
      <c r="B435">
        <v>118880</v>
      </c>
      <c r="C435" t="s">
        <v>364</v>
      </c>
      <c r="D435" t="s">
        <v>580</v>
      </c>
      <c r="E435" s="2">
        <v>541.69000000000005</v>
      </c>
    </row>
    <row r="436" spans="1:5" x14ac:dyDescent="0.25">
      <c r="A436" s="1">
        <v>43370</v>
      </c>
      <c r="B436">
        <v>118881</v>
      </c>
      <c r="C436" t="s">
        <v>365</v>
      </c>
      <c r="D436" t="s">
        <v>455</v>
      </c>
      <c r="E436" s="2">
        <v>188.5</v>
      </c>
    </row>
    <row r="437" spans="1:5" x14ac:dyDescent="0.25">
      <c r="A437" s="1">
        <v>43370</v>
      </c>
      <c r="B437">
        <v>118882</v>
      </c>
      <c r="C437" t="s">
        <v>366</v>
      </c>
      <c r="D437" t="s">
        <v>581</v>
      </c>
      <c r="E437" s="2">
        <v>800</v>
      </c>
    </row>
    <row r="438" spans="1:5" x14ac:dyDescent="0.25">
      <c r="A438" s="1">
        <v>43370</v>
      </c>
      <c r="B438">
        <v>118883</v>
      </c>
      <c r="C438" t="s">
        <v>269</v>
      </c>
      <c r="D438" t="s">
        <v>367</v>
      </c>
      <c r="E438" s="2">
        <v>21.5</v>
      </c>
    </row>
    <row r="439" spans="1:5" x14ac:dyDescent="0.25">
      <c r="A439" s="1">
        <v>43370</v>
      </c>
      <c r="B439">
        <v>118883</v>
      </c>
      <c r="C439" t="s">
        <v>269</v>
      </c>
      <c r="D439" t="s">
        <v>367</v>
      </c>
      <c r="E439" s="2">
        <v>1608.14</v>
      </c>
    </row>
    <row r="440" spans="1:5" x14ac:dyDescent="0.25">
      <c r="A440" s="1">
        <v>43370</v>
      </c>
      <c r="B440">
        <v>118883</v>
      </c>
      <c r="C440" t="s">
        <v>269</v>
      </c>
      <c r="D440" t="s">
        <v>416</v>
      </c>
      <c r="E440" s="3">
        <v>-72</v>
      </c>
    </row>
    <row r="441" spans="1:5" x14ac:dyDescent="0.25">
      <c r="A441" s="1">
        <v>43370</v>
      </c>
      <c r="B441">
        <v>118883</v>
      </c>
      <c r="C441" t="s">
        <v>269</v>
      </c>
      <c r="D441" t="s">
        <v>416</v>
      </c>
      <c r="E441" s="3">
        <v>-125</v>
      </c>
    </row>
    <row r="442" spans="1:5" x14ac:dyDescent="0.25">
      <c r="A442" s="1">
        <v>43370</v>
      </c>
      <c r="B442">
        <v>118883</v>
      </c>
      <c r="C442" t="s">
        <v>269</v>
      </c>
      <c r="D442" t="s">
        <v>416</v>
      </c>
      <c r="E442" s="3">
        <v>-65</v>
      </c>
    </row>
    <row r="443" spans="1:5" x14ac:dyDescent="0.25">
      <c r="A443" s="1">
        <v>43370</v>
      </c>
      <c r="B443">
        <v>118884</v>
      </c>
      <c r="C443" t="s">
        <v>368</v>
      </c>
      <c r="D443" t="s">
        <v>582</v>
      </c>
      <c r="E443" s="2">
        <v>800</v>
      </c>
    </row>
    <row r="444" spans="1:5" x14ac:dyDescent="0.25">
      <c r="A444" s="1">
        <v>43370</v>
      </c>
      <c r="B444">
        <v>118885</v>
      </c>
      <c r="C444" t="s">
        <v>272</v>
      </c>
      <c r="D444" t="s">
        <v>273</v>
      </c>
      <c r="E444" s="2">
        <f>400+360+120+520</f>
        <v>1400</v>
      </c>
    </row>
    <row r="445" spans="1:5" x14ac:dyDescent="0.25">
      <c r="A445" s="1">
        <v>43370</v>
      </c>
      <c r="B445">
        <v>118886</v>
      </c>
      <c r="C445" t="s">
        <v>369</v>
      </c>
      <c r="D445" t="s">
        <v>370</v>
      </c>
      <c r="E445" s="2">
        <v>3060</v>
      </c>
    </row>
    <row r="446" spans="1:5" x14ac:dyDescent="0.25">
      <c r="A446" s="1">
        <v>43370</v>
      </c>
      <c r="B446">
        <v>118887</v>
      </c>
      <c r="C446" t="s">
        <v>62</v>
      </c>
      <c r="D446" t="s">
        <v>371</v>
      </c>
      <c r="E446" s="2">
        <v>420</v>
      </c>
    </row>
    <row r="447" spans="1:5" x14ac:dyDescent="0.25">
      <c r="A447" s="1">
        <v>43370</v>
      </c>
      <c r="B447">
        <v>118888</v>
      </c>
      <c r="C447" t="s">
        <v>274</v>
      </c>
      <c r="D447" t="s">
        <v>583</v>
      </c>
      <c r="E447" s="2">
        <v>886.82</v>
      </c>
    </row>
    <row r="448" spans="1:5" x14ac:dyDescent="0.25">
      <c r="A448" s="1">
        <v>43370</v>
      </c>
      <c r="B448">
        <v>118889</v>
      </c>
      <c r="C448" t="s">
        <v>372</v>
      </c>
      <c r="D448" t="s">
        <v>584</v>
      </c>
      <c r="E448" s="2">
        <v>500</v>
      </c>
    </row>
    <row r="449" spans="1:5" x14ac:dyDescent="0.25">
      <c r="A449" s="1">
        <v>43370</v>
      </c>
      <c r="B449">
        <v>118890</v>
      </c>
      <c r="C449" t="s">
        <v>48</v>
      </c>
      <c r="D449" t="s">
        <v>465</v>
      </c>
      <c r="E449" s="2">
        <v>8544.75</v>
      </c>
    </row>
    <row r="450" spans="1:5" x14ac:dyDescent="0.25">
      <c r="A450" s="1">
        <v>43370</v>
      </c>
      <c r="B450">
        <v>118891</v>
      </c>
      <c r="C450" t="s">
        <v>74</v>
      </c>
      <c r="D450" t="s">
        <v>373</v>
      </c>
      <c r="E450" s="2">
        <v>330.67</v>
      </c>
    </row>
    <row r="451" spans="1:5" x14ac:dyDescent="0.25">
      <c r="A451" s="1">
        <v>43370</v>
      </c>
      <c r="B451">
        <v>118891</v>
      </c>
      <c r="C451" t="s">
        <v>74</v>
      </c>
      <c r="D451" t="s">
        <v>428</v>
      </c>
      <c r="E451" s="2">
        <v>398.43</v>
      </c>
    </row>
    <row r="452" spans="1:5" x14ac:dyDescent="0.25">
      <c r="A452" s="1">
        <v>43370</v>
      </c>
      <c r="B452">
        <v>118891</v>
      </c>
      <c r="C452" t="s">
        <v>74</v>
      </c>
      <c r="D452" t="s">
        <v>374</v>
      </c>
      <c r="E452" s="2">
        <v>664.7</v>
      </c>
    </row>
    <row r="453" spans="1:5" x14ac:dyDescent="0.25">
      <c r="A453" s="1">
        <v>43370</v>
      </c>
      <c r="B453">
        <v>118892</v>
      </c>
      <c r="C453" t="s">
        <v>375</v>
      </c>
      <c r="D453" t="s">
        <v>510</v>
      </c>
      <c r="E453" s="2">
        <v>7000</v>
      </c>
    </row>
    <row r="454" spans="1:5" x14ac:dyDescent="0.25">
      <c r="A454" s="1">
        <v>43370</v>
      </c>
      <c r="B454">
        <v>118893</v>
      </c>
      <c r="C454" t="s">
        <v>75</v>
      </c>
      <c r="D454" t="s">
        <v>376</v>
      </c>
      <c r="E454" s="2">
        <v>14.93</v>
      </c>
    </row>
    <row r="455" spans="1:5" x14ac:dyDescent="0.25">
      <c r="A455" s="1">
        <v>43370</v>
      </c>
      <c r="B455">
        <v>118894</v>
      </c>
      <c r="C455" t="s">
        <v>377</v>
      </c>
      <c r="D455" t="s">
        <v>422</v>
      </c>
      <c r="E455" s="2">
        <v>166</v>
      </c>
    </row>
    <row r="456" spans="1:5" x14ac:dyDescent="0.25">
      <c r="A456" s="1">
        <v>43370</v>
      </c>
      <c r="B456">
        <v>118895</v>
      </c>
      <c r="C456" t="s">
        <v>378</v>
      </c>
      <c r="D456" t="s">
        <v>379</v>
      </c>
      <c r="E456" s="2">
        <v>341.68</v>
      </c>
    </row>
    <row r="457" spans="1:5" x14ac:dyDescent="0.25">
      <c r="A457" s="1">
        <v>43370</v>
      </c>
      <c r="B457">
        <v>118896</v>
      </c>
      <c r="C457" t="s">
        <v>292</v>
      </c>
      <c r="D457" t="s">
        <v>380</v>
      </c>
      <c r="E457" s="2">
        <v>100</v>
      </c>
    </row>
    <row r="458" spans="1:5" x14ac:dyDescent="0.25">
      <c r="A458" s="1">
        <v>43370</v>
      </c>
      <c r="B458">
        <v>118897</v>
      </c>
      <c r="C458" t="s">
        <v>77</v>
      </c>
      <c r="D458" t="s">
        <v>338</v>
      </c>
      <c r="E458" s="2">
        <v>13.58</v>
      </c>
    </row>
    <row r="459" spans="1:5" x14ac:dyDescent="0.25">
      <c r="A459" s="1">
        <v>43370</v>
      </c>
      <c r="B459">
        <v>118898</v>
      </c>
      <c r="C459" t="s">
        <v>50</v>
      </c>
      <c r="D459" t="s">
        <v>467</v>
      </c>
      <c r="E459" s="2">
        <v>4550</v>
      </c>
    </row>
    <row r="460" spans="1:5" x14ac:dyDescent="0.25">
      <c r="A460" s="1">
        <v>43370</v>
      </c>
      <c r="B460">
        <v>118899</v>
      </c>
      <c r="C460" t="s">
        <v>80</v>
      </c>
      <c r="D460" t="s">
        <v>381</v>
      </c>
      <c r="E460" s="2">
        <v>77.650000000000006</v>
      </c>
    </row>
    <row r="461" spans="1:5" x14ac:dyDescent="0.25">
      <c r="A461" s="1">
        <v>43370</v>
      </c>
      <c r="B461">
        <v>118902</v>
      </c>
      <c r="C461" t="s">
        <v>302</v>
      </c>
      <c r="D461" t="s">
        <v>585</v>
      </c>
      <c r="E461" s="2">
        <v>136</v>
      </c>
    </row>
    <row r="462" spans="1:5" x14ac:dyDescent="0.25">
      <c r="A462" s="1">
        <v>43370</v>
      </c>
      <c r="B462">
        <v>118902</v>
      </c>
      <c r="C462" t="s">
        <v>302</v>
      </c>
      <c r="D462" t="s">
        <v>586</v>
      </c>
      <c r="E462" s="2">
        <v>295</v>
      </c>
    </row>
    <row r="463" spans="1:5" x14ac:dyDescent="0.25">
      <c r="A463" s="1">
        <v>43370</v>
      </c>
      <c r="B463">
        <v>118902</v>
      </c>
      <c r="C463" t="s">
        <v>302</v>
      </c>
      <c r="D463" t="s">
        <v>550</v>
      </c>
      <c r="E463" s="2">
        <v>322.89999999999998</v>
      </c>
    </row>
    <row r="464" spans="1:5" x14ac:dyDescent="0.25">
      <c r="A464" s="1">
        <v>43370</v>
      </c>
      <c r="B464">
        <v>118902</v>
      </c>
      <c r="C464" t="s">
        <v>302</v>
      </c>
      <c r="D464" t="s">
        <v>585</v>
      </c>
      <c r="E464" s="2">
        <v>134</v>
      </c>
    </row>
    <row r="465" spans="1:5" x14ac:dyDescent="0.25">
      <c r="A465" s="1">
        <v>43370</v>
      </c>
      <c r="B465">
        <v>118902</v>
      </c>
      <c r="C465" t="s">
        <v>302</v>
      </c>
      <c r="D465" t="s">
        <v>585</v>
      </c>
      <c r="E465" s="2">
        <v>58.6</v>
      </c>
    </row>
    <row r="466" spans="1:5" x14ac:dyDescent="0.25">
      <c r="A466" s="1">
        <v>43370</v>
      </c>
      <c r="B466">
        <v>118902</v>
      </c>
      <c r="C466" t="s">
        <v>302</v>
      </c>
      <c r="D466" t="s">
        <v>585</v>
      </c>
      <c r="E466" s="2">
        <v>112</v>
      </c>
    </row>
    <row r="467" spans="1:5" x14ac:dyDescent="0.25">
      <c r="A467" s="1">
        <v>43370</v>
      </c>
      <c r="B467">
        <v>118902</v>
      </c>
      <c r="C467" t="s">
        <v>302</v>
      </c>
      <c r="D467" t="s">
        <v>587</v>
      </c>
      <c r="E467" s="2">
        <v>868</v>
      </c>
    </row>
    <row r="468" spans="1:5" x14ac:dyDescent="0.25">
      <c r="A468" s="1">
        <v>43370</v>
      </c>
      <c r="B468">
        <v>118903</v>
      </c>
      <c r="C468" t="s">
        <v>382</v>
      </c>
      <c r="D468" t="s">
        <v>383</v>
      </c>
      <c r="E468" s="2">
        <v>3076.92</v>
      </c>
    </row>
    <row r="469" spans="1:5" x14ac:dyDescent="0.25">
      <c r="A469" s="1">
        <v>43370</v>
      </c>
      <c r="B469">
        <v>118904</v>
      </c>
      <c r="C469" t="s">
        <v>158</v>
      </c>
      <c r="D469" t="s">
        <v>421</v>
      </c>
      <c r="E469" s="2">
        <v>743.34</v>
      </c>
    </row>
    <row r="470" spans="1:5" x14ac:dyDescent="0.25">
      <c r="A470" s="1">
        <v>43370</v>
      </c>
      <c r="B470">
        <v>118905</v>
      </c>
      <c r="C470" t="s">
        <v>162</v>
      </c>
      <c r="D470" t="s">
        <v>163</v>
      </c>
      <c r="E470" s="2">
        <v>516</v>
      </c>
    </row>
    <row r="471" spans="1:5" x14ac:dyDescent="0.25">
      <c r="A471" s="1">
        <v>43370</v>
      </c>
      <c r="B471">
        <v>118906</v>
      </c>
      <c r="C471" t="s">
        <v>166</v>
      </c>
      <c r="D471" t="s">
        <v>511</v>
      </c>
      <c r="E471" s="2">
        <v>255</v>
      </c>
    </row>
    <row r="472" spans="1:5" x14ac:dyDescent="0.25">
      <c r="A472" s="1">
        <v>43370</v>
      </c>
      <c r="B472">
        <v>118906</v>
      </c>
      <c r="C472" t="s">
        <v>166</v>
      </c>
      <c r="D472" t="s">
        <v>511</v>
      </c>
      <c r="E472" s="2">
        <v>255</v>
      </c>
    </row>
    <row r="473" spans="1:5" x14ac:dyDescent="0.25">
      <c r="A473" s="1">
        <v>43370</v>
      </c>
      <c r="B473">
        <v>118906</v>
      </c>
      <c r="C473" t="s">
        <v>166</v>
      </c>
      <c r="D473" t="s">
        <v>511</v>
      </c>
      <c r="E473" s="2">
        <v>255</v>
      </c>
    </row>
    <row r="474" spans="1:5" x14ac:dyDescent="0.25">
      <c r="A474" s="1">
        <v>43370</v>
      </c>
      <c r="B474">
        <v>118907</v>
      </c>
      <c r="C474" t="s">
        <v>88</v>
      </c>
      <c r="D474" t="s">
        <v>600</v>
      </c>
      <c r="E474" s="2">
        <v>285</v>
      </c>
    </row>
    <row r="475" spans="1:5" x14ac:dyDescent="0.25">
      <c r="A475" s="1">
        <v>43370</v>
      </c>
      <c r="B475">
        <v>118908</v>
      </c>
      <c r="C475" t="s">
        <v>384</v>
      </c>
      <c r="D475" t="s">
        <v>588</v>
      </c>
      <c r="E475" s="2">
        <v>175</v>
      </c>
    </row>
    <row r="476" spans="1:5" x14ac:dyDescent="0.25">
      <c r="A476" s="1">
        <v>43370</v>
      </c>
      <c r="B476">
        <v>118909</v>
      </c>
      <c r="C476" t="s">
        <v>385</v>
      </c>
      <c r="D476" t="s">
        <v>386</v>
      </c>
      <c r="E476" s="2">
        <v>91.44</v>
      </c>
    </row>
    <row r="477" spans="1:5" x14ac:dyDescent="0.25">
      <c r="A477" s="1">
        <v>43370</v>
      </c>
      <c r="B477">
        <v>118910</v>
      </c>
      <c r="C477" t="s">
        <v>387</v>
      </c>
      <c r="D477" t="s">
        <v>420</v>
      </c>
      <c r="E477" s="2">
        <v>83.04</v>
      </c>
    </row>
    <row r="478" spans="1:5" x14ac:dyDescent="0.25">
      <c r="A478" s="1">
        <v>43370</v>
      </c>
      <c r="B478">
        <v>118912</v>
      </c>
      <c r="C478" t="s">
        <v>388</v>
      </c>
      <c r="D478" t="s">
        <v>589</v>
      </c>
      <c r="E478" s="2">
        <f>4548.46+503.02+996.05+1552.8+1545.34+3949.87</f>
        <v>13095.54</v>
      </c>
    </row>
    <row r="479" spans="1:5" x14ac:dyDescent="0.25">
      <c r="A479" s="1">
        <v>43370</v>
      </c>
      <c r="B479">
        <v>118913</v>
      </c>
      <c r="C479" t="s">
        <v>389</v>
      </c>
      <c r="D479" t="s">
        <v>390</v>
      </c>
      <c r="E479" s="2">
        <v>99196.53</v>
      </c>
    </row>
    <row r="480" spans="1:5" x14ac:dyDescent="0.25">
      <c r="A480" s="1">
        <v>43370</v>
      </c>
      <c r="B480">
        <v>118914</v>
      </c>
      <c r="C480" t="s">
        <v>184</v>
      </c>
      <c r="D480" t="s">
        <v>419</v>
      </c>
      <c r="E480" s="2">
        <v>701.07</v>
      </c>
    </row>
    <row r="481" spans="1:6" x14ac:dyDescent="0.25">
      <c r="A481" s="1">
        <v>43370</v>
      </c>
      <c r="B481">
        <v>118915</v>
      </c>
      <c r="C481" t="s">
        <v>391</v>
      </c>
      <c r="D481" t="s">
        <v>590</v>
      </c>
      <c r="E481" s="2">
        <v>599</v>
      </c>
    </row>
    <row r="482" spans="1:6" x14ac:dyDescent="0.25">
      <c r="A482" s="1">
        <v>43370</v>
      </c>
      <c r="B482">
        <v>118917</v>
      </c>
      <c r="C482" t="s">
        <v>392</v>
      </c>
      <c r="D482" t="s">
        <v>599</v>
      </c>
      <c r="E482" s="2">
        <v>15628.41</v>
      </c>
    </row>
    <row r="483" spans="1:6" x14ac:dyDescent="0.25">
      <c r="A483" s="1">
        <v>43370</v>
      </c>
      <c r="B483">
        <v>118917</v>
      </c>
      <c r="C483" t="s">
        <v>392</v>
      </c>
      <c r="D483" t="s">
        <v>416</v>
      </c>
      <c r="E483" s="3">
        <v>-519.22</v>
      </c>
    </row>
    <row r="484" spans="1:6" x14ac:dyDescent="0.25">
      <c r="A484" s="4"/>
      <c r="B484" s="4"/>
      <c r="C484" s="4"/>
      <c r="D484" s="4"/>
      <c r="E484" s="7"/>
      <c r="F484" s="9">
        <f>SUM(E5:E483)</f>
        <v>2100033.4800000004</v>
      </c>
    </row>
    <row r="485" spans="1:6" x14ac:dyDescent="0.25">
      <c r="A485" s="1">
        <v>43376</v>
      </c>
      <c r="B485">
        <v>118918</v>
      </c>
      <c r="C485" t="s">
        <v>64</v>
      </c>
      <c r="D485" t="s">
        <v>606</v>
      </c>
      <c r="E485" s="2">
        <v>1372</v>
      </c>
    </row>
    <row r="486" spans="1:6" x14ac:dyDescent="0.25">
      <c r="A486" s="1">
        <v>43376</v>
      </c>
      <c r="B486">
        <v>118918</v>
      </c>
      <c r="C486" t="s">
        <v>64</v>
      </c>
      <c r="D486" t="s">
        <v>607</v>
      </c>
      <c r="E486" s="2">
        <v>1713</v>
      </c>
    </row>
    <row r="487" spans="1:6" x14ac:dyDescent="0.25">
      <c r="A487" s="1">
        <v>43376</v>
      </c>
      <c r="B487">
        <v>118919</v>
      </c>
      <c r="C487" t="s">
        <v>233</v>
      </c>
      <c r="D487" t="s">
        <v>234</v>
      </c>
      <c r="E487" s="2">
        <v>1009</v>
      </c>
    </row>
    <row r="488" spans="1:6" x14ac:dyDescent="0.25">
      <c r="A488" s="1">
        <v>43376</v>
      </c>
      <c r="B488">
        <v>118920</v>
      </c>
      <c r="C488" t="s">
        <v>7</v>
      </c>
      <c r="D488" t="s">
        <v>608</v>
      </c>
      <c r="E488" s="2">
        <v>43</v>
      </c>
    </row>
    <row r="489" spans="1:6" x14ac:dyDescent="0.25">
      <c r="A489" s="1">
        <v>43376</v>
      </c>
      <c r="B489">
        <v>118921</v>
      </c>
      <c r="C489" t="s">
        <v>31</v>
      </c>
      <c r="D489" t="s">
        <v>609</v>
      </c>
      <c r="E489" s="2">
        <v>161.52000000000001</v>
      </c>
    </row>
    <row r="490" spans="1:6" x14ac:dyDescent="0.25">
      <c r="A490" s="1">
        <v>43376</v>
      </c>
      <c r="B490">
        <v>118922</v>
      </c>
      <c r="C490" t="s">
        <v>68</v>
      </c>
      <c r="D490" t="s">
        <v>610</v>
      </c>
      <c r="E490" s="2">
        <v>322.04000000000002</v>
      </c>
    </row>
    <row r="491" spans="1:6" x14ac:dyDescent="0.25">
      <c r="A491" s="1">
        <v>43376</v>
      </c>
      <c r="B491">
        <v>118923</v>
      </c>
      <c r="C491" t="s">
        <v>611</v>
      </c>
      <c r="D491" t="s">
        <v>612</v>
      </c>
      <c r="E491" s="2">
        <v>100</v>
      </c>
    </row>
    <row r="492" spans="1:6" x14ac:dyDescent="0.25">
      <c r="A492" s="1">
        <v>43376</v>
      </c>
      <c r="B492">
        <v>118924</v>
      </c>
      <c r="C492" t="s">
        <v>274</v>
      </c>
      <c r="D492" t="s">
        <v>613</v>
      </c>
      <c r="E492" s="2">
        <v>783.28</v>
      </c>
    </row>
    <row r="493" spans="1:6" x14ac:dyDescent="0.25">
      <c r="A493" s="1">
        <v>43376</v>
      </c>
      <c r="B493">
        <v>118925</v>
      </c>
      <c r="C493" t="s">
        <v>614</v>
      </c>
      <c r="D493" t="s">
        <v>615</v>
      </c>
      <c r="E493" s="2">
        <v>100</v>
      </c>
    </row>
    <row r="494" spans="1:6" x14ac:dyDescent="0.25">
      <c r="A494" s="1">
        <v>43376</v>
      </c>
      <c r="B494">
        <v>118926</v>
      </c>
      <c r="C494" t="s">
        <v>616</v>
      </c>
      <c r="D494" t="s">
        <v>617</v>
      </c>
      <c r="E494" s="2">
        <v>74.02</v>
      </c>
    </row>
    <row r="495" spans="1:6" x14ac:dyDescent="0.25">
      <c r="A495" s="1">
        <v>43376</v>
      </c>
      <c r="B495">
        <v>118927</v>
      </c>
      <c r="C495" t="s">
        <v>618</v>
      </c>
      <c r="D495" t="s">
        <v>619</v>
      </c>
      <c r="E495" s="2">
        <v>43.3</v>
      </c>
    </row>
    <row r="496" spans="1:6" x14ac:dyDescent="0.25">
      <c r="A496" s="1">
        <v>43376</v>
      </c>
      <c r="B496">
        <v>118928</v>
      </c>
      <c r="C496" t="s">
        <v>74</v>
      </c>
      <c r="D496" t="s">
        <v>620</v>
      </c>
      <c r="E496" s="2">
        <v>103.99</v>
      </c>
    </row>
    <row r="497" spans="1:5" x14ac:dyDescent="0.25">
      <c r="A497" s="1">
        <v>43376</v>
      </c>
      <c r="B497">
        <v>118929</v>
      </c>
      <c r="C497" t="s">
        <v>621</v>
      </c>
      <c r="D497" t="s">
        <v>622</v>
      </c>
      <c r="E497" s="2">
        <v>8650</v>
      </c>
    </row>
    <row r="498" spans="1:5" x14ac:dyDescent="0.25">
      <c r="A498" s="1">
        <v>43376</v>
      </c>
      <c r="B498">
        <v>118930</v>
      </c>
      <c r="C498" t="s">
        <v>336</v>
      </c>
      <c r="D498" t="s">
        <v>623</v>
      </c>
      <c r="E498" s="2">
        <v>37.5</v>
      </c>
    </row>
    <row r="499" spans="1:5" x14ac:dyDescent="0.25">
      <c r="A499" s="1">
        <v>43376</v>
      </c>
      <c r="B499">
        <v>118930</v>
      </c>
      <c r="C499" t="s">
        <v>336</v>
      </c>
      <c r="D499" t="s">
        <v>624</v>
      </c>
      <c r="E499" s="2">
        <v>30</v>
      </c>
    </row>
    <row r="500" spans="1:5" x14ac:dyDescent="0.25">
      <c r="A500" s="1">
        <v>43376</v>
      </c>
      <c r="B500">
        <v>118931</v>
      </c>
      <c r="C500" t="s">
        <v>12</v>
      </c>
      <c r="D500" t="s">
        <v>625</v>
      </c>
      <c r="E500" s="2">
        <v>458.16</v>
      </c>
    </row>
    <row r="501" spans="1:5" x14ac:dyDescent="0.25">
      <c r="A501" s="1">
        <v>43376</v>
      </c>
      <c r="B501">
        <v>118932</v>
      </c>
      <c r="C501" t="s">
        <v>292</v>
      </c>
      <c r="D501" t="s">
        <v>626</v>
      </c>
      <c r="E501" s="2">
        <v>535</v>
      </c>
    </row>
    <row r="502" spans="1:5" x14ac:dyDescent="0.25">
      <c r="A502" s="1">
        <v>43376</v>
      </c>
      <c r="B502">
        <v>118933</v>
      </c>
      <c r="C502" t="s">
        <v>77</v>
      </c>
      <c r="D502" t="s">
        <v>627</v>
      </c>
      <c r="E502" s="2">
        <v>31.32</v>
      </c>
    </row>
    <row r="503" spans="1:5" x14ac:dyDescent="0.25">
      <c r="A503" s="1">
        <v>43376</v>
      </c>
      <c r="B503">
        <v>118934</v>
      </c>
      <c r="C503" t="s">
        <v>77</v>
      </c>
      <c r="D503" t="s">
        <v>627</v>
      </c>
      <c r="E503" s="2">
        <v>87.27</v>
      </c>
    </row>
    <row r="504" spans="1:5" x14ac:dyDescent="0.25">
      <c r="A504" s="1">
        <v>43376</v>
      </c>
      <c r="B504">
        <v>118935</v>
      </c>
      <c r="C504" t="s">
        <v>80</v>
      </c>
      <c r="D504" t="s">
        <v>628</v>
      </c>
      <c r="E504" s="2">
        <v>50.83</v>
      </c>
    </row>
    <row r="505" spans="1:5" x14ac:dyDescent="0.25">
      <c r="A505" s="1">
        <v>43376</v>
      </c>
      <c r="B505">
        <v>118936</v>
      </c>
      <c r="C505" t="s">
        <v>14</v>
      </c>
      <c r="D505" t="s">
        <v>340</v>
      </c>
      <c r="E505" s="2">
        <v>580.28</v>
      </c>
    </row>
    <row r="506" spans="1:5" x14ac:dyDescent="0.25">
      <c r="A506" s="1">
        <v>43376</v>
      </c>
      <c r="B506">
        <v>118937</v>
      </c>
      <c r="C506" t="s">
        <v>629</v>
      </c>
      <c r="D506" t="s">
        <v>630</v>
      </c>
      <c r="E506" s="2">
        <v>561.65</v>
      </c>
    </row>
    <row r="507" spans="1:5" x14ac:dyDescent="0.25">
      <c r="A507" s="1">
        <v>43376</v>
      </c>
      <c r="B507">
        <v>118940</v>
      </c>
      <c r="C507" t="s">
        <v>631</v>
      </c>
      <c r="D507" t="s">
        <v>632</v>
      </c>
      <c r="E507" s="2">
        <v>61.14</v>
      </c>
    </row>
    <row r="508" spans="1:5" x14ac:dyDescent="0.25">
      <c r="A508" s="1">
        <v>43376</v>
      </c>
      <c r="B508">
        <v>118940</v>
      </c>
      <c r="C508" t="s">
        <v>631</v>
      </c>
      <c r="D508" t="s">
        <v>485</v>
      </c>
      <c r="E508" s="2">
        <v>121.36</v>
      </c>
    </row>
    <row r="509" spans="1:5" x14ac:dyDescent="0.25">
      <c r="A509" s="1">
        <v>43376</v>
      </c>
      <c r="B509">
        <v>118940</v>
      </c>
      <c r="C509" t="s">
        <v>631</v>
      </c>
      <c r="D509" t="s">
        <v>633</v>
      </c>
      <c r="E509" s="2">
        <v>397.6</v>
      </c>
    </row>
    <row r="510" spans="1:5" x14ac:dyDescent="0.25">
      <c r="A510" s="1">
        <v>43376</v>
      </c>
      <c r="B510">
        <v>118940</v>
      </c>
      <c r="C510" t="s">
        <v>631</v>
      </c>
      <c r="D510" t="s">
        <v>634</v>
      </c>
      <c r="E510" s="2">
        <v>398.02</v>
      </c>
    </row>
    <row r="511" spans="1:5" x14ac:dyDescent="0.25">
      <c r="A511" s="1">
        <v>43376</v>
      </c>
      <c r="B511">
        <v>118940</v>
      </c>
      <c r="C511" t="s">
        <v>631</v>
      </c>
      <c r="D511" t="s">
        <v>635</v>
      </c>
      <c r="E511" s="2">
        <v>257.2</v>
      </c>
    </row>
    <row r="512" spans="1:5" x14ac:dyDescent="0.25">
      <c r="A512" s="1">
        <v>43376</v>
      </c>
      <c r="B512">
        <v>118940</v>
      </c>
      <c r="C512" t="s">
        <v>631</v>
      </c>
      <c r="D512" t="s">
        <v>636</v>
      </c>
      <c r="E512" s="2">
        <v>138.63999999999999</v>
      </c>
    </row>
    <row r="513" spans="1:5" x14ac:dyDescent="0.25">
      <c r="A513" s="1">
        <v>43376</v>
      </c>
      <c r="B513">
        <v>118940</v>
      </c>
      <c r="C513" t="s">
        <v>631</v>
      </c>
      <c r="D513" t="s">
        <v>637</v>
      </c>
      <c r="E513" s="2">
        <v>248.35</v>
      </c>
    </row>
    <row r="514" spans="1:5" x14ac:dyDescent="0.25">
      <c r="A514" s="1">
        <v>43376</v>
      </c>
      <c r="B514">
        <v>118940</v>
      </c>
      <c r="C514" t="s">
        <v>631</v>
      </c>
      <c r="D514" t="s">
        <v>481</v>
      </c>
      <c r="E514" s="2">
        <v>104.51</v>
      </c>
    </row>
    <row r="515" spans="1:5" x14ac:dyDescent="0.25">
      <c r="A515" s="1">
        <v>43376</v>
      </c>
      <c r="B515">
        <v>118940</v>
      </c>
      <c r="C515" t="s">
        <v>631</v>
      </c>
      <c r="D515" t="s">
        <v>481</v>
      </c>
      <c r="E515" s="2">
        <v>89.21</v>
      </c>
    </row>
    <row r="516" spans="1:5" x14ac:dyDescent="0.25">
      <c r="A516" s="1">
        <v>43376</v>
      </c>
      <c r="B516">
        <v>118940</v>
      </c>
      <c r="C516" t="s">
        <v>631</v>
      </c>
      <c r="D516" t="s">
        <v>638</v>
      </c>
      <c r="E516" s="2">
        <v>107.56</v>
      </c>
    </row>
    <row r="517" spans="1:5" x14ac:dyDescent="0.25">
      <c r="A517" s="1">
        <v>43376</v>
      </c>
      <c r="B517">
        <v>118941</v>
      </c>
      <c r="C517" t="s">
        <v>639</v>
      </c>
      <c r="D517" t="s">
        <v>640</v>
      </c>
      <c r="E517" s="2">
        <f>387.6+96.9</f>
        <v>484.5</v>
      </c>
    </row>
    <row r="518" spans="1:5" x14ac:dyDescent="0.25">
      <c r="A518" s="1">
        <v>43376</v>
      </c>
      <c r="B518">
        <v>118943</v>
      </c>
      <c r="C518" t="s">
        <v>86</v>
      </c>
      <c r="D518" t="s">
        <v>641</v>
      </c>
      <c r="E518" s="2">
        <v>402</v>
      </c>
    </row>
    <row r="519" spans="1:5" x14ac:dyDescent="0.25">
      <c r="A519" s="1">
        <v>43376</v>
      </c>
      <c r="B519">
        <v>118944</v>
      </c>
      <c r="C519" t="s">
        <v>642</v>
      </c>
      <c r="D519" t="s">
        <v>643</v>
      </c>
      <c r="E519" s="2">
        <v>350</v>
      </c>
    </row>
    <row r="520" spans="1:5" x14ac:dyDescent="0.25">
      <c r="A520" s="1">
        <v>43376</v>
      </c>
      <c r="B520">
        <v>118945</v>
      </c>
      <c r="C520" t="s">
        <v>644</v>
      </c>
      <c r="D520" t="s">
        <v>645</v>
      </c>
      <c r="E520" s="2">
        <v>112.93</v>
      </c>
    </row>
    <row r="521" spans="1:5" x14ac:dyDescent="0.25">
      <c r="A521" s="1">
        <v>43376</v>
      </c>
      <c r="B521">
        <v>118946</v>
      </c>
      <c r="C521" t="s">
        <v>19</v>
      </c>
      <c r="D521" t="s">
        <v>646</v>
      </c>
      <c r="E521" s="2">
        <v>1497.75</v>
      </c>
    </row>
    <row r="522" spans="1:5" x14ac:dyDescent="0.25">
      <c r="A522" s="1">
        <v>43376</v>
      </c>
      <c r="B522">
        <v>118946</v>
      </c>
      <c r="C522" t="s">
        <v>19</v>
      </c>
      <c r="D522" t="s">
        <v>647</v>
      </c>
      <c r="E522" s="2">
        <v>448</v>
      </c>
    </row>
    <row r="523" spans="1:5" x14ac:dyDescent="0.25">
      <c r="A523" s="1">
        <v>43376</v>
      </c>
      <c r="B523">
        <v>118947</v>
      </c>
      <c r="C523" t="s">
        <v>64</v>
      </c>
      <c r="D523" t="s">
        <v>648</v>
      </c>
      <c r="E523" s="2">
        <v>1160</v>
      </c>
    </row>
    <row r="524" spans="1:5" x14ac:dyDescent="0.25">
      <c r="A524" s="1">
        <v>43376</v>
      </c>
      <c r="B524">
        <v>181900015</v>
      </c>
      <c r="C524" t="s">
        <v>394</v>
      </c>
      <c r="D524" t="s">
        <v>649</v>
      </c>
      <c r="E524" s="2">
        <v>450</v>
      </c>
    </row>
    <row r="525" spans="1:5" x14ac:dyDescent="0.25">
      <c r="A525" s="1">
        <v>43376</v>
      </c>
      <c r="B525">
        <v>181900016</v>
      </c>
      <c r="C525" t="s">
        <v>650</v>
      </c>
      <c r="D525" t="s">
        <v>651</v>
      </c>
      <c r="E525" s="2">
        <v>72.62</v>
      </c>
    </row>
    <row r="526" spans="1:5" x14ac:dyDescent="0.25">
      <c r="A526" s="1">
        <v>43376</v>
      </c>
      <c r="B526">
        <v>181900017</v>
      </c>
      <c r="C526" t="s">
        <v>652</v>
      </c>
      <c r="D526" t="s">
        <v>653</v>
      </c>
      <c r="E526" s="2">
        <v>1011.45</v>
      </c>
    </row>
    <row r="527" spans="1:5" x14ac:dyDescent="0.25">
      <c r="A527" s="1">
        <v>43377</v>
      </c>
      <c r="B527">
        <v>118948</v>
      </c>
      <c r="C527" t="s">
        <v>654</v>
      </c>
      <c r="D527" t="s">
        <v>655</v>
      </c>
      <c r="E527" s="2">
        <v>973.9</v>
      </c>
    </row>
    <row r="528" spans="1:5" x14ac:dyDescent="0.25">
      <c r="A528" s="1">
        <v>43377</v>
      </c>
      <c r="B528">
        <v>118949</v>
      </c>
      <c r="C528" t="s">
        <v>64</v>
      </c>
      <c r="D528" t="s">
        <v>656</v>
      </c>
      <c r="E528" s="2">
        <v>288.25</v>
      </c>
    </row>
    <row r="529" spans="1:5" x14ac:dyDescent="0.25">
      <c r="A529" s="1">
        <v>43377</v>
      </c>
      <c r="B529">
        <v>118950</v>
      </c>
      <c r="C529" t="s">
        <v>226</v>
      </c>
      <c r="D529" t="s">
        <v>657</v>
      </c>
      <c r="E529" s="2">
        <v>399.2</v>
      </c>
    </row>
    <row r="530" spans="1:5" x14ac:dyDescent="0.25">
      <c r="A530" s="1">
        <v>43377</v>
      </c>
      <c r="B530">
        <v>118950</v>
      </c>
      <c r="C530" t="s">
        <v>226</v>
      </c>
      <c r="D530" t="s">
        <v>658</v>
      </c>
      <c r="E530" s="2">
        <v>925.91</v>
      </c>
    </row>
    <row r="531" spans="1:5" x14ac:dyDescent="0.25">
      <c r="A531" s="1">
        <v>43377</v>
      </c>
      <c r="B531">
        <v>118951</v>
      </c>
      <c r="C531" t="s">
        <v>237</v>
      </c>
      <c r="D531" t="s">
        <v>659</v>
      </c>
      <c r="E531" s="2">
        <v>59</v>
      </c>
    </row>
    <row r="532" spans="1:5" x14ac:dyDescent="0.25">
      <c r="A532" s="1">
        <v>43377</v>
      </c>
      <c r="B532">
        <v>118952</v>
      </c>
      <c r="C532" t="s">
        <v>660</v>
      </c>
      <c r="D532" t="s">
        <v>661</v>
      </c>
      <c r="E532" s="2">
        <v>866.82</v>
      </c>
    </row>
    <row r="533" spans="1:5" x14ac:dyDescent="0.25">
      <c r="A533" s="1">
        <v>43377</v>
      </c>
      <c r="B533">
        <v>118955</v>
      </c>
      <c r="C533" t="s">
        <v>662</v>
      </c>
      <c r="D533" t="s">
        <v>663</v>
      </c>
      <c r="E533" s="2">
        <v>31892.5</v>
      </c>
    </row>
    <row r="534" spans="1:5" x14ac:dyDescent="0.25">
      <c r="A534" s="1">
        <v>43377</v>
      </c>
      <c r="B534">
        <v>118955</v>
      </c>
      <c r="C534" t="s">
        <v>662</v>
      </c>
      <c r="D534" t="s">
        <v>664</v>
      </c>
      <c r="E534" s="3">
        <v>-300.16000000000003</v>
      </c>
    </row>
    <row r="535" spans="1:5" x14ac:dyDescent="0.25">
      <c r="A535" s="1">
        <v>43377</v>
      </c>
      <c r="B535">
        <v>118955</v>
      </c>
      <c r="C535" t="s">
        <v>662</v>
      </c>
      <c r="D535" t="s">
        <v>665</v>
      </c>
      <c r="E535" s="2">
        <v>6270</v>
      </c>
    </row>
    <row r="536" spans="1:5" x14ac:dyDescent="0.25">
      <c r="A536" s="1">
        <v>43377</v>
      </c>
      <c r="B536">
        <v>118955</v>
      </c>
      <c r="C536" t="s">
        <v>662</v>
      </c>
      <c r="D536" t="s">
        <v>666</v>
      </c>
      <c r="E536" s="2">
        <v>272.02</v>
      </c>
    </row>
    <row r="537" spans="1:5" x14ac:dyDescent="0.25">
      <c r="A537" s="1">
        <v>43377</v>
      </c>
      <c r="B537">
        <v>118955</v>
      </c>
      <c r="C537" t="s">
        <v>662</v>
      </c>
      <c r="D537" t="s">
        <v>667</v>
      </c>
      <c r="E537" s="2">
        <v>378.1</v>
      </c>
    </row>
    <row r="538" spans="1:5" x14ac:dyDescent="0.25">
      <c r="A538" s="1">
        <v>43377</v>
      </c>
      <c r="B538">
        <v>118955</v>
      </c>
      <c r="C538" t="s">
        <v>662</v>
      </c>
      <c r="D538" t="s">
        <v>667</v>
      </c>
      <c r="E538" s="2">
        <v>72.97</v>
      </c>
    </row>
    <row r="539" spans="1:5" x14ac:dyDescent="0.25">
      <c r="A539" s="1">
        <v>43377</v>
      </c>
      <c r="B539">
        <v>118955</v>
      </c>
      <c r="C539" t="s">
        <v>662</v>
      </c>
      <c r="D539" t="s">
        <v>668</v>
      </c>
      <c r="E539" s="2">
        <v>481.28</v>
      </c>
    </row>
    <row r="540" spans="1:5" x14ac:dyDescent="0.25">
      <c r="A540" s="1">
        <v>43377</v>
      </c>
      <c r="B540">
        <v>118955</v>
      </c>
      <c r="C540" t="s">
        <v>662</v>
      </c>
      <c r="D540" t="s">
        <v>669</v>
      </c>
      <c r="E540" s="2">
        <v>981.09</v>
      </c>
    </row>
    <row r="541" spans="1:5" x14ac:dyDescent="0.25">
      <c r="A541" s="1">
        <v>43377</v>
      </c>
      <c r="B541">
        <v>118955</v>
      </c>
      <c r="C541" t="s">
        <v>662</v>
      </c>
      <c r="D541" t="s">
        <v>670</v>
      </c>
      <c r="E541" s="2">
        <v>297</v>
      </c>
    </row>
    <row r="542" spans="1:5" x14ac:dyDescent="0.25">
      <c r="A542" s="1">
        <v>43377</v>
      </c>
      <c r="B542">
        <v>118955</v>
      </c>
      <c r="C542" t="s">
        <v>662</v>
      </c>
      <c r="D542" t="s">
        <v>671</v>
      </c>
      <c r="E542" s="2">
        <v>311</v>
      </c>
    </row>
    <row r="543" spans="1:5" x14ac:dyDescent="0.25">
      <c r="A543" s="1">
        <v>43377</v>
      </c>
      <c r="B543">
        <v>118955</v>
      </c>
      <c r="C543" t="s">
        <v>662</v>
      </c>
      <c r="D543" t="s">
        <v>667</v>
      </c>
      <c r="E543" s="2">
        <v>98.46</v>
      </c>
    </row>
    <row r="544" spans="1:5" x14ac:dyDescent="0.25">
      <c r="A544" s="1">
        <v>43377</v>
      </c>
      <c r="B544">
        <v>118955</v>
      </c>
      <c r="C544" t="s">
        <v>662</v>
      </c>
      <c r="D544" t="s">
        <v>671</v>
      </c>
      <c r="E544" s="2">
        <v>311</v>
      </c>
    </row>
    <row r="545" spans="1:5" x14ac:dyDescent="0.25">
      <c r="A545" s="1">
        <v>43377</v>
      </c>
      <c r="B545">
        <v>118955</v>
      </c>
      <c r="C545" t="s">
        <v>662</v>
      </c>
      <c r="D545" t="s">
        <v>672</v>
      </c>
      <c r="E545" s="2">
        <v>489</v>
      </c>
    </row>
    <row r="546" spans="1:5" x14ac:dyDescent="0.25">
      <c r="A546" s="1">
        <v>43377</v>
      </c>
      <c r="B546">
        <v>118955</v>
      </c>
      <c r="C546" t="s">
        <v>662</v>
      </c>
      <c r="D546" t="s">
        <v>667</v>
      </c>
      <c r="E546" s="2">
        <v>98.69</v>
      </c>
    </row>
    <row r="547" spans="1:5" x14ac:dyDescent="0.25">
      <c r="A547" s="1">
        <v>43377</v>
      </c>
      <c r="B547">
        <v>118956</v>
      </c>
      <c r="C547" t="s">
        <v>673</v>
      </c>
      <c r="D547" t="s">
        <v>674</v>
      </c>
      <c r="E547" s="2">
        <v>59.27</v>
      </c>
    </row>
    <row r="548" spans="1:5" x14ac:dyDescent="0.25">
      <c r="A548" s="1">
        <v>43377</v>
      </c>
      <c r="B548">
        <v>118957</v>
      </c>
      <c r="C548" t="s">
        <v>675</v>
      </c>
      <c r="D548" t="s">
        <v>676</v>
      </c>
      <c r="E548" s="2">
        <v>15163</v>
      </c>
    </row>
    <row r="549" spans="1:5" x14ac:dyDescent="0.25">
      <c r="A549" s="1">
        <v>43377</v>
      </c>
      <c r="B549">
        <v>118957</v>
      </c>
      <c r="C549" t="s">
        <v>675</v>
      </c>
      <c r="D549" t="s">
        <v>677</v>
      </c>
      <c r="E549" s="2">
        <v>2021</v>
      </c>
    </row>
    <row r="550" spans="1:5" x14ac:dyDescent="0.25">
      <c r="A550" s="1">
        <v>43377</v>
      </c>
      <c r="B550">
        <v>118958</v>
      </c>
      <c r="C550" t="s">
        <v>31</v>
      </c>
      <c r="D550" t="s">
        <v>678</v>
      </c>
      <c r="E550" s="2">
        <v>203.52</v>
      </c>
    </row>
    <row r="551" spans="1:5" x14ac:dyDescent="0.25">
      <c r="A551" s="1">
        <v>43377</v>
      </c>
      <c r="B551">
        <v>118959</v>
      </c>
      <c r="C551" t="s">
        <v>352</v>
      </c>
      <c r="D551" t="s">
        <v>679</v>
      </c>
      <c r="E551" s="2">
        <v>50000</v>
      </c>
    </row>
    <row r="552" spans="1:5" x14ac:dyDescent="0.25">
      <c r="A552" s="1">
        <v>43377</v>
      </c>
      <c r="B552">
        <v>118961</v>
      </c>
      <c r="C552" t="s">
        <v>68</v>
      </c>
      <c r="D552" t="s">
        <v>667</v>
      </c>
      <c r="E552" s="2">
        <v>104.49</v>
      </c>
    </row>
    <row r="553" spans="1:5" x14ac:dyDescent="0.25">
      <c r="A553" s="1">
        <v>43377</v>
      </c>
      <c r="B553">
        <v>118961</v>
      </c>
      <c r="C553" t="s">
        <v>68</v>
      </c>
      <c r="D553" t="s">
        <v>667</v>
      </c>
      <c r="E553" s="2">
        <v>125.38</v>
      </c>
    </row>
    <row r="554" spans="1:5" x14ac:dyDescent="0.25">
      <c r="A554" s="1">
        <v>43377</v>
      </c>
      <c r="B554">
        <v>118961</v>
      </c>
      <c r="C554" t="s">
        <v>68</v>
      </c>
      <c r="D554" t="s">
        <v>680</v>
      </c>
      <c r="E554" s="2">
        <v>5580</v>
      </c>
    </row>
    <row r="555" spans="1:5" x14ac:dyDescent="0.25">
      <c r="A555" s="1">
        <v>43377</v>
      </c>
      <c r="B555">
        <v>118961</v>
      </c>
      <c r="C555" t="s">
        <v>68</v>
      </c>
      <c r="D555" t="s">
        <v>667</v>
      </c>
      <c r="E555" s="2">
        <v>199.47</v>
      </c>
    </row>
    <row r="556" spans="1:5" x14ac:dyDescent="0.25">
      <c r="A556" s="1">
        <v>43377</v>
      </c>
      <c r="B556">
        <v>118961</v>
      </c>
      <c r="C556" t="s">
        <v>68</v>
      </c>
      <c r="D556" t="s">
        <v>667</v>
      </c>
      <c r="E556" s="2">
        <v>170.98</v>
      </c>
    </row>
    <row r="557" spans="1:5" x14ac:dyDescent="0.25">
      <c r="A557" s="1">
        <v>43377</v>
      </c>
      <c r="B557">
        <v>118961</v>
      </c>
      <c r="C557" t="s">
        <v>68</v>
      </c>
      <c r="D557" t="s">
        <v>667</v>
      </c>
      <c r="E557" s="2">
        <v>352.42</v>
      </c>
    </row>
    <row r="558" spans="1:5" x14ac:dyDescent="0.25">
      <c r="A558" s="1">
        <v>43377</v>
      </c>
      <c r="B558">
        <v>118961</v>
      </c>
      <c r="C558" t="s">
        <v>68</v>
      </c>
      <c r="D558" t="s">
        <v>667</v>
      </c>
      <c r="E558" s="2">
        <v>127.28</v>
      </c>
    </row>
    <row r="559" spans="1:5" x14ac:dyDescent="0.25">
      <c r="A559" s="1">
        <v>43377</v>
      </c>
      <c r="B559">
        <v>118961</v>
      </c>
      <c r="C559" t="s">
        <v>68</v>
      </c>
      <c r="D559" t="s">
        <v>667</v>
      </c>
      <c r="E559" s="2">
        <v>170.04</v>
      </c>
    </row>
    <row r="560" spans="1:5" x14ac:dyDescent="0.25">
      <c r="A560" s="1">
        <v>43377</v>
      </c>
      <c r="B560">
        <v>118962</v>
      </c>
      <c r="C560" t="s">
        <v>681</v>
      </c>
      <c r="D560" t="s">
        <v>682</v>
      </c>
      <c r="E560" s="2">
        <v>144.84</v>
      </c>
    </row>
    <row r="561" spans="1:5" x14ac:dyDescent="0.25">
      <c r="A561" s="1">
        <v>43377</v>
      </c>
      <c r="B561">
        <v>118963</v>
      </c>
      <c r="C561" t="s">
        <v>683</v>
      </c>
      <c r="D561" t="s">
        <v>684</v>
      </c>
      <c r="E561" s="2">
        <v>790</v>
      </c>
    </row>
    <row r="562" spans="1:5" x14ac:dyDescent="0.25">
      <c r="A562" s="1">
        <v>43377</v>
      </c>
      <c r="B562">
        <v>118964</v>
      </c>
      <c r="C562" t="s">
        <v>685</v>
      </c>
      <c r="D562" t="s">
        <v>686</v>
      </c>
      <c r="E562" s="2">
        <v>4435.46</v>
      </c>
    </row>
    <row r="563" spans="1:5" x14ac:dyDescent="0.25">
      <c r="A563" s="1">
        <v>43377</v>
      </c>
      <c r="B563">
        <v>118965</v>
      </c>
      <c r="C563" t="s">
        <v>114</v>
      </c>
      <c r="D563" t="s">
        <v>687</v>
      </c>
      <c r="E563" s="2">
        <v>200</v>
      </c>
    </row>
    <row r="564" spans="1:5" x14ac:dyDescent="0.25">
      <c r="A564" s="1">
        <v>43377</v>
      </c>
      <c r="B564">
        <v>118966</v>
      </c>
      <c r="C564" t="s">
        <v>688</v>
      </c>
      <c r="D564" t="s">
        <v>258</v>
      </c>
      <c r="E564" s="2">
        <v>439.66</v>
      </c>
    </row>
    <row r="565" spans="1:5" x14ac:dyDescent="0.25">
      <c r="A565" s="1">
        <v>43377</v>
      </c>
      <c r="B565">
        <v>118967</v>
      </c>
      <c r="C565" t="s">
        <v>689</v>
      </c>
      <c r="D565" t="s">
        <v>690</v>
      </c>
      <c r="E565" s="2">
        <v>840</v>
      </c>
    </row>
    <row r="566" spans="1:5" x14ac:dyDescent="0.25">
      <c r="A566" s="1">
        <v>43377</v>
      </c>
      <c r="B566">
        <v>118968</v>
      </c>
      <c r="C566" t="s">
        <v>256</v>
      </c>
      <c r="D566" t="s">
        <v>691</v>
      </c>
      <c r="E566" s="2">
        <v>8669.3700000000008</v>
      </c>
    </row>
    <row r="567" spans="1:5" x14ac:dyDescent="0.25">
      <c r="A567" s="1">
        <v>43377</v>
      </c>
      <c r="B567">
        <v>118969</v>
      </c>
      <c r="C567" t="s">
        <v>692</v>
      </c>
      <c r="D567" t="s">
        <v>693</v>
      </c>
      <c r="E567" s="2">
        <v>762.85</v>
      </c>
    </row>
    <row r="568" spans="1:5" x14ac:dyDescent="0.25">
      <c r="A568" s="1">
        <v>43377</v>
      </c>
      <c r="B568">
        <v>118969</v>
      </c>
      <c r="C568" t="s">
        <v>692</v>
      </c>
      <c r="D568" t="s">
        <v>693</v>
      </c>
      <c r="E568" s="2">
        <v>24.99</v>
      </c>
    </row>
    <row r="569" spans="1:5" x14ac:dyDescent="0.25">
      <c r="A569" s="1">
        <v>43377</v>
      </c>
      <c r="B569">
        <v>118971</v>
      </c>
      <c r="C569" t="s">
        <v>123</v>
      </c>
      <c r="D569" t="s">
        <v>500</v>
      </c>
      <c r="E569" s="2">
        <f>73.3+52.5+230.52+38.93+1054.03+49</f>
        <v>1498.28</v>
      </c>
    </row>
    <row r="570" spans="1:5" x14ac:dyDescent="0.25">
      <c r="A570" s="1">
        <v>43377</v>
      </c>
      <c r="B570">
        <v>118972</v>
      </c>
      <c r="C570" t="s">
        <v>694</v>
      </c>
      <c r="D570" t="s">
        <v>695</v>
      </c>
      <c r="E570" s="2">
        <v>45</v>
      </c>
    </row>
    <row r="571" spans="1:5" x14ac:dyDescent="0.25">
      <c r="A571" s="1">
        <v>43377</v>
      </c>
      <c r="B571">
        <v>118973</v>
      </c>
      <c r="C571" t="s">
        <v>696</v>
      </c>
      <c r="D571" t="s">
        <v>697</v>
      </c>
      <c r="E571" s="2">
        <v>824.88</v>
      </c>
    </row>
    <row r="572" spans="1:5" x14ac:dyDescent="0.25">
      <c r="A572" s="1">
        <v>43377</v>
      </c>
      <c r="B572">
        <v>118974</v>
      </c>
      <c r="C572" t="s">
        <v>698</v>
      </c>
      <c r="D572" t="s">
        <v>699</v>
      </c>
      <c r="E572" s="2">
        <v>135.78</v>
      </c>
    </row>
    <row r="573" spans="1:5" x14ac:dyDescent="0.25">
      <c r="A573" s="1">
        <v>43377</v>
      </c>
      <c r="B573">
        <v>118975</v>
      </c>
      <c r="C573" t="s">
        <v>124</v>
      </c>
      <c r="D573" t="s">
        <v>700</v>
      </c>
      <c r="E573" s="2">
        <v>50</v>
      </c>
    </row>
    <row r="574" spans="1:5" x14ac:dyDescent="0.25">
      <c r="A574" s="1">
        <v>43377</v>
      </c>
      <c r="B574">
        <v>118976</v>
      </c>
      <c r="C574" t="s">
        <v>701</v>
      </c>
      <c r="D574" t="s">
        <v>702</v>
      </c>
      <c r="E574" s="2">
        <v>19950</v>
      </c>
    </row>
    <row r="575" spans="1:5" x14ac:dyDescent="0.25">
      <c r="A575" s="1">
        <v>43377</v>
      </c>
      <c r="B575">
        <v>118977</v>
      </c>
      <c r="C575" t="s">
        <v>267</v>
      </c>
      <c r="D575" t="s">
        <v>680</v>
      </c>
      <c r="E575" s="2">
        <v>2851.3</v>
      </c>
    </row>
    <row r="576" spans="1:5" x14ac:dyDescent="0.25">
      <c r="A576" s="1">
        <v>43377</v>
      </c>
      <c r="B576">
        <v>118978</v>
      </c>
      <c r="C576" t="s">
        <v>269</v>
      </c>
      <c r="D576" t="s">
        <v>703</v>
      </c>
      <c r="E576" s="2">
        <f>426.49+55.93+303.62</f>
        <v>786.04</v>
      </c>
    </row>
    <row r="577" spans="1:5" x14ac:dyDescent="0.25">
      <c r="A577" s="1">
        <v>43377</v>
      </c>
      <c r="B577">
        <v>118978</v>
      </c>
      <c r="C577" t="s">
        <v>269</v>
      </c>
      <c r="D577" t="s">
        <v>367</v>
      </c>
      <c r="E577" s="2">
        <v>50</v>
      </c>
    </row>
    <row r="578" spans="1:5" x14ac:dyDescent="0.25">
      <c r="A578" s="1">
        <v>43377</v>
      </c>
      <c r="B578">
        <v>118978</v>
      </c>
      <c r="C578" t="s">
        <v>269</v>
      </c>
      <c r="D578" t="s">
        <v>270</v>
      </c>
      <c r="E578" s="2">
        <v>302</v>
      </c>
    </row>
    <row r="579" spans="1:5" x14ac:dyDescent="0.25">
      <c r="A579" s="1">
        <v>43377</v>
      </c>
      <c r="B579">
        <v>118978</v>
      </c>
      <c r="C579" t="s">
        <v>269</v>
      </c>
      <c r="D579" t="s">
        <v>270</v>
      </c>
      <c r="E579" s="2">
        <v>60</v>
      </c>
    </row>
    <row r="580" spans="1:5" x14ac:dyDescent="0.25">
      <c r="A580" s="1">
        <v>43377</v>
      </c>
      <c r="B580">
        <v>118979</v>
      </c>
      <c r="C580" t="s">
        <v>44</v>
      </c>
      <c r="D580" t="s">
        <v>704</v>
      </c>
      <c r="E580" s="2">
        <v>245.07</v>
      </c>
    </row>
    <row r="581" spans="1:5" x14ac:dyDescent="0.25">
      <c r="A581" s="1">
        <v>43377</v>
      </c>
      <c r="B581">
        <v>118981</v>
      </c>
      <c r="C581" t="s">
        <v>274</v>
      </c>
      <c r="D581" t="s">
        <v>705</v>
      </c>
      <c r="E581" s="2">
        <v>319.56</v>
      </c>
    </row>
    <row r="582" spans="1:5" x14ac:dyDescent="0.25">
      <c r="A582" s="1">
        <v>43377</v>
      </c>
      <c r="B582">
        <v>118981</v>
      </c>
      <c r="C582" t="s">
        <v>274</v>
      </c>
      <c r="D582" t="s">
        <v>705</v>
      </c>
      <c r="E582" s="2">
        <v>140.80000000000001</v>
      </c>
    </row>
    <row r="583" spans="1:5" x14ac:dyDescent="0.25">
      <c r="A583" s="1">
        <v>43377</v>
      </c>
      <c r="B583">
        <v>118981</v>
      </c>
      <c r="C583" t="s">
        <v>274</v>
      </c>
      <c r="D583" t="s">
        <v>705</v>
      </c>
      <c r="E583" s="2">
        <v>672.06</v>
      </c>
    </row>
    <row r="584" spans="1:5" x14ac:dyDescent="0.25">
      <c r="A584" s="1">
        <v>43377</v>
      </c>
      <c r="B584">
        <v>118982</v>
      </c>
      <c r="C584" t="s">
        <v>706</v>
      </c>
      <c r="D584" t="s">
        <v>707</v>
      </c>
      <c r="E584" s="2">
        <v>1211</v>
      </c>
    </row>
    <row r="585" spans="1:5" x14ac:dyDescent="0.25">
      <c r="A585" s="1">
        <v>43377</v>
      </c>
      <c r="B585">
        <v>118983</v>
      </c>
      <c r="C585" t="s">
        <v>708</v>
      </c>
      <c r="D585" t="s">
        <v>709</v>
      </c>
      <c r="E585" s="2">
        <v>4686.42</v>
      </c>
    </row>
    <row r="586" spans="1:5" x14ac:dyDescent="0.25">
      <c r="A586" s="1">
        <v>43377</v>
      </c>
      <c r="B586">
        <v>118984</v>
      </c>
      <c r="C586" t="s">
        <v>616</v>
      </c>
      <c r="D586" t="s">
        <v>232</v>
      </c>
      <c r="E586" s="2">
        <v>283.10000000000002</v>
      </c>
    </row>
    <row r="587" spans="1:5" x14ac:dyDescent="0.25">
      <c r="A587" s="1">
        <v>43377</v>
      </c>
      <c r="B587">
        <v>118985</v>
      </c>
      <c r="C587" t="s">
        <v>710</v>
      </c>
      <c r="D587" t="s">
        <v>711</v>
      </c>
      <c r="E587" s="2">
        <v>99.25</v>
      </c>
    </row>
    <row r="588" spans="1:5" x14ac:dyDescent="0.25">
      <c r="A588" s="1">
        <v>43377</v>
      </c>
      <c r="B588">
        <v>118986</v>
      </c>
      <c r="C588" t="s">
        <v>712</v>
      </c>
      <c r="D588" t="s">
        <v>713</v>
      </c>
      <c r="E588" s="2">
        <v>879.6</v>
      </c>
    </row>
    <row r="589" spans="1:5" x14ac:dyDescent="0.25">
      <c r="A589" s="1">
        <v>43377</v>
      </c>
      <c r="B589">
        <v>118986</v>
      </c>
      <c r="C589" t="s">
        <v>712</v>
      </c>
      <c r="D589" t="s">
        <v>713</v>
      </c>
      <c r="E589" s="2">
        <v>439.8</v>
      </c>
    </row>
    <row r="590" spans="1:5" x14ac:dyDescent="0.25">
      <c r="A590" s="1">
        <v>43377</v>
      </c>
      <c r="B590">
        <v>118987</v>
      </c>
      <c r="C590" t="s">
        <v>714</v>
      </c>
      <c r="D590" t="s">
        <v>715</v>
      </c>
      <c r="E590" s="2">
        <v>474.38</v>
      </c>
    </row>
    <row r="591" spans="1:5" x14ac:dyDescent="0.25">
      <c r="A591" s="1">
        <v>43377</v>
      </c>
      <c r="B591">
        <v>118988</v>
      </c>
      <c r="C591" t="s">
        <v>716</v>
      </c>
      <c r="D591" t="s">
        <v>717</v>
      </c>
      <c r="E591" s="2">
        <v>879.89</v>
      </c>
    </row>
    <row r="592" spans="1:5" x14ac:dyDescent="0.25">
      <c r="A592" s="1">
        <v>43377</v>
      </c>
      <c r="B592">
        <v>118989</v>
      </c>
      <c r="C592" t="s">
        <v>48</v>
      </c>
      <c r="D592" t="s">
        <v>718</v>
      </c>
      <c r="E592" s="2">
        <f>10156.81+8835.84</f>
        <v>18992.650000000001</v>
      </c>
    </row>
    <row r="593" spans="1:5" x14ac:dyDescent="0.25">
      <c r="A593" s="1">
        <v>43377</v>
      </c>
      <c r="B593">
        <v>118992</v>
      </c>
      <c r="C593" t="s">
        <v>74</v>
      </c>
      <c r="D593" t="s">
        <v>719</v>
      </c>
      <c r="E593" s="2">
        <v>1590</v>
      </c>
    </row>
    <row r="594" spans="1:5" x14ac:dyDescent="0.25">
      <c r="A594" s="1">
        <v>43377</v>
      </c>
      <c r="B594">
        <v>118992</v>
      </c>
      <c r="C594" t="s">
        <v>74</v>
      </c>
      <c r="D594" t="s">
        <v>720</v>
      </c>
      <c r="E594" s="2">
        <v>206.74</v>
      </c>
    </row>
    <row r="595" spans="1:5" x14ac:dyDescent="0.25">
      <c r="A595" s="1">
        <v>43377</v>
      </c>
      <c r="B595">
        <v>118992</v>
      </c>
      <c r="C595" t="s">
        <v>74</v>
      </c>
      <c r="D595" t="s">
        <v>721</v>
      </c>
      <c r="E595" s="2">
        <v>92.06</v>
      </c>
    </row>
    <row r="596" spans="1:5" x14ac:dyDescent="0.25">
      <c r="A596" s="1">
        <v>43377</v>
      </c>
      <c r="B596">
        <v>118992</v>
      </c>
      <c r="C596" t="s">
        <v>74</v>
      </c>
      <c r="D596" t="s">
        <v>722</v>
      </c>
      <c r="E596" s="2">
        <v>51.8</v>
      </c>
    </row>
    <row r="597" spans="1:5" x14ac:dyDescent="0.25">
      <c r="A597" s="1">
        <v>43377</v>
      </c>
      <c r="B597">
        <v>118992</v>
      </c>
      <c r="C597" t="s">
        <v>74</v>
      </c>
      <c r="D597" t="s">
        <v>481</v>
      </c>
      <c r="E597" s="2">
        <v>588</v>
      </c>
    </row>
    <row r="598" spans="1:5" x14ac:dyDescent="0.25">
      <c r="A598" s="1">
        <v>43377</v>
      </c>
      <c r="B598">
        <v>118992</v>
      </c>
      <c r="C598" t="s">
        <v>74</v>
      </c>
      <c r="D598" t="s">
        <v>723</v>
      </c>
      <c r="E598" s="2">
        <v>152.4</v>
      </c>
    </row>
    <row r="599" spans="1:5" x14ac:dyDescent="0.25">
      <c r="A599" s="1">
        <v>43377</v>
      </c>
      <c r="B599">
        <v>118992</v>
      </c>
      <c r="C599" t="s">
        <v>74</v>
      </c>
      <c r="D599" t="s">
        <v>724</v>
      </c>
      <c r="E599" s="2">
        <v>23.99</v>
      </c>
    </row>
    <row r="600" spans="1:5" x14ac:dyDescent="0.25">
      <c r="A600" s="1">
        <v>43377</v>
      </c>
      <c r="B600">
        <v>118992</v>
      </c>
      <c r="C600" t="s">
        <v>74</v>
      </c>
      <c r="D600" t="s">
        <v>725</v>
      </c>
      <c r="E600" s="2">
        <v>202.79</v>
      </c>
    </row>
    <row r="601" spans="1:5" x14ac:dyDescent="0.25">
      <c r="A601" s="1">
        <v>43377</v>
      </c>
      <c r="B601">
        <v>118992</v>
      </c>
      <c r="C601" t="s">
        <v>74</v>
      </c>
      <c r="D601" t="s">
        <v>726</v>
      </c>
      <c r="E601" s="2">
        <v>239.2</v>
      </c>
    </row>
    <row r="602" spans="1:5" x14ac:dyDescent="0.25">
      <c r="A602" s="1">
        <v>43377</v>
      </c>
      <c r="B602">
        <v>118992</v>
      </c>
      <c r="C602" t="s">
        <v>74</v>
      </c>
      <c r="D602" t="s">
        <v>727</v>
      </c>
      <c r="E602" s="2">
        <v>252.7</v>
      </c>
    </row>
    <row r="603" spans="1:5" x14ac:dyDescent="0.25">
      <c r="A603" s="1">
        <v>43377</v>
      </c>
      <c r="B603">
        <v>118992</v>
      </c>
      <c r="C603" t="s">
        <v>74</v>
      </c>
      <c r="D603" t="s">
        <v>667</v>
      </c>
      <c r="E603" s="2">
        <v>99.99</v>
      </c>
    </row>
    <row r="604" spans="1:5" x14ac:dyDescent="0.25">
      <c r="A604" s="1">
        <v>43377</v>
      </c>
      <c r="B604">
        <v>118992</v>
      </c>
      <c r="C604" t="s">
        <v>74</v>
      </c>
      <c r="D604" t="s">
        <v>667</v>
      </c>
      <c r="E604" s="2">
        <v>19.96</v>
      </c>
    </row>
    <row r="605" spans="1:5" x14ac:dyDescent="0.25">
      <c r="A605" s="1">
        <v>43377</v>
      </c>
      <c r="B605">
        <v>118992</v>
      </c>
      <c r="C605" t="s">
        <v>74</v>
      </c>
      <c r="D605" t="s">
        <v>728</v>
      </c>
      <c r="E605" s="2">
        <v>279.8</v>
      </c>
    </row>
    <row r="606" spans="1:5" x14ac:dyDescent="0.25">
      <c r="A606" s="1">
        <v>43377</v>
      </c>
      <c r="B606">
        <v>118993</v>
      </c>
      <c r="C606" t="s">
        <v>142</v>
      </c>
      <c r="D606" t="s">
        <v>729</v>
      </c>
      <c r="E606" s="2">
        <v>25.5</v>
      </c>
    </row>
    <row r="607" spans="1:5" x14ac:dyDescent="0.25">
      <c r="A607" s="1">
        <v>43377</v>
      </c>
      <c r="B607">
        <v>118994</v>
      </c>
      <c r="C607" t="s">
        <v>730</v>
      </c>
      <c r="D607" t="s">
        <v>731</v>
      </c>
      <c r="E607" s="2">
        <v>312</v>
      </c>
    </row>
    <row r="608" spans="1:5" x14ac:dyDescent="0.25">
      <c r="A608" s="1">
        <v>43377</v>
      </c>
      <c r="B608">
        <v>118995</v>
      </c>
      <c r="C608" t="s">
        <v>146</v>
      </c>
      <c r="D608" t="s">
        <v>732</v>
      </c>
      <c r="E608" s="2">
        <v>753.86</v>
      </c>
    </row>
    <row r="609" spans="1:5" x14ac:dyDescent="0.25">
      <c r="A609" s="1">
        <v>43377</v>
      </c>
      <c r="B609">
        <v>118995</v>
      </c>
      <c r="C609" t="s">
        <v>146</v>
      </c>
      <c r="D609" t="s">
        <v>733</v>
      </c>
      <c r="E609" s="2">
        <v>2129.2800000000002</v>
      </c>
    </row>
    <row r="610" spans="1:5" x14ac:dyDescent="0.25">
      <c r="A610" s="1">
        <v>43377</v>
      </c>
      <c r="B610">
        <v>118996</v>
      </c>
      <c r="C610" t="s">
        <v>734</v>
      </c>
      <c r="D610" t="s">
        <v>735</v>
      </c>
      <c r="E610" s="2">
        <v>269.97000000000003</v>
      </c>
    </row>
    <row r="611" spans="1:5" x14ac:dyDescent="0.25">
      <c r="A611" s="1">
        <v>43377</v>
      </c>
      <c r="B611">
        <v>118997</v>
      </c>
      <c r="C611" t="s">
        <v>336</v>
      </c>
      <c r="D611" t="s">
        <v>736</v>
      </c>
      <c r="E611" s="2">
        <v>337.5</v>
      </c>
    </row>
    <row r="612" spans="1:5" x14ac:dyDescent="0.25">
      <c r="A612" s="1">
        <v>43377</v>
      </c>
      <c r="B612">
        <v>118998</v>
      </c>
      <c r="C612" t="s">
        <v>147</v>
      </c>
      <c r="D612" t="s">
        <v>737</v>
      </c>
      <c r="E612" s="2">
        <v>1000</v>
      </c>
    </row>
    <row r="613" spans="1:5" x14ac:dyDescent="0.25">
      <c r="A613" s="1">
        <v>43377</v>
      </c>
      <c r="B613">
        <v>118999</v>
      </c>
      <c r="C613" t="s">
        <v>75</v>
      </c>
      <c r="D613" t="s">
        <v>738</v>
      </c>
      <c r="E613" s="2">
        <v>13.27</v>
      </c>
    </row>
    <row r="614" spans="1:5" x14ac:dyDescent="0.25">
      <c r="A614" s="1">
        <v>43377</v>
      </c>
      <c r="B614">
        <v>119000</v>
      </c>
      <c r="C614" t="s">
        <v>739</v>
      </c>
      <c r="D614" t="s">
        <v>740</v>
      </c>
      <c r="E614" s="2">
        <v>11111.1</v>
      </c>
    </row>
    <row r="615" spans="1:5" x14ac:dyDescent="0.25">
      <c r="A615" s="1">
        <v>43377</v>
      </c>
      <c r="B615">
        <v>119001</v>
      </c>
      <c r="C615" t="s">
        <v>185</v>
      </c>
      <c r="D615" t="s">
        <v>186</v>
      </c>
      <c r="E615" s="2">
        <v>22756</v>
      </c>
    </row>
    <row r="616" spans="1:5" x14ac:dyDescent="0.25">
      <c r="A616" s="1">
        <v>43377</v>
      </c>
      <c r="B616">
        <v>119002</v>
      </c>
      <c r="C616" t="s">
        <v>185</v>
      </c>
      <c r="D616" t="s">
        <v>187</v>
      </c>
      <c r="E616" s="2">
        <v>9831</v>
      </c>
    </row>
    <row r="617" spans="1:5" x14ac:dyDescent="0.25">
      <c r="A617" s="1">
        <v>43377</v>
      </c>
      <c r="B617">
        <v>119002</v>
      </c>
      <c r="C617" t="s">
        <v>185</v>
      </c>
      <c r="D617" t="s">
        <v>187</v>
      </c>
      <c r="E617" s="2">
        <v>2500</v>
      </c>
    </row>
    <row r="618" spans="1:5" x14ac:dyDescent="0.25">
      <c r="A618" s="1">
        <v>43377</v>
      </c>
      <c r="B618">
        <v>119005</v>
      </c>
      <c r="C618" t="s">
        <v>11</v>
      </c>
      <c r="D618" t="s">
        <v>741</v>
      </c>
      <c r="E618" s="2">
        <v>105.54</v>
      </c>
    </row>
    <row r="619" spans="1:5" x14ac:dyDescent="0.25">
      <c r="A619" s="1">
        <v>43377</v>
      </c>
      <c r="B619">
        <v>119005</v>
      </c>
      <c r="C619" t="s">
        <v>11</v>
      </c>
      <c r="D619" t="s">
        <v>742</v>
      </c>
      <c r="E619" s="2">
        <v>589.98</v>
      </c>
    </row>
    <row r="620" spans="1:5" x14ac:dyDescent="0.25">
      <c r="A620" s="1">
        <v>43377</v>
      </c>
      <c r="B620">
        <v>119005</v>
      </c>
      <c r="C620" t="s">
        <v>11</v>
      </c>
      <c r="D620" t="s">
        <v>717</v>
      </c>
      <c r="E620" s="2">
        <v>268.66000000000003</v>
      </c>
    </row>
    <row r="621" spans="1:5" x14ac:dyDescent="0.25">
      <c r="A621" s="1">
        <v>43377</v>
      </c>
      <c r="B621">
        <v>119005</v>
      </c>
      <c r="C621" t="s">
        <v>11</v>
      </c>
      <c r="D621" t="s">
        <v>717</v>
      </c>
      <c r="E621" s="2">
        <v>13.69</v>
      </c>
    </row>
    <row r="622" spans="1:5" x14ac:dyDescent="0.25">
      <c r="A622" s="1">
        <v>43377</v>
      </c>
      <c r="B622">
        <v>119005</v>
      </c>
      <c r="C622" t="s">
        <v>11</v>
      </c>
      <c r="D622" t="s">
        <v>717</v>
      </c>
      <c r="E622" s="2">
        <v>100.85</v>
      </c>
    </row>
    <row r="623" spans="1:5" x14ac:dyDescent="0.25">
      <c r="A623" s="1">
        <v>43377</v>
      </c>
      <c r="B623">
        <v>119005</v>
      </c>
      <c r="C623" t="s">
        <v>11</v>
      </c>
      <c r="D623" t="s">
        <v>717</v>
      </c>
      <c r="E623" s="2">
        <v>20.98</v>
      </c>
    </row>
    <row r="624" spans="1:5" x14ac:dyDescent="0.25">
      <c r="A624" s="1">
        <v>43377</v>
      </c>
      <c r="B624">
        <v>119005</v>
      </c>
      <c r="C624" t="s">
        <v>11</v>
      </c>
      <c r="D624" t="s">
        <v>743</v>
      </c>
      <c r="E624" s="2">
        <v>10.39</v>
      </c>
    </row>
    <row r="625" spans="1:5" x14ac:dyDescent="0.25">
      <c r="A625" s="1">
        <v>43377</v>
      </c>
      <c r="B625">
        <v>119005</v>
      </c>
      <c r="C625" t="s">
        <v>11</v>
      </c>
      <c r="D625" t="s">
        <v>717</v>
      </c>
      <c r="E625" s="2">
        <v>18.690000000000001</v>
      </c>
    </row>
    <row r="626" spans="1:5" x14ac:dyDescent="0.25">
      <c r="A626" s="1">
        <v>43377</v>
      </c>
      <c r="B626">
        <v>119005</v>
      </c>
      <c r="C626" t="s">
        <v>11</v>
      </c>
      <c r="D626" t="s">
        <v>667</v>
      </c>
      <c r="E626" s="2">
        <v>71.989999999999995</v>
      </c>
    </row>
    <row r="627" spans="1:5" x14ac:dyDescent="0.25">
      <c r="A627" s="1">
        <v>43377</v>
      </c>
      <c r="B627">
        <v>119005</v>
      </c>
      <c r="C627" t="s">
        <v>11</v>
      </c>
      <c r="D627" t="s">
        <v>228</v>
      </c>
      <c r="E627" s="2">
        <v>13.19</v>
      </c>
    </row>
    <row r="628" spans="1:5" x14ac:dyDescent="0.25">
      <c r="A628" s="1">
        <v>43377</v>
      </c>
      <c r="B628">
        <v>119005</v>
      </c>
      <c r="C628" t="s">
        <v>11</v>
      </c>
      <c r="D628" t="s">
        <v>717</v>
      </c>
      <c r="E628" s="2">
        <v>249.08</v>
      </c>
    </row>
    <row r="629" spans="1:5" x14ac:dyDescent="0.25">
      <c r="A629" s="1">
        <v>43377</v>
      </c>
      <c r="B629">
        <v>119005</v>
      </c>
      <c r="C629" t="s">
        <v>11</v>
      </c>
      <c r="D629" t="s">
        <v>717</v>
      </c>
      <c r="E629" s="2">
        <v>103.6</v>
      </c>
    </row>
    <row r="630" spans="1:5" x14ac:dyDescent="0.25">
      <c r="A630" s="1">
        <v>43377</v>
      </c>
      <c r="B630">
        <v>119006</v>
      </c>
      <c r="C630" t="s">
        <v>744</v>
      </c>
      <c r="D630" t="s">
        <v>745</v>
      </c>
      <c r="E630" s="2">
        <v>3000</v>
      </c>
    </row>
    <row r="631" spans="1:5" x14ac:dyDescent="0.25">
      <c r="A631" s="1">
        <v>43377</v>
      </c>
      <c r="B631">
        <v>119007</v>
      </c>
      <c r="C631" t="s">
        <v>296</v>
      </c>
      <c r="D631" t="s">
        <v>746</v>
      </c>
      <c r="E631" s="2">
        <v>85</v>
      </c>
    </row>
    <row r="632" spans="1:5" x14ac:dyDescent="0.25">
      <c r="A632" s="1">
        <v>43377</v>
      </c>
      <c r="B632">
        <v>119008</v>
      </c>
      <c r="C632" t="s">
        <v>50</v>
      </c>
      <c r="D632" t="s">
        <v>467</v>
      </c>
      <c r="E632" s="2">
        <v>4450</v>
      </c>
    </row>
    <row r="633" spans="1:5" x14ac:dyDescent="0.25">
      <c r="A633" s="1">
        <v>43377</v>
      </c>
      <c r="B633">
        <v>119009</v>
      </c>
      <c r="C633" t="s">
        <v>51</v>
      </c>
      <c r="D633" t="s">
        <v>52</v>
      </c>
      <c r="E633" s="2">
        <v>55.91</v>
      </c>
    </row>
    <row r="634" spans="1:5" x14ac:dyDescent="0.25">
      <c r="A634" s="1">
        <v>43377</v>
      </c>
      <c r="B634">
        <v>119010</v>
      </c>
      <c r="C634" t="s">
        <v>302</v>
      </c>
      <c r="D634" t="s">
        <v>747</v>
      </c>
      <c r="E634" s="2">
        <v>88.6</v>
      </c>
    </row>
    <row r="635" spans="1:5" x14ac:dyDescent="0.25">
      <c r="A635" s="1">
        <v>43377</v>
      </c>
      <c r="B635">
        <v>119011</v>
      </c>
      <c r="C635" t="s">
        <v>14</v>
      </c>
      <c r="D635" t="s">
        <v>748</v>
      </c>
      <c r="E635" s="2">
        <v>658.56</v>
      </c>
    </row>
    <row r="636" spans="1:5" x14ac:dyDescent="0.25">
      <c r="A636" s="1">
        <v>43377</v>
      </c>
      <c r="B636">
        <v>119011</v>
      </c>
      <c r="C636" t="s">
        <v>14</v>
      </c>
      <c r="D636" t="s">
        <v>749</v>
      </c>
      <c r="E636" s="2">
        <v>79.36</v>
      </c>
    </row>
    <row r="637" spans="1:5" x14ac:dyDescent="0.25">
      <c r="A637" s="1">
        <v>43377</v>
      </c>
      <c r="B637">
        <v>119012</v>
      </c>
      <c r="C637" t="s">
        <v>750</v>
      </c>
      <c r="D637" t="s">
        <v>751</v>
      </c>
      <c r="E637" s="2">
        <v>308.5</v>
      </c>
    </row>
    <row r="638" spans="1:5" x14ac:dyDescent="0.25">
      <c r="A638" s="1">
        <v>43377</v>
      </c>
      <c r="B638">
        <v>119012</v>
      </c>
      <c r="C638" t="s">
        <v>750</v>
      </c>
      <c r="D638" t="s">
        <v>752</v>
      </c>
      <c r="E638" s="2">
        <v>450</v>
      </c>
    </row>
    <row r="639" spans="1:5" x14ac:dyDescent="0.25">
      <c r="A639" s="1">
        <v>43377</v>
      </c>
      <c r="B639">
        <v>119013</v>
      </c>
      <c r="C639" t="s">
        <v>631</v>
      </c>
      <c r="D639" t="s">
        <v>753</v>
      </c>
      <c r="E639" s="2">
        <v>134.12</v>
      </c>
    </row>
    <row r="640" spans="1:5" x14ac:dyDescent="0.25">
      <c r="A640" s="1">
        <v>43377</v>
      </c>
      <c r="B640">
        <v>119013</v>
      </c>
      <c r="C640" t="s">
        <v>631</v>
      </c>
      <c r="D640" t="s">
        <v>754</v>
      </c>
      <c r="E640" s="2">
        <v>297.38</v>
      </c>
    </row>
    <row r="641" spans="1:5" x14ac:dyDescent="0.25">
      <c r="A641" s="1">
        <v>43377</v>
      </c>
      <c r="B641">
        <v>119013</v>
      </c>
      <c r="C641" t="s">
        <v>631</v>
      </c>
      <c r="D641" t="s">
        <v>755</v>
      </c>
      <c r="E641" s="2">
        <v>207.64</v>
      </c>
    </row>
    <row r="642" spans="1:5" x14ac:dyDescent="0.25">
      <c r="A642" s="1">
        <v>43377</v>
      </c>
      <c r="B642">
        <v>119013</v>
      </c>
      <c r="C642" t="s">
        <v>631</v>
      </c>
      <c r="D642" t="s">
        <v>756</v>
      </c>
      <c r="E642" s="2">
        <v>443.53</v>
      </c>
    </row>
    <row r="643" spans="1:5" x14ac:dyDescent="0.25">
      <c r="A643" s="1">
        <v>43377</v>
      </c>
      <c r="B643">
        <v>119014</v>
      </c>
      <c r="C643" t="s">
        <v>757</v>
      </c>
      <c r="D643" t="s">
        <v>758</v>
      </c>
      <c r="E643" s="2">
        <v>5625</v>
      </c>
    </row>
    <row r="644" spans="1:5" x14ac:dyDescent="0.25">
      <c r="A644" s="1">
        <v>43377</v>
      </c>
      <c r="B644">
        <v>119015</v>
      </c>
      <c r="C644" t="s">
        <v>16</v>
      </c>
      <c r="D644" t="s">
        <v>759</v>
      </c>
      <c r="E644" s="2">
        <v>123</v>
      </c>
    </row>
    <row r="645" spans="1:5" x14ac:dyDescent="0.25">
      <c r="A645" s="1">
        <v>43377</v>
      </c>
      <c r="B645">
        <v>119015</v>
      </c>
      <c r="C645" t="s">
        <v>16</v>
      </c>
      <c r="D645" t="s">
        <v>759</v>
      </c>
      <c r="E645" s="2">
        <v>30</v>
      </c>
    </row>
    <row r="646" spans="1:5" x14ac:dyDescent="0.25">
      <c r="A646" s="1">
        <v>43377</v>
      </c>
      <c r="B646">
        <v>119016</v>
      </c>
      <c r="C646" t="s">
        <v>760</v>
      </c>
      <c r="D646" t="s">
        <v>761</v>
      </c>
      <c r="E646" s="2">
        <v>922.28</v>
      </c>
    </row>
    <row r="647" spans="1:5" x14ac:dyDescent="0.25">
      <c r="A647" s="1">
        <v>43377</v>
      </c>
      <c r="B647">
        <v>119016</v>
      </c>
      <c r="C647" t="s">
        <v>760</v>
      </c>
      <c r="D647" t="s">
        <v>762</v>
      </c>
      <c r="E647" s="2">
        <v>399.95</v>
      </c>
    </row>
    <row r="648" spans="1:5" x14ac:dyDescent="0.25">
      <c r="A648" s="1">
        <v>43377</v>
      </c>
      <c r="B648">
        <v>119017</v>
      </c>
      <c r="C648" t="s">
        <v>158</v>
      </c>
      <c r="D648" t="s">
        <v>763</v>
      </c>
      <c r="E648" s="2">
        <v>488.8</v>
      </c>
    </row>
    <row r="649" spans="1:5" x14ac:dyDescent="0.25">
      <c r="A649" s="1">
        <v>43377</v>
      </c>
      <c r="B649">
        <v>119017</v>
      </c>
      <c r="C649" t="s">
        <v>158</v>
      </c>
      <c r="D649" t="s">
        <v>764</v>
      </c>
      <c r="E649" s="3">
        <v>-310.26</v>
      </c>
    </row>
    <row r="650" spans="1:5" x14ac:dyDescent="0.25">
      <c r="A650" s="1">
        <v>43377</v>
      </c>
      <c r="B650">
        <v>119017</v>
      </c>
      <c r="C650" t="s">
        <v>158</v>
      </c>
      <c r="D650" t="s">
        <v>763</v>
      </c>
      <c r="E650" s="2">
        <v>429.28</v>
      </c>
    </row>
    <row r="651" spans="1:5" x14ac:dyDescent="0.25">
      <c r="A651" s="1">
        <v>43377</v>
      </c>
      <c r="B651">
        <v>119018</v>
      </c>
      <c r="C651" t="s">
        <v>765</v>
      </c>
      <c r="D651" t="s">
        <v>766</v>
      </c>
      <c r="E651" s="2">
        <v>20455.169999999998</v>
      </c>
    </row>
    <row r="652" spans="1:5" x14ac:dyDescent="0.25">
      <c r="A652" s="1">
        <v>43377</v>
      </c>
      <c r="B652">
        <v>119019</v>
      </c>
      <c r="C652" t="s">
        <v>309</v>
      </c>
      <c r="D652" t="s">
        <v>767</v>
      </c>
      <c r="E652" s="2">
        <v>1148</v>
      </c>
    </row>
    <row r="653" spans="1:5" x14ac:dyDescent="0.25">
      <c r="A653" s="1">
        <v>43377</v>
      </c>
      <c r="B653">
        <v>119020</v>
      </c>
      <c r="C653" t="s">
        <v>768</v>
      </c>
      <c r="D653" t="s">
        <v>769</v>
      </c>
      <c r="E653" s="2">
        <v>650</v>
      </c>
    </row>
    <row r="654" spans="1:5" x14ac:dyDescent="0.25">
      <c r="A654" s="1">
        <v>43377</v>
      </c>
      <c r="B654">
        <v>119021</v>
      </c>
      <c r="C654" t="s">
        <v>770</v>
      </c>
      <c r="D654" t="s">
        <v>771</v>
      </c>
      <c r="E654" s="2">
        <v>270</v>
      </c>
    </row>
    <row r="655" spans="1:5" x14ac:dyDescent="0.25">
      <c r="A655" s="1">
        <v>43377</v>
      </c>
      <c r="B655">
        <v>119022</v>
      </c>
      <c r="C655" t="s">
        <v>219</v>
      </c>
      <c r="D655" t="s">
        <v>772</v>
      </c>
      <c r="E655" s="2">
        <v>100.18</v>
      </c>
    </row>
    <row r="656" spans="1:5" x14ac:dyDescent="0.25">
      <c r="A656" s="1">
        <v>43377</v>
      </c>
      <c r="B656">
        <v>119023</v>
      </c>
      <c r="C656" t="s">
        <v>322</v>
      </c>
      <c r="D656" t="s">
        <v>773</v>
      </c>
      <c r="E656" s="2">
        <v>125</v>
      </c>
    </row>
    <row r="657" spans="1:5" x14ac:dyDescent="0.25">
      <c r="A657" s="1">
        <v>43377</v>
      </c>
      <c r="B657">
        <v>119023</v>
      </c>
      <c r="C657" t="s">
        <v>322</v>
      </c>
      <c r="D657" t="s">
        <v>773</v>
      </c>
      <c r="E657" s="2">
        <v>125</v>
      </c>
    </row>
    <row r="658" spans="1:5" x14ac:dyDescent="0.25">
      <c r="A658" s="1">
        <v>43377</v>
      </c>
      <c r="B658">
        <v>119024</v>
      </c>
      <c r="C658" t="s">
        <v>774</v>
      </c>
      <c r="D658" t="s">
        <v>771</v>
      </c>
      <c r="E658" s="2">
        <v>240</v>
      </c>
    </row>
    <row r="659" spans="1:5" x14ac:dyDescent="0.25">
      <c r="A659" s="1">
        <v>43377</v>
      </c>
      <c r="B659">
        <v>119025</v>
      </c>
      <c r="C659" t="s">
        <v>172</v>
      </c>
      <c r="D659" t="s">
        <v>173</v>
      </c>
      <c r="E659" s="2">
        <v>300</v>
      </c>
    </row>
    <row r="660" spans="1:5" x14ac:dyDescent="0.25">
      <c r="A660" s="1">
        <v>43377</v>
      </c>
      <c r="B660">
        <v>119026</v>
      </c>
      <c r="C660" t="s">
        <v>176</v>
      </c>
      <c r="D660" t="s">
        <v>775</v>
      </c>
      <c r="E660" s="2">
        <v>365</v>
      </c>
    </row>
    <row r="661" spans="1:5" x14ac:dyDescent="0.25">
      <c r="A661" s="1">
        <v>43377</v>
      </c>
      <c r="B661">
        <v>119027</v>
      </c>
      <c r="C661" t="s">
        <v>385</v>
      </c>
      <c r="D661" t="s">
        <v>386</v>
      </c>
      <c r="E661" s="2">
        <v>379.6</v>
      </c>
    </row>
    <row r="662" spans="1:5" x14ac:dyDescent="0.25">
      <c r="A662" s="1">
        <v>43377</v>
      </c>
      <c r="B662">
        <v>119028</v>
      </c>
      <c r="C662" t="s">
        <v>59</v>
      </c>
      <c r="D662" t="s">
        <v>776</v>
      </c>
      <c r="E662" s="2">
        <v>575</v>
      </c>
    </row>
    <row r="663" spans="1:5" x14ac:dyDescent="0.25">
      <c r="A663" s="1">
        <v>43377</v>
      </c>
      <c r="B663">
        <v>119029</v>
      </c>
      <c r="C663" t="s">
        <v>179</v>
      </c>
      <c r="D663" t="s">
        <v>464</v>
      </c>
      <c r="E663" s="2">
        <v>306.62</v>
      </c>
    </row>
    <row r="664" spans="1:5" x14ac:dyDescent="0.25">
      <c r="A664" s="1">
        <v>43377</v>
      </c>
      <c r="B664">
        <v>119029</v>
      </c>
      <c r="C664" t="s">
        <v>179</v>
      </c>
      <c r="D664" t="s">
        <v>464</v>
      </c>
      <c r="E664" s="2">
        <v>90.58</v>
      </c>
    </row>
    <row r="665" spans="1:5" x14ac:dyDescent="0.25">
      <c r="A665" s="1">
        <v>43377</v>
      </c>
      <c r="B665">
        <v>119029</v>
      </c>
      <c r="C665" t="s">
        <v>179</v>
      </c>
      <c r="D665" t="s">
        <v>464</v>
      </c>
      <c r="E665" s="2">
        <v>274.60000000000002</v>
      </c>
    </row>
    <row r="666" spans="1:5" x14ac:dyDescent="0.25">
      <c r="A666" s="1">
        <v>43377</v>
      </c>
      <c r="B666">
        <v>119030</v>
      </c>
      <c r="C666" t="s">
        <v>388</v>
      </c>
      <c r="D666" t="s">
        <v>777</v>
      </c>
      <c r="E666" s="2">
        <v>499.61</v>
      </c>
    </row>
    <row r="667" spans="1:5" x14ac:dyDescent="0.25">
      <c r="A667" s="1">
        <v>43377</v>
      </c>
      <c r="B667">
        <v>119030</v>
      </c>
      <c r="C667" t="s">
        <v>388</v>
      </c>
      <c r="D667" t="s">
        <v>778</v>
      </c>
      <c r="E667" s="2">
        <v>483.41</v>
      </c>
    </row>
    <row r="668" spans="1:5" x14ac:dyDescent="0.25">
      <c r="A668" s="1">
        <v>43377</v>
      </c>
      <c r="B668">
        <v>119031</v>
      </c>
      <c r="C668" t="s">
        <v>389</v>
      </c>
      <c r="D668" t="s">
        <v>779</v>
      </c>
      <c r="E668" s="2">
        <v>5860.38</v>
      </c>
    </row>
    <row r="669" spans="1:5" x14ac:dyDescent="0.25">
      <c r="A669" s="1">
        <v>43377</v>
      </c>
      <c r="B669">
        <v>119032</v>
      </c>
      <c r="C669" t="s">
        <v>780</v>
      </c>
      <c r="D669" t="s">
        <v>781</v>
      </c>
      <c r="E669" s="2">
        <v>184.27</v>
      </c>
    </row>
    <row r="670" spans="1:5" x14ac:dyDescent="0.25">
      <c r="A670" s="1">
        <v>43377</v>
      </c>
      <c r="B670">
        <v>119033</v>
      </c>
      <c r="C670" t="s">
        <v>782</v>
      </c>
      <c r="D670" t="s">
        <v>783</v>
      </c>
      <c r="E670" s="2">
        <v>1142</v>
      </c>
    </row>
    <row r="671" spans="1:5" x14ac:dyDescent="0.25">
      <c r="A671" s="1">
        <v>43377</v>
      </c>
      <c r="B671">
        <v>119034</v>
      </c>
      <c r="C671" t="s">
        <v>19</v>
      </c>
      <c r="D671" t="s">
        <v>784</v>
      </c>
      <c r="E671" s="2">
        <v>724</v>
      </c>
    </row>
    <row r="672" spans="1:5" x14ac:dyDescent="0.25">
      <c r="A672" s="1">
        <v>43377</v>
      </c>
      <c r="B672">
        <v>181900019</v>
      </c>
      <c r="C672" t="s">
        <v>398</v>
      </c>
      <c r="D672" t="s">
        <v>785</v>
      </c>
      <c r="E672" s="2">
        <v>129052.8</v>
      </c>
    </row>
    <row r="673" spans="1:5" x14ac:dyDescent="0.25">
      <c r="A673" s="1">
        <v>43377</v>
      </c>
      <c r="B673">
        <v>181900019</v>
      </c>
      <c r="C673" t="s">
        <v>398</v>
      </c>
      <c r="D673" t="s">
        <v>786</v>
      </c>
      <c r="E673" s="2">
        <f>107+91.75+1036.32+361.21</f>
        <v>1596.28</v>
      </c>
    </row>
    <row r="674" spans="1:5" x14ac:dyDescent="0.25">
      <c r="A674" s="1">
        <v>43382</v>
      </c>
      <c r="B674">
        <v>201800029</v>
      </c>
      <c r="C674" t="s">
        <v>787</v>
      </c>
      <c r="D674" t="s">
        <v>788</v>
      </c>
      <c r="E674" s="2">
        <v>31.78</v>
      </c>
    </row>
    <row r="675" spans="1:5" x14ac:dyDescent="0.25">
      <c r="A675" s="1">
        <v>43382</v>
      </c>
      <c r="B675">
        <v>201800030</v>
      </c>
      <c r="C675" t="s">
        <v>789</v>
      </c>
      <c r="D675" t="s">
        <v>790</v>
      </c>
      <c r="E675" s="2">
        <v>199</v>
      </c>
    </row>
    <row r="676" spans="1:5" x14ac:dyDescent="0.25">
      <c r="A676" s="1">
        <v>43382</v>
      </c>
      <c r="B676">
        <v>201800031</v>
      </c>
      <c r="C676" t="s">
        <v>311</v>
      </c>
      <c r="D676" t="s">
        <v>791</v>
      </c>
      <c r="E676" s="2">
        <v>160</v>
      </c>
    </row>
    <row r="677" spans="1:5" x14ac:dyDescent="0.25">
      <c r="A677" s="1">
        <v>43382</v>
      </c>
      <c r="B677">
        <v>201800032</v>
      </c>
      <c r="C677" t="s">
        <v>404</v>
      </c>
      <c r="D677" t="s">
        <v>792</v>
      </c>
      <c r="E677" s="2">
        <f>48*8</f>
        <v>384</v>
      </c>
    </row>
    <row r="678" spans="1:5" x14ac:dyDescent="0.25">
      <c r="A678" s="1">
        <v>43382</v>
      </c>
      <c r="B678">
        <v>201800033</v>
      </c>
      <c r="C678" t="s">
        <v>793</v>
      </c>
      <c r="D678" t="s">
        <v>794</v>
      </c>
      <c r="E678" s="2">
        <v>26.75</v>
      </c>
    </row>
    <row r="679" spans="1:5" x14ac:dyDescent="0.25">
      <c r="A679" s="1">
        <v>43382</v>
      </c>
      <c r="B679">
        <v>201800034</v>
      </c>
      <c r="C679" t="s">
        <v>793</v>
      </c>
      <c r="D679" t="s">
        <v>795</v>
      </c>
      <c r="E679" s="2">
        <v>40.25</v>
      </c>
    </row>
    <row r="680" spans="1:5" x14ac:dyDescent="0.25">
      <c r="A680" s="1">
        <v>43382</v>
      </c>
      <c r="B680">
        <v>201800035</v>
      </c>
      <c r="C680" t="s">
        <v>796</v>
      </c>
      <c r="D680" t="s">
        <v>797</v>
      </c>
      <c r="E680" s="2">
        <v>47.92</v>
      </c>
    </row>
    <row r="681" spans="1:5" x14ac:dyDescent="0.25">
      <c r="A681" s="1">
        <v>43384</v>
      </c>
      <c r="B681">
        <v>119035</v>
      </c>
      <c r="C681" t="s">
        <v>64</v>
      </c>
      <c r="D681" t="s">
        <v>798</v>
      </c>
      <c r="E681" s="2">
        <v>437.5</v>
      </c>
    </row>
    <row r="682" spans="1:5" x14ac:dyDescent="0.25">
      <c r="A682" s="1">
        <v>43384</v>
      </c>
      <c r="B682">
        <v>119036</v>
      </c>
      <c r="C682" t="s">
        <v>799</v>
      </c>
      <c r="D682" t="s">
        <v>800</v>
      </c>
      <c r="E682" s="2">
        <v>649.99</v>
      </c>
    </row>
    <row r="683" spans="1:5" x14ac:dyDescent="0.25">
      <c r="A683" s="1">
        <v>43384</v>
      </c>
      <c r="B683">
        <v>119037</v>
      </c>
      <c r="C683" t="s">
        <v>801</v>
      </c>
      <c r="D683" t="s">
        <v>802</v>
      </c>
      <c r="E683" s="2">
        <v>189.05</v>
      </c>
    </row>
    <row r="684" spans="1:5" x14ac:dyDescent="0.25">
      <c r="A684" s="1">
        <v>43384</v>
      </c>
      <c r="B684">
        <v>119038</v>
      </c>
      <c r="C684" t="s">
        <v>125</v>
      </c>
      <c r="D684" t="s">
        <v>803</v>
      </c>
      <c r="E684" s="2">
        <v>219.35</v>
      </c>
    </row>
    <row r="685" spans="1:5" x14ac:dyDescent="0.25">
      <c r="A685" s="1">
        <v>43384</v>
      </c>
      <c r="B685">
        <v>119039</v>
      </c>
      <c r="C685" t="s">
        <v>77</v>
      </c>
      <c r="D685" t="s">
        <v>338</v>
      </c>
      <c r="E685" s="2">
        <v>93.56</v>
      </c>
    </row>
    <row r="686" spans="1:5" x14ac:dyDescent="0.25">
      <c r="A686" s="1">
        <v>43384</v>
      </c>
      <c r="B686">
        <v>119040</v>
      </c>
      <c r="C686" t="s">
        <v>80</v>
      </c>
      <c r="D686" t="s">
        <v>424</v>
      </c>
      <c r="E686" s="2">
        <v>146.79</v>
      </c>
    </row>
    <row r="687" spans="1:5" x14ac:dyDescent="0.25">
      <c r="A687" s="1">
        <v>43384</v>
      </c>
      <c r="B687">
        <v>119042</v>
      </c>
      <c r="C687" t="s">
        <v>382</v>
      </c>
      <c r="D687" t="s">
        <v>759</v>
      </c>
      <c r="E687" s="2">
        <f>95+85+350+210+220+210</f>
        <v>1170</v>
      </c>
    </row>
    <row r="688" spans="1:5" x14ac:dyDescent="0.25">
      <c r="A688" s="1">
        <v>43384</v>
      </c>
      <c r="B688">
        <v>119043</v>
      </c>
      <c r="C688" t="s">
        <v>211</v>
      </c>
      <c r="D688" t="s">
        <v>804</v>
      </c>
      <c r="E688" s="2">
        <v>167.5</v>
      </c>
    </row>
    <row r="689" spans="1:5" x14ac:dyDescent="0.25">
      <c r="A689" s="1">
        <v>43384</v>
      </c>
      <c r="B689">
        <v>119044</v>
      </c>
      <c r="C689" t="s">
        <v>805</v>
      </c>
      <c r="D689" t="s">
        <v>806</v>
      </c>
      <c r="E689" s="2">
        <v>577.16999999999996</v>
      </c>
    </row>
    <row r="690" spans="1:5" x14ac:dyDescent="0.25">
      <c r="A690" s="1">
        <v>43384</v>
      </c>
      <c r="B690">
        <v>119046</v>
      </c>
      <c r="C690" t="s">
        <v>807</v>
      </c>
      <c r="D690" t="s">
        <v>690</v>
      </c>
      <c r="E690" s="2">
        <f>304.1+36.75+2164+44.5-36.75+2205.75+588</f>
        <v>5306.35</v>
      </c>
    </row>
    <row r="691" spans="1:5" x14ac:dyDescent="0.25">
      <c r="A691" s="1">
        <v>43384</v>
      </c>
      <c r="B691">
        <v>119047</v>
      </c>
      <c r="C691" t="s">
        <v>94</v>
      </c>
      <c r="D691" t="s">
        <v>808</v>
      </c>
      <c r="E691" s="2">
        <v>416.78</v>
      </c>
    </row>
    <row r="692" spans="1:5" x14ac:dyDescent="0.25">
      <c r="A692" s="1">
        <v>43384</v>
      </c>
      <c r="B692">
        <v>119048</v>
      </c>
      <c r="C692" t="s">
        <v>809</v>
      </c>
      <c r="D692" t="s">
        <v>810</v>
      </c>
      <c r="E692" s="2">
        <v>463.56</v>
      </c>
    </row>
    <row r="693" spans="1:5" x14ac:dyDescent="0.25">
      <c r="A693" s="1">
        <v>43384</v>
      </c>
      <c r="B693">
        <v>119049</v>
      </c>
      <c r="C693" t="s">
        <v>811</v>
      </c>
      <c r="D693" t="s">
        <v>717</v>
      </c>
      <c r="E693" s="2">
        <v>198.75</v>
      </c>
    </row>
    <row r="694" spans="1:5" x14ac:dyDescent="0.25">
      <c r="A694" s="1">
        <v>43384</v>
      </c>
      <c r="B694">
        <v>119050</v>
      </c>
      <c r="C694" t="s">
        <v>812</v>
      </c>
      <c r="D694" t="s">
        <v>813</v>
      </c>
      <c r="E694" s="2">
        <v>1240</v>
      </c>
    </row>
    <row r="695" spans="1:5" x14ac:dyDescent="0.25">
      <c r="A695" s="1">
        <v>43384</v>
      </c>
      <c r="B695">
        <v>119051</v>
      </c>
      <c r="C695" t="s">
        <v>814</v>
      </c>
      <c r="D695" t="s">
        <v>815</v>
      </c>
      <c r="E695" s="2">
        <v>231</v>
      </c>
    </row>
    <row r="696" spans="1:5" x14ac:dyDescent="0.25">
      <c r="A696" s="1">
        <v>43384</v>
      </c>
      <c r="B696">
        <v>119053</v>
      </c>
      <c r="C696" t="s">
        <v>226</v>
      </c>
      <c r="D696" t="s">
        <v>464</v>
      </c>
      <c r="E696" s="2">
        <v>535</v>
      </c>
    </row>
    <row r="697" spans="1:5" x14ac:dyDescent="0.25">
      <c r="A697" s="1">
        <v>43384</v>
      </c>
      <c r="B697">
        <v>119053</v>
      </c>
      <c r="C697" t="s">
        <v>226</v>
      </c>
      <c r="D697" t="s">
        <v>464</v>
      </c>
      <c r="E697" s="2">
        <v>27.59</v>
      </c>
    </row>
    <row r="698" spans="1:5" x14ac:dyDescent="0.25">
      <c r="A698" s="1">
        <v>43384</v>
      </c>
      <c r="B698">
        <v>119053</v>
      </c>
      <c r="C698" t="s">
        <v>226</v>
      </c>
      <c r="D698" t="s">
        <v>464</v>
      </c>
      <c r="E698" s="2">
        <v>135.80000000000001</v>
      </c>
    </row>
    <row r="699" spans="1:5" x14ac:dyDescent="0.25">
      <c r="A699" s="1">
        <v>43384</v>
      </c>
      <c r="B699">
        <v>119053</v>
      </c>
      <c r="C699" t="s">
        <v>226</v>
      </c>
      <c r="D699" t="s">
        <v>464</v>
      </c>
      <c r="E699" s="2">
        <v>540</v>
      </c>
    </row>
    <row r="700" spans="1:5" x14ac:dyDescent="0.25">
      <c r="A700" s="1">
        <v>43384</v>
      </c>
      <c r="B700">
        <v>119054</v>
      </c>
      <c r="C700" t="s">
        <v>96</v>
      </c>
      <c r="D700" t="s">
        <v>816</v>
      </c>
      <c r="E700" s="2">
        <v>75.760000000000005</v>
      </c>
    </row>
    <row r="701" spans="1:5" x14ac:dyDescent="0.25">
      <c r="A701" s="1">
        <v>43384</v>
      </c>
      <c r="B701">
        <v>119055</v>
      </c>
      <c r="C701" t="s">
        <v>235</v>
      </c>
      <c r="D701" t="s">
        <v>817</v>
      </c>
      <c r="E701" s="2">
        <v>80</v>
      </c>
    </row>
    <row r="702" spans="1:5" x14ac:dyDescent="0.25">
      <c r="A702" s="1">
        <v>43384</v>
      </c>
      <c r="B702">
        <v>119056</v>
      </c>
      <c r="C702" t="s">
        <v>66</v>
      </c>
      <c r="D702" t="s">
        <v>818</v>
      </c>
      <c r="E702" s="2">
        <v>472</v>
      </c>
    </row>
    <row r="703" spans="1:5" x14ac:dyDescent="0.25">
      <c r="A703" s="1">
        <v>43384</v>
      </c>
      <c r="B703">
        <v>119056</v>
      </c>
      <c r="C703" t="s">
        <v>66</v>
      </c>
      <c r="D703" t="s">
        <v>818</v>
      </c>
      <c r="E703" s="2">
        <v>2392</v>
      </c>
    </row>
    <row r="704" spans="1:5" x14ac:dyDescent="0.25">
      <c r="A704" s="1">
        <v>43384</v>
      </c>
      <c r="B704">
        <v>119058</v>
      </c>
      <c r="C704" t="s">
        <v>22</v>
      </c>
      <c r="D704" t="s">
        <v>23</v>
      </c>
      <c r="E704" s="2">
        <v>1629.76</v>
      </c>
    </row>
    <row r="705" spans="1:5" x14ac:dyDescent="0.25">
      <c r="A705" s="1">
        <v>43384</v>
      </c>
      <c r="B705">
        <v>119058</v>
      </c>
      <c r="C705" t="s">
        <v>22</v>
      </c>
      <c r="D705" t="s">
        <v>24</v>
      </c>
      <c r="E705" s="2">
        <v>3978.08</v>
      </c>
    </row>
    <row r="706" spans="1:5" x14ac:dyDescent="0.25">
      <c r="A706" s="1">
        <v>43384</v>
      </c>
      <c r="B706">
        <v>119061</v>
      </c>
      <c r="C706" t="s">
        <v>238</v>
      </c>
      <c r="D706" t="s">
        <v>437</v>
      </c>
      <c r="E706" s="2">
        <f>47.35+110.76+489.23+7.63+61.97+297.75+67.02+60.27+105.14+115.36+46.78</f>
        <v>1409.26</v>
      </c>
    </row>
    <row r="707" spans="1:5" x14ac:dyDescent="0.25">
      <c r="A707" s="1">
        <v>43384</v>
      </c>
      <c r="B707">
        <v>119062</v>
      </c>
      <c r="C707" t="s">
        <v>819</v>
      </c>
      <c r="D707" t="s">
        <v>820</v>
      </c>
      <c r="E707" s="2">
        <v>375</v>
      </c>
    </row>
    <row r="708" spans="1:5" x14ac:dyDescent="0.25">
      <c r="A708" s="1">
        <v>43384</v>
      </c>
      <c r="B708">
        <v>119063</v>
      </c>
      <c r="C708" t="s">
        <v>821</v>
      </c>
      <c r="D708" t="s">
        <v>822</v>
      </c>
      <c r="E708" s="2">
        <v>233.74</v>
      </c>
    </row>
    <row r="709" spans="1:5" x14ac:dyDescent="0.25">
      <c r="A709" s="1">
        <v>43384</v>
      </c>
      <c r="B709">
        <v>119064</v>
      </c>
      <c r="C709" t="s">
        <v>823</v>
      </c>
      <c r="D709" t="s">
        <v>824</v>
      </c>
      <c r="E709" s="2">
        <v>250</v>
      </c>
    </row>
    <row r="710" spans="1:5" x14ac:dyDescent="0.25">
      <c r="A710" s="1">
        <v>43384</v>
      </c>
      <c r="B710">
        <v>119064</v>
      </c>
      <c r="C710" t="s">
        <v>823</v>
      </c>
      <c r="D710" t="s">
        <v>825</v>
      </c>
      <c r="E710" s="2">
        <v>500</v>
      </c>
    </row>
    <row r="711" spans="1:5" x14ac:dyDescent="0.25">
      <c r="A711" s="1">
        <v>43384</v>
      </c>
      <c r="B711">
        <v>119065</v>
      </c>
      <c r="C711" t="s">
        <v>826</v>
      </c>
      <c r="D711" t="s">
        <v>827</v>
      </c>
      <c r="E711" s="2">
        <v>3066.65</v>
      </c>
    </row>
    <row r="712" spans="1:5" x14ac:dyDescent="0.25">
      <c r="A712" s="1">
        <v>43384</v>
      </c>
      <c r="B712">
        <v>119066</v>
      </c>
      <c r="C712" t="s">
        <v>828</v>
      </c>
      <c r="D712" t="s">
        <v>825</v>
      </c>
      <c r="E712" s="2">
        <v>500</v>
      </c>
    </row>
    <row r="713" spans="1:5" x14ac:dyDescent="0.25">
      <c r="A713" s="1">
        <v>43384</v>
      </c>
      <c r="B713">
        <v>119067</v>
      </c>
      <c r="C713" t="s">
        <v>829</v>
      </c>
      <c r="D713" t="s">
        <v>824</v>
      </c>
      <c r="E713" s="2">
        <v>250</v>
      </c>
    </row>
    <row r="714" spans="1:5" x14ac:dyDescent="0.25">
      <c r="A714" s="1">
        <v>43384</v>
      </c>
      <c r="B714">
        <v>119067</v>
      </c>
      <c r="C714" t="s">
        <v>829</v>
      </c>
      <c r="D714" t="s">
        <v>830</v>
      </c>
      <c r="E714" s="2">
        <v>500</v>
      </c>
    </row>
    <row r="715" spans="1:5" x14ac:dyDescent="0.25">
      <c r="A715" s="1">
        <v>43384</v>
      </c>
      <c r="B715">
        <v>119069</v>
      </c>
      <c r="C715" t="s">
        <v>662</v>
      </c>
      <c r="D715" t="s">
        <v>667</v>
      </c>
      <c r="E715" s="2">
        <v>488.85</v>
      </c>
    </row>
    <row r="716" spans="1:5" x14ac:dyDescent="0.25">
      <c r="A716" s="1">
        <v>43384</v>
      </c>
      <c r="B716">
        <v>119069</v>
      </c>
      <c r="C716" t="s">
        <v>662</v>
      </c>
      <c r="D716" t="s">
        <v>671</v>
      </c>
      <c r="E716" s="2">
        <v>311</v>
      </c>
    </row>
    <row r="717" spans="1:5" x14ac:dyDescent="0.25">
      <c r="A717" s="1">
        <v>43384</v>
      </c>
      <c r="B717">
        <v>119069</v>
      </c>
      <c r="C717" t="s">
        <v>662</v>
      </c>
      <c r="D717" t="s">
        <v>831</v>
      </c>
      <c r="E717" s="2">
        <v>6808.6</v>
      </c>
    </row>
    <row r="718" spans="1:5" x14ac:dyDescent="0.25">
      <c r="A718" s="1">
        <v>43384</v>
      </c>
      <c r="B718">
        <v>119069</v>
      </c>
      <c r="C718" t="s">
        <v>662</v>
      </c>
      <c r="D718" t="s">
        <v>667</v>
      </c>
      <c r="E718" s="2">
        <v>178.7</v>
      </c>
    </row>
    <row r="719" spans="1:5" x14ac:dyDescent="0.25">
      <c r="A719" s="1">
        <v>43384</v>
      </c>
      <c r="B719">
        <v>119069</v>
      </c>
      <c r="C719" t="s">
        <v>662</v>
      </c>
      <c r="D719" t="s">
        <v>832</v>
      </c>
      <c r="E719" s="2">
        <v>800</v>
      </c>
    </row>
    <row r="720" spans="1:5" x14ac:dyDescent="0.25">
      <c r="A720" s="1">
        <v>43384</v>
      </c>
      <c r="B720">
        <v>119070</v>
      </c>
      <c r="C720" t="s">
        <v>243</v>
      </c>
      <c r="D720" t="s">
        <v>833</v>
      </c>
      <c r="E720" s="2">
        <v>6180</v>
      </c>
    </row>
    <row r="721" spans="1:5" x14ac:dyDescent="0.25">
      <c r="A721" s="1">
        <v>43384</v>
      </c>
      <c r="B721">
        <v>119071</v>
      </c>
      <c r="C721" t="s">
        <v>244</v>
      </c>
      <c r="D721" t="s">
        <v>834</v>
      </c>
      <c r="E721" s="2">
        <v>1259.33</v>
      </c>
    </row>
    <row r="722" spans="1:5" x14ac:dyDescent="0.25">
      <c r="A722" s="1">
        <v>43384</v>
      </c>
      <c r="B722">
        <v>119071</v>
      </c>
      <c r="C722" t="s">
        <v>244</v>
      </c>
      <c r="D722" t="s">
        <v>835</v>
      </c>
      <c r="E722" s="2">
        <v>1237.06</v>
      </c>
    </row>
    <row r="723" spans="1:5" x14ac:dyDescent="0.25">
      <c r="A723" s="1">
        <v>43384</v>
      </c>
      <c r="B723">
        <v>119075</v>
      </c>
      <c r="C723" t="s">
        <v>106</v>
      </c>
      <c r="D723" t="s">
        <v>424</v>
      </c>
      <c r="E723" s="2">
        <f>46.63+1475.92+616.88+380.29+1081.61+178.98+187.4+49.78+190.55+999.82+444.84+640.52+500.24+330.89+330.89+1076.4+538.65</f>
        <v>9070.2899999999991</v>
      </c>
    </row>
    <row r="724" spans="1:5" x14ac:dyDescent="0.25">
      <c r="A724" s="1">
        <v>43384</v>
      </c>
      <c r="B724">
        <v>119076</v>
      </c>
      <c r="C724" t="s">
        <v>107</v>
      </c>
      <c r="D724" t="s">
        <v>836</v>
      </c>
      <c r="E724" s="2">
        <v>263.5</v>
      </c>
    </row>
    <row r="725" spans="1:5" x14ac:dyDescent="0.25">
      <c r="A725" s="1">
        <v>43384</v>
      </c>
      <c r="B725">
        <v>119077</v>
      </c>
      <c r="C725" t="s">
        <v>837</v>
      </c>
      <c r="D725" t="s">
        <v>838</v>
      </c>
      <c r="E725" s="2">
        <v>68.17</v>
      </c>
    </row>
    <row r="726" spans="1:5" x14ac:dyDescent="0.25">
      <c r="A726" s="1">
        <v>43384</v>
      </c>
      <c r="B726">
        <v>119078</v>
      </c>
      <c r="C726" t="s">
        <v>839</v>
      </c>
      <c r="D726" t="s">
        <v>840</v>
      </c>
      <c r="E726" s="2">
        <v>118.87</v>
      </c>
    </row>
    <row r="727" spans="1:5" x14ac:dyDescent="0.25">
      <c r="A727" s="1">
        <v>43384</v>
      </c>
      <c r="B727">
        <v>119079</v>
      </c>
      <c r="C727" t="s">
        <v>109</v>
      </c>
      <c r="D727" t="s">
        <v>489</v>
      </c>
      <c r="E727" s="2">
        <v>50</v>
      </c>
    </row>
    <row r="728" spans="1:5" x14ac:dyDescent="0.25">
      <c r="A728" s="1">
        <v>43384</v>
      </c>
      <c r="B728">
        <v>119080</v>
      </c>
      <c r="C728" t="s">
        <v>68</v>
      </c>
      <c r="D728" t="s">
        <v>490</v>
      </c>
      <c r="E728" s="2">
        <v>1481.47</v>
      </c>
    </row>
    <row r="729" spans="1:5" x14ac:dyDescent="0.25">
      <c r="A729" s="1">
        <v>43384</v>
      </c>
      <c r="B729">
        <v>119080</v>
      </c>
      <c r="C729" t="s">
        <v>68</v>
      </c>
      <c r="D729" t="s">
        <v>841</v>
      </c>
      <c r="E729" s="2">
        <v>65.540000000000006</v>
      </c>
    </row>
    <row r="730" spans="1:5" x14ac:dyDescent="0.25">
      <c r="A730" s="1">
        <v>43384</v>
      </c>
      <c r="B730">
        <v>119081</v>
      </c>
      <c r="C730" t="s">
        <v>842</v>
      </c>
      <c r="D730" t="s">
        <v>843</v>
      </c>
      <c r="E730" s="2">
        <v>511.16</v>
      </c>
    </row>
    <row r="731" spans="1:5" x14ac:dyDescent="0.25">
      <c r="A731" s="1">
        <v>43384</v>
      </c>
      <c r="B731">
        <v>119082</v>
      </c>
      <c r="C731" t="s">
        <v>355</v>
      </c>
      <c r="D731" t="s">
        <v>844</v>
      </c>
      <c r="E731" s="2">
        <v>94.5</v>
      </c>
    </row>
    <row r="732" spans="1:5" x14ac:dyDescent="0.25">
      <c r="A732" s="1">
        <v>43384</v>
      </c>
      <c r="B732">
        <v>119082</v>
      </c>
      <c r="C732" t="s">
        <v>355</v>
      </c>
      <c r="D732" t="s">
        <v>845</v>
      </c>
      <c r="E732" s="2">
        <v>174.35</v>
      </c>
    </row>
    <row r="733" spans="1:5" x14ac:dyDescent="0.25">
      <c r="A733" s="1">
        <v>43384</v>
      </c>
      <c r="B733">
        <v>119083</v>
      </c>
      <c r="C733" t="s">
        <v>111</v>
      </c>
      <c r="D733" t="s">
        <v>489</v>
      </c>
      <c r="E733" s="2">
        <v>50</v>
      </c>
    </row>
    <row r="734" spans="1:5" x14ac:dyDescent="0.25">
      <c r="A734" s="1">
        <v>43384</v>
      </c>
      <c r="B734">
        <v>119084</v>
      </c>
      <c r="C734" t="s">
        <v>846</v>
      </c>
      <c r="D734" t="s">
        <v>847</v>
      </c>
      <c r="E734" s="2">
        <v>400</v>
      </c>
    </row>
    <row r="735" spans="1:5" x14ac:dyDescent="0.25">
      <c r="A735" s="1">
        <v>43384</v>
      </c>
      <c r="B735">
        <v>119085</v>
      </c>
      <c r="C735" t="s">
        <v>848</v>
      </c>
      <c r="D735" t="s">
        <v>680</v>
      </c>
      <c r="E735" s="2">
        <v>7000</v>
      </c>
    </row>
    <row r="736" spans="1:5" x14ac:dyDescent="0.25">
      <c r="A736" s="1">
        <v>43384</v>
      </c>
      <c r="B736">
        <v>119086</v>
      </c>
      <c r="C736" t="s">
        <v>849</v>
      </c>
      <c r="D736" t="s">
        <v>850</v>
      </c>
      <c r="E736" s="2">
        <v>206.44</v>
      </c>
    </row>
    <row r="737" spans="1:5" x14ac:dyDescent="0.25">
      <c r="A737" s="1">
        <v>43384</v>
      </c>
      <c r="B737">
        <v>119087</v>
      </c>
      <c r="C737" t="s">
        <v>114</v>
      </c>
      <c r="D737" t="s">
        <v>851</v>
      </c>
      <c r="E737" s="2">
        <v>20</v>
      </c>
    </row>
    <row r="738" spans="1:5" x14ac:dyDescent="0.25">
      <c r="A738" s="1">
        <v>43384</v>
      </c>
      <c r="B738">
        <v>119087</v>
      </c>
      <c r="C738" t="s">
        <v>114</v>
      </c>
      <c r="D738" t="s">
        <v>851</v>
      </c>
      <c r="E738" s="2">
        <v>20</v>
      </c>
    </row>
    <row r="739" spans="1:5" x14ac:dyDescent="0.25">
      <c r="A739" s="1">
        <v>43384</v>
      </c>
      <c r="B739">
        <v>119087</v>
      </c>
      <c r="C739" t="s">
        <v>114</v>
      </c>
      <c r="D739" t="s">
        <v>851</v>
      </c>
      <c r="E739" s="2">
        <v>20</v>
      </c>
    </row>
    <row r="740" spans="1:5" x14ac:dyDescent="0.25">
      <c r="A740" s="1">
        <v>43384</v>
      </c>
      <c r="B740">
        <v>119088</v>
      </c>
      <c r="C740" t="s">
        <v>115</v>
      </c>
      <c r="D740" t="s">
        <v>489</v>
      </c>
      <c r="E740" s="2">
        <v>45</v>
      </c>
    </row>
    <row r="741" spans="1:5" x14ac:dyDescent="0.25">
      <c r="A741" s="1">
        <v>43384</v>
      </c>
      <c r="B741">
        <v>119089</v>
      </c>
      <c r="C741" t="s">
        <v>852</v>
      </c>
      <c r="D741" t="s">
        <v>853</v>
      </c>
      <c r="E741" s="2">
        <v>250</v>
      </c>
    </row>
    <row r="742" spans="1:5" x14ac:dyDescent="0.25">
      <c r="A742" s="1">
        <v>43384</v>
      </c>
      <c r="B742">
        <v>119089</v>
      </c>
      <c r="C742" t="s">
        <v>852</v>
      </c>
      <c r="D742" t="s">
        <v>824</v>
      </c>
      <c r="E742" s="2">
        <v>250</v>
      </c>
    </row>
    <row r="743" spans="1:5" x14ac:dyDescent="0.25">
      <c r="A743" s="1">
        <v>43384</v>
      </c>
      <c r="B743">
        <v>119089</v>
      </c>
      <c r="C743" t="s">
        <v>852</v>
      </c>
      <c r="D743" t="s">
        <v>825</v>
      </c>
      <c r="E743" s="2">
        <v>500</v>
      </c>
    </row>
    <row r="744" spans="1:5" x14ac:dyDescent="0.25">
      <c r="A744" s="1">
        <v>43384</v>
      </c>
      <c r="B744">
        <v>119090</v>
      </c>
      <c r="C744" t="s">
        <v>116</v>
      </c>
      <c r="D744" t="s">
        <v>854</v>
      </c>
      <c r="E744" s="2">
        <v>157.5</v>
      </c>
    </row>
    <row r="745" spans="1:5" x14ac:dyDescent="0.25">
      <c r="A745" s="1">
        <v>43384</v>
      </c>
      <c r="B745">
        <v>119091</v>
      </c>
      <c r="C745" t="s">
        <v>855</v>
      </c>
      <c r="D745" t="s">
        <v>856</v>
      </c>
      <c r="E745" s="2">
        <v>207.79</v>
      </c>
    </row>
    <row r="746" spans="1:5" x14ac:dyDescent="0.25">
      <c r="A746" s="1">
        <v>43384</v>
      </c>
      <c r="B746">
        <v>119092</v>
      </c>
      <c r="C746" t="s">
        <v>857</v>
      </c>
      <c r="D746" t="s">
        <v>858</v>
      </c>
      <c r="E746" s="2">
        <v>100</v>
      </c>
    </row>
    <row r="747" spans="1:5" x14ac:dyDescent="0.25">
      <c r="A747" s="1">
        <v>43384</v>
      </c>
      <c r="B747">
        <v>119093</v>
      </c>
      <c r="C747" t="s">
        <v>259</v>
      </c>
      <c r="D747" t="s">
        <v>859</v>
      </c>
      <c r="E747" s="2">
        <v>2430.62</v>
      </c>
    </row>
    <row r="748" spans="1:5" x14ac:dyDescent="0.25">
      <c r="A748" s="1">
        <v>43384</v>
      </c>
      <c r="B748">
        <v>119093</v>
      </c>
      <c r="C748" t="s">
        <v>259</v>
      </c>
      <c r="D748" t="s">
        <v>859</v>
      </c>
      <c r="E748" s="2">
        <v>1806.84</v>
      </c>
    </row>
    <row r="749" spans="1:5" x14ac:dyDescent="0.25">
      <c r="A749" s="1">
        <v>43384</v>
      </c>
      <c r="B749">
        <v>119094</v>
      </c>
      <c r="C749" t="s">
        <v>860</v>
      </c>
      <c r="D749" t="s">
        <v>861</v>
      </c>
      <c r="E749" s="2">
        <v>4722.53</v>
      </c>
    </row>
    <row r="750" spans="1:5" x14ac:dyDescent="0.25">
      <c r="A750" s="1">
        <v>43384</v>
      </c>
      <c r="B750">
        <v>119095</v>
      </c>
      <c r="C750" t="s">
        <v>265</v>
      </c>
      <c r="D750" t="s">
        <v>862</v>
      </c>
      <c r="E750" s="2">
        <v>645.75</v>
      </c>
    </row>
    <row r="751" spans="1:5" x14ac:dyDescent="0.25">
      <c r="A751" s="1">
        <v>43384</v>
      </c>
      <c r="B751">
        <v>119096</v>
      </c>
      <c r="C751" t="s">
        <v>863</v>
      </c>
      <c r="D751" t="s">
        <v>864</v>
      </c>
      <c r="E751" s="2">
        <v>118.87</v>
      </c>
    </row>
    <row r="752" spans="1:5" x14ac:dyDescent="0.25">
      <c r="A752" s="1">
        <v>43384</v>
      </c>
      <c r="B752">
        <v>119097</v>
      </c>
      <c r="C752" t="s">
        <v>62</v>
      </c>
      <c r="D752" t="s">
        <v>865</v>
      </c>
      <c r="E752" s="2">
        <v>560</v>
      </c>
    </row>
    <row r="753" spans="1:5" x14ac:dyDescent="0.25">
      <c r="A753" s="1">
        <v>43384</v>
      </c>
      <c r="B753">
        <v>119098</v>
      </c>
      <c r="C753" t="s">
        <v>866</v>
      </c>
      <c r="D753" t="s">
        <v>840</v>
      </c>
      <c r="E753" s="2">
        <v>118.87</v>
      </c>
    </row>
    <row r="754" spans="1:5" x14ac:dyDescent="0.25">
      <c r="A754" s="1">
        <v>43384</v>
      </c>
      <c r="B754">
        <v>119099</v>
      </c>
      <c r="C754" t="s">
        <v>867</v>
      </c>
      <c r="D754" t="s">
        <v>771</v>
      </c>
      <c r="E754" s="2">
        <v>159</v>
      </c>
    </row>
    <row r="755" spans="1:5" x14ac:dyDescent="0.25">
      <c r="A755" s="1">
        <v>43384</v>
      </c>
      <c r="B755">
        <v>119100</v>
      </c>
      <c r="C755" t="s">
        <v>868</v>
      </c>
      <c r="D755" t="s">
        <v>824</v>
      </c>
      <c r="E755" s="2">
        <v>250</v>
      </c>
    </row>
    <row r="756" spans="1:5" x14ac:dyDescent="0.25">
      <c r="A756" s="1">
        <v>43384</v>
      </c>
      <c r="B756">
        <v>119103</v>
      </c>
      <c r="C756" t="s">
        <v>869</v>
      </c>
      <c r="D756" t="s">
        <v>464</v>
      </c>
      <c r="E756" s="2">
        <f>673.51+89.64+15.55+161.58+18.81+19.75+27.12</f>
        <v>1005.9599999999999</v>
      </c>
    </row>
    <row r="757" spans="1:5" x14ac:dyDescent="0.25">
      <c r="A757" s="1">
        <v>43384</v>
      </c>
      <c r="B757">
        <v>119105</v>
      </c>
      <c r="C757" t="s">
        <v>74</v>
      </c>
      <c r="D757" t="s">
        <v>870</v>
      </c>
      <c r="E757" s="2">
        <v>142.44999999999999</v>
      </c>
    </row>
    <row r="758" spans="1:5" x14ac:dyDescent="0.25">
      <c r="A758" s="1">
        <v>43384</v>
      </c>
      <c r="B758">
        <v>119105</v>
      </c>
      <c r="C758" t="s">
        <v>74</v>
      </c>
      <c r="D758" t="s">
        <v>871</v>
      </c>
      <c r="E758" s="2">
        <v>160.02000000000001</v>
      </c>
    </row>
    <row r="759" spans="1:5" x14ac:dyDescent="0.25">
      <c r="A759" s="1">
        <v>43384</v>
      </c>
      <c r="B759">
        <v>119105</v>
      </c>
      <c r="C759" t="s">
        <v>74</v>
      </c>
      <c r="D759" t="s">
        <v>872</v>
      </c>
      <c r="E759" s="2">
        <v>212.38</v>
      </c>
    </row>
    <row r="760" spans="1:5" x14ac:dyDescent="0.25">
      <c r="A760" s="1">
        <v>43384</v>
      </c>
      <c r="B760">
        <v>119105</v>
      </c>
      <c r="C760" t="s">
        <v>74</v>
      </c>
      <c r="D760" t="s">
        <v>667</v>
      </c>
      <c r="E760" s="2">
        <v>664.4</v>
      </c>
    </row>
    <row r="761" spans="1:5" x14ac:dyDescent="0.25">
      <c r="A761" s="1">
        <v>43384</v>
      </c>
      <c r="B761">
        <v>119106</v>
      </c>
      <c r="C761" t="s">
        <v>873</v>
      </c>
      <c r="D761" t="s">
        <v>874</v>
      </c>
      <c r="E761" s="2">
        <v>5752.53</v>
      </c>
    </row>
    <row r="762" spans="1:5" x14ac:dyDescent="0.25">
      <c r="A762" s="1">
        <v>43384</v>
      </c>
      <c r="B762">
        <v>119107</v>
      </c>
      <c r="C762" t="s">
        <v>875</v>
      </c>
      <c r="D762" t="s">
        <v>824</v>
      </c>
      <c r="E762" s="2">
        <v>250</v>
      </c>
    </row>
    <row r="763" spans="1:5" x14ac:dyDescent="0.25">
      <c r="A763" s="1">
        <v>43384</v>
      </c>
      <c r="B763">
        <v>119108</v>
      </c>
      <c r="C763" t="s">
        <v>739</v>
      </c>
      <c r="D763" t="s">
        <v>876</v>
      </c>
      <c r="E763" s="2">
        <v>20655.25</v>
      </c>
    </row>
    <row r="764" spans="1:5" x14ac:dyDescent="0.25">
      <c r="A764" s="1">
        <v>43384</v>
      </c>
      <c r="B764">
        <v>119109</v>
      </c>
      <c r="C764" t="s">
        <v>50</v>
      </c>
      <c r="D764" t="s">
        <v>467</v>
      </c>
      <c r="E764" s="2">
        <v>4450</v>
      </c>
    </row>
    <row r="765" spans="1:5" x14ac:dyDescent="0.25">
      <c r="A765" s="1">
        <v>43384</v>
      </c>
      <c r="B765">
        <v>119110</v>
      </c>
      <c r="C765" t="s">
        <v>877</v>
      </c>
      <c r="D765" t="s">
        <v>878</v>
      </c>
      <c r="E765" s="2">
        <v>204</v>
      </c>
    </row>
    <row r="766" spans="1:5" x14ac:dyDescent="0.25">
      <c r="A766" s="1">
        <v>43384</v>
      </c>
      <c r="B766">
        <v>119111</v>
      </c>
      <c r="C766" t="s">
        <v>879</v>
      </c>
      <c r="D766" t="s">
        <v>880</v>
      </c>
      <c r="E766" s="2">
        <v>21.74</v>
      </c>
    </row>
    <row r="767" spans="1:5" x14ac:dyDescent="0.25">
      <c r="A767" s="1">
        <v>43384</v>
      </c>
      <c r="B767">
        <v>119112</v>
      </c>
      <c r="C767" t="s">
        <v>211</v>
      </c>
      <c r="D767" t="s">
        <v>881</v>
      </c>
      <c r="E767" s="2">
        <v>167.5</v>
      </c>
    </row>
    <row r="768" spans="1:5" x14ac:dyDescent="0.25">
      <c r="A768" s="1">
        <v>43384</v>
      </c>
      <c r="B768">
        <v>119113</v>
      </c>
      <c r="C768" t="s">
        <v>882</v>
      </c>
      <c r="D768" t="s">
        <v>854</v>
      </c>
      <c r="E768" s="2">
        <v>157.5</v>
      </c>
    </row>
    <row r="769" spans="1:5" x14ac:dyDescent="0.25">
      <c r="A769" s="1">
        <v>43384</v>
      </c>
      <c r="B769">
        <v>119114</v>
      </c>
      <c r="C769" t="s">
        <v>308</v>
      </c>
      <c r="D769" t="s">
        <v>883</v>
      </c>
      <c r="E769" s="2">
        <v>552.5</v>
      </c>
    </row>
    <row r="770" spans="1:5" x14ac:dyDescent="0.25">
      <c r="A770" s="1">
        <v>43384</v>
      </c>
      <c r="B770">
        <v>119115</v>
      </c>
      <c r="C770" t="s">
        <v>161</v>
      </c>
      <c r="D770" t="s">
        <v>884</v>
      </c>
      <c r="E770" s="2">
        <v>1378</v>
      </c>
    </row>
    <row r="771" spans="1:5" x14ac:dyDescent="0.25">
      <c r="A771" s="1">
        <v>43384</v>
      </c>
      <c r="B771">
        <v>119116</v>
      </c>
      <c r="C771" t="s">
        <v>314</v>
      </c>
      <c r="D771" t="s">
        <v>885</v>
      </c>
      <c r="E771" s="2">
        <v>252</v>
      </c>
    </row>
    <row r="772" spans="1:5" x14ac:dyDescent="0.25">
      <c r="A772" s="1">
        <v>43384</v>
      </c>
      <c r="B772">
        <v>119118</v>
      </c>
      <c r="C772" t="s">
        <v>318</v>
      </c>
      <c r="D772" t="s">
        <v>886</v>
      </c>
      <c r="E772" s="2">
        <v>100933.09</v>
      </c>
    </row>
    <row r="773" spans="1:5" x14ac:dyDescent="0.25">
      <c r="A773" s="1">
        <v>43384</v>
      </c>
      <c r="B773">
        <v>119118</v>
      </c>
      <c r="C773" t="s">
        <v>318</v>
      </c>
      <c r="D773" t="s">
        <v>887</v>
      </c>
      <c r="E773" s="2">
        <v>16959.82</v>
      </c>
    </row>
    <row r="774" spans="1:5" x14ac:dyDescent="0.25">
      <c r="A774" s="1">
        <v>43384</v>
      </c>
      <c r="B774">
        <v>119118</v>
      </c>
      <c r="C774" t="s">
        <v>318</v>
      </c>
      <c r="D774" t="s">
        <v>888</v>
      </c>
      <c r="E774" s="2">
        <v>309.11</v>
      </c>
    </row>
    <row r="775" spans="1:5" x14ac:dyDescent="0.25">
      <c r="A775" s="1">
        <v>43384</v>
      </c>
      <c r="B775">
        <v>119119</v>
      </c>
      <c r="C775" t="s">
        <v>889</v>
      </c>
      <c r="D775" t="s">
        <v>824</v>
      </c>
      <c r="E775" s="2">
        <v>250</v>
      </c>
    </row>
    <row r="776" spans="1:5" x14ac:dyDescent="0.25">
      <c r="A776" s="1">
        <v>43384</v>
      </c>
      <c r="B776">
        <v>119119</v>
      </c>
      <c r="C776" t="s">
        <v>889</v>
      </c>
      <c r="D776" t="s">
        <v>825</v>
      </c>
      <c r="E776" s="2">
        <v>500</v>
      </c>
    </row>
    <row r="777" spans="1:5" x14ac:dyDescent="0.25">
      <c r="A777" s="1">
        <v>43384</v>
      </c>
      <c r="B777">
        <v>119120</v>
      </c>
      <c r="C777" t="s">
        <v>322</v>
      </c>
      <c r="D777" t="s">
        <v>773</v>
      </c>
      <c r="E777" s="2">
        <v>125</v>
      </c>
    </row>
    <row r="778" spans="1:5" x14ac:dyDescent="0.25">
      <c r="A778" s="1">
        <v>43384</v>
      </c>
      <c r="B778">
        <v>119121</v>
      </c>
      <c r="C778" t="s">
        <v>323</v>
      </c>
      <c r="D778" t="s">
        <v>890</v>
      </c>
      <c r="E778" s="2">
        <f>386+386+386</f>
        <v>1158</v>
      </c>
    </row>
    <row r="779" spans="1:5" x14ac:dyDescent="0.25">
      <c r="A779" s="1">
        <v>43384</v>
      </c>
      <c r="B779">
        <v>119122</v>
      </c>
      <c r="C779" t="s">
        <v>167</v>
      </c>
      <c r="D779" t="s">
        <v>891</v>
      </c>
      <c r="E779" s="2">
        <v>300</v>
      </c>
    </row>
    <row r="780" spans="1:5" x14ac:dyDescent="0.25">
      <c r="A780" s="1">
        <v>43384</v>
      </c>
      <c r="B780">
        <v>119123</v>
      </c>
      <c r="C780" t="s">
        <v>169</v>
      </c>
      <c r="D780" t="s">
        <v>892</v>
      </c>
      <c r="E780" s="2">
        <v>2500</v>
      </c>
    </row>
    <row r="781" spans="1:5" x14ac:dyDescent="0.25">
      <c r="A781" s="1">
        <v>43384</v>
      </c>
      <c r="B781">
        <v>119124</v>
      </c>
      <c r="C781" t="s">
        <v>893</v>
      </c>
      <c r="D781" t="s">
        <v>894</v>
      </c>
      <c r="E781" s="2">
        <v>50</v>
      </c>
    </row>
    <row r="782" spans="1:5" x14ac:dyDescent="0.25">
      <c r="A782" s="1">
        <v>43384</v>
      </c>
      <c r="B782">
        <v>119124</v>
      </c>
      <c r="C782" t="s">
        <v>893</v>
      </c>
      <c r="D782" t="s">
        <v>895</v>
      </c>
      <c r="E782" s="2">
        <v>50</v>
      </c>
    </row>
    <row r="783" spans="1:5" x14ac:dyDescent="0.25">
      <c r="A783" s="1">
        <v>43384</v>
      </c>
      <c r="B783">
        <v>119125</v>
      </c>
      <c r="C783" t="s">
        <v>896</v>
      </c>
      <c r="D783" t="s">
        <v>897</v>
      </c>
      <c r="E783" s="2">
        <v>1015</v>
      </c>
    </row>
    <row r="784" spans="1:5" x14ac:dyDescent="0.25">
      <c r="A784" s="1">
        <v>43384</v>
      </c>
      <c r="B784">
        <v>119126</v>
      </c>
      <c r="C784" t="s">
        <v>174</v>
      </c>
      <c r="D784" t="s">
        <v>175</v>
      </c>
      <c r="E784" s="2">
        <v>1941.06</v>
      </c>
    </row>
    <row r="785" spans="1:5" x14ac:dyDescent="0.25">
      <c r="A785" s="1">
        <v>43384</v>
      </c>
      <c r="B785">
        <v>119127</v>
      </c>
      <c r="C785" t="s">
        <v>181</v>
      </c>
      <c r="D785" t="s">
        <v>898</v>
      </c>
      <c r="E785" s="2">
        <v>1709.55</v>
      </c>
    </row>
    <row r="786" spans="1:5" x14ac:dyDescent="0.25">
      <c r="A786" s="1">
        <v>43384</v>
      </c>
      <c r="B786">
        <v>119128</v>
      </c>
      <c r="C786" t="s">
        <v>387</v>
      </c>
      <c r="D786" t="s">
        <v>899</v>
      </c>
      <c r="E786" s="2">
        <v>148.26</v>
      </c>
    </row>
    <row r="787" spans="1:5" x14ac:dyDescent="0.25">
      <c r="A787" s="1">
        <v>43384</v>
      </c>
      <c r="B787">
        <v>119129</v>
      </c>
      <c r="C787" t="s">
        <v>389</v>
      </c>
      <c r="D787" t="s">
        <v>900</v>
      </c>
      <c r="E787" s="2">
        <v>6600</v>
      </c>
    </row>
    <row r="788" spans="1:5" x14ac:dyDescent="0.25">
      <c r="A788" s="1">
        <v>43384</v>
      </c>
      <c r="B788">
        <v>119130</v>
      </c>
      <c r="C788" t="s">
        <v>901</v>
      </c>
      <c r="D788" t="s">
        <v>824</v>
      </c>
      <c r="E788" s="2">
        <v>250</v>
      </c>
    </row>
    <row r="789" spans="1:5" x14ac:dyDescent="0.25">
      <c r="A789" s="1">
        <v>43384</v>
      </c>
      <c r="B789">
        <v>119130</v>
      </c>
      <c r="C789" t="s">
        <v>901</v>
      </c>
      <c r="D789" t="s">
        <v>825</v>
      </c>
      <c r="E789" s="2">
        <v>500</v>
      </c>
    </row>
    <row r="790" spans="1:5" x14ac:dyDescent="0.25">
      <c r="A790" s="1">
        <v>43384</v>
      </c>
      <c r="B790">
        <v>119131</v>
      </c>
      <c r="C790" t="s">
        <v>644</v>
      </c>
      <c r="D790" t="s">
        <v>902</v>
      </c>
      <c r="E790" s="2">
        <v>38.130000000000003</v>
      </c>
    </row>
    <row r="791" spans="1:5" x14ac:dyDescent="0.25">
      <c r="A791" s="1">
        <v>43384</v>
      </c>
      <c r="B791">
        <v>119132</v>
      </c>
      <c r="C791" t="s">
        <v>61</v>
      </c>
      <c r="D791" t="s">
        <v>412</v>
      </c>
      <c r="E791" s="2">
        <v>7000</v>
      </c>
    </row>
    <row r="792" spans="1:5" x14ac:dyDescent="0.25">
      <c r="A792" s="1">
        <v>43384</v>
      </c>
      <c r="B792">
        <v>181900020</v>
      </c>
      <c r="C792" t="s">
        <v>393</v>
      </c>
      <c r="D792" t="s">
        <v>903</v>
      </c>
      <c r="E792" s="2">
        <f>61.66+13.97+13.9</f>
        <v>89.53</v>
      </c>
    </row>
    <row r="793" spans="1:5" x14ac:dyDescent="0.25">
      <c r="A793" s="1">
        <v>43384</v>
      </c>
      <c r="B793">
        <v>181900021</v>
      </c>
      <c r="C793" t="s">
        <v>904</v>
      </c>
      <c r="D793" t="s">
        <v>880</v>
      </c>
      <c r="E793" s="2">
        <v>27</v>
      </c>
    </row>
    <row r="794" spans="1:5" x14ac:dyDescent="0.25">
      <c r="A794" s="1">
        <v>43384</v>
      </c>
      <c r="B794">
        <v>181900022</v>
      </c>
      <c r="C794" t="s">
        <v>905</v>
      </c>
      <c r="D794" t="s">
        <v>880</v>
      </c>
      <c r="E794" s="2">
        <v>47.47</v>
      </c>
    </row>
    <row r="795" spans="1:5" x14ac:dyDescent="0.25">
      <c r="A795" s="1">
        <v>43384</v>
      </c>
      <c r="B795">
        <v>181900023</v>
      </c>
      <c r="C795" t="s">
        <v>906</v>
      </c>
      <c r="D795" t="s">
        <v>880</v>
      </c>
      <c r="E795" s="2">
        <v>119.25</v>
      </c>
    </row>
    <row r="796" spans="1:5" x14ac:dyDescent="0.25">
      <c r="A796" s="1">
        <v>43384</v>
      </c>
      <c r="B796">
        <v>181900024</v>
      </c>
      <c r="C796" t="s">
        <v>907</v>
      </c>
      <c r="D796" t="s">
        <v>880</v>
      </c>
      <c r="E796" s="2">
        <v>116.33</v>
      </c>
    </row>
    <row r="797" spans="1:5" x14ac:dyDescent="0.25">
      <c r="A797" s="1">
        <v>43384</v>
      </c>
      <c r="B797">
        <v>181900025</v>
      </c>
      <c r="C797" t="s">
        <v>908</v>
      </c>
      <c r="D797" t="s">
        <v>880</v>
      </c>
      <c r="E797" s="2">
        <v>50</v>
      </c>
    </row>
    <row r="798" spans="1:5" x14ac:dyDescent="0.25">
      <c r="A798" s="1">
        <v>43384</v>
      </c>
      <c r="B798">
        <v>181900026</v>
      </c>
      <c r="C798" t="s">
        <v>909</v>
      </c>
      <c r="D798" t="s">
        <v>880</v>
      </c>
      <c r="E798" s="2">
        <v>206.43</v>
      </c>
    </row>
    <row r="799" spans="1:5" x14ac:dyDescent="0.25">
      <c r="A799" s="1">
        <v>43384</v>
      </c>
      <c r="B799">
        <v>181900027</v>
      </c>
      <c r="C799" t="s">
        <v>910</v>
      </c>
      <c r="D799" t="s">
        <v>880</v>
      </c>
      <c r="E799" s="2">
        <v>48.33</v>
      </c>
    </row>
    <row r="800" spans="1:5" x14ac:dyDescent="0.25">
      <c r="A800" s="1">
        <v>43384</v>
      </c>
      <c r="B800">
        <v>181900029</v>
      </c>
      <c r="C800" t="s">
        <v>911</v>
      </c>
      <c r="D800" t="s">
        <v>880</v>
      </c>
      <c r="E800" s="2">
        <v>198.42</v>
      </c>
    </row>
    <row r="801" spans="1:5" x14ac:dyDescent="0.25">
      <c r="A801" s="1">
        <v>43384</v>
      </c>
      <c r="B801">
        <v>181900029</v>
      </c>
      <c r="C801" t="s">
        <v>911</v>
      </c>
      <c r="D801" t="s">
        <v>880</v>
      </c>
      <c r="E801" s="2">
        <v>44.2</v>
      </c>
    </row>
    <row r="802" spans="1:5" x14ac:dyDescent="0.25">
      <c r="A802" s="1">
        <v>43384</v>
      </c>
      <c r="B802">
        <v>181900030</v>
      </c>
      <c r="C802" t="s">
        <v>912</v>
      </c>
      <c r="D802" t="s">
        <v>880</v>
      </c>
      <c r="E802" s="2">
        <v>27</v>
      </c>
    </row>
    <row r="803" spans="1:5" x14ac:dyDescent="0.25">
      <c r="A803" s="1">
        <v>43384</v>
      </c>
      <c r="B803">
        <v>181900031</v>
      </c>
      <c r="C803" t="s">
        <v>913</v>
      </c>
      <c r="D803" t="s">
        <v>880</v>
      </c>
      <c r="E803" s="2">
        <v>260.62</v>
      </c>
    </row>
    <row r="804" spans="1:5" x14ac:dyDescent="0.25">
      <c r="A804" s="1">
        <v>43384</v>
      </c>
      <c r="B804">
        <v>181900032</v>
      </c>
      <c r="C804" t="s">
        <v>914</v>
      </c>
      <c r="D804" t="s">
        <v>880</v>
      </c>
      <c r="E804" s="2">
        <v>100</v>
      </c>
    </row>
    <row r="805" spans="1:5" x14ac:dyDescent="0.25">
      <c r="A805" s="1">
        <v>43384</v>
      </c>
      <c r="B805">
        <v>181900033</v>
      </c>
      <c r="C805" t="s">
        <v>915</v>
      </c>
      <c r="D805" t="s">
        <v>880</v>
      </c>
      <c r="E805" s="2">
        <v>116.84</v>
      </c>
    </row>
    <row r="806" spans="1:5" x14ac:dyDescent="0.25">
      <c r="A806" s="1">
        <v>43384</v>
      </c>
      <c r="B806">
        <v>181900034</v>
      </c>
      <c r="C806" t="s">
        <v>916</v>
      </c>
      <c r="D806" t="s">
        <v>880</v>
      </c>
      <c r="E806" s="2">
        <v>47.76</v>
      </c>
    </row>
    <row r="807" spans="1:5" x14ac:dyDescent="0.25">
      <c r="A807" s="1">
        <v>43384</v>
      </c>
      <c r="B807">
        <v>181900035</v>
      </c>
      <c r="C807" t="s">
        <v>917</v>
      </c>
      <c r="D807" t="s">
        <v>880</v>
      </c>
      <c r="E807" s="2">
        <v>59.31</v>
      </c>
    </row>
    <row r="808" spans="1:5" x14ac:dyDescent="0.25">
      <c r="A808" s="1">
        <v>43384</v>
      </c>
      <c r="B808">
        <v>181900036</v>
      </c>
      <c r="C808" t="s">
        <v>918</v>
      </c>
      <c r="D808" t="s">
        <v>880</v>
      </c>
      <c r="E808" s="2">
        <v>221.79</v>
      </c>
    </row>
    <row r="809" spans="1:5" x14ac:dyDescent="0.25">
      <c r="A809" s="1">
        <v>43384</v>
      </c>
      <c r="B809">
        <v>181900037</v>
      </c>
      <c r="C809" t="s">
        <v>919</v>
      </c>
      <c r="D809" t="s">
        <v>880</v>
      </c>
      <c r="E809" s="2">
        <v>27</v>
      </c>
    </row>
    <row r="810" spans="1:5" x14ac:dyDescent="0.25">
      <c r="A810" s="1">
        <v>43384</v>
      </c>
      <c r="B810">
        <v>201800036</v>
      </c>
      <c r="C810" t="s">
        <v>75</v>
      </c>
      <c r="D810" t="s">
        <v>920</v>
      </c>
      <c r="E810" s="2">
        <v>80</v>
      </c>
    </row>
    <row r="811" spans="1:5" x14ac:dyDescent="0.25">
      <c r="A811" s="1">
        <v>43384</v>
      </c>
      <c r="B811">
        <v>201800037</v>
      </c>
      <c r="C811" t="s">
        <v>921</v>
      </c>
      <c r="D811" t="s">
        <v>922</v>
      </c>
      <c r="E811" s="2">
        <v>370</v>
      </c>
    </row>
    <row r="812" spans="1:5" x14ac:dyDescent="0.25">
      <c r="A812" s="1">
        <v>43384</v>
      </c>
      <c r="B812">
        <v>201800038</v>
      </c>
      <c r="C812" t="s">
        <v>923</v>
      </c>
      <c r="D812" t="s">
        <v>924</v>
      </c>
      <c r="E812" s="2">
        <f>29.5+2.5</f>
        <v>32</v>
      </c>
    </row>
    <row r="813" spans="1:5" x14ac:dyDescent="0.25">
      <c r="A813" s="1">
        <v>43384</v>
      </c>
      <c r="B813">
        <v>201800039</v>
      </c>
      <c r="C813" t="s">
        <v>405</v>
      </c>
      <c r="D813" t="s">
        <v>925</v>
      </c>
      <c r="E813" s="2">
        <v>135.52000000000001</v>
      </c>
    </row>
    <row r="814" spans="1:5" x14ac:dyDescent="0.25">
      <c r="A814" s="1">
        <v>43384</v>
      </c>
      <c r="B814">
        <v>201800040</v>
      </c>
      <c r="C814" t="s">
        <v>926</v>
      </c>
      <c r="D814" t="s">
        <v>927</v>
      </c>
      <c r="E814" s="2">
        <v>493.53</v>
      </c>
    </row>
    <row r="815" spans="1:5" x14ac:dyDescent="0.25">
      <c r="A815" s="1">
        <v>43384</v>
      </c>
      <c r="B815">
        <v>201800041</v>
      </c>
      <c r="C815" t="s">
        <v>928</v>
      </c>
      <c r="D815" t="s">
        <v>929</v>
      </c>
      <c r="E815" s="2">
        <f>69.08+70.83</f>
        <v>139.91</v>
      </c>
    </row>
    <row r="816" spans="1:5" x14ac:dyDescent="0.25">
      <c r="A816" s="1">
        <v>43384</v>
      </c>
      <c r="B816">
        <v>201800042</v>
      </c>
      <c r="C816" t="s">
        <v>930</v>
      </c>
      <c r="D816" t="s">
        <v>931</v>
      </c>
      <c r="E816" s="2">
        <v>31.45</v>
      </c>
    </row>
    <row r="817" spans="1:5" x14ac:dyDescent="0.25">
      <c r="A817" s="1">
        <v>43384</v>
      </c>
      <c r="B817">
        <v>201800043</v>
      </c>
      <c r="C817" t="s">
        <v>932</v>
      </c>
      <c r="D817" t="s">
        <v>933</v>
      </c>
      <c r="E817" s="2">
        <v>103</v>
      </c>
    </row>
    <row r="818" spans="1:5" x14ac:dyDescent="0.25">
      <c r="A818" s="1">
        <v>43384</v>
      </c>
      <c r="B818">
        <v>201800044</v>
      </c>
      <c r="C818" t="s">
        <v>934</v>
      </c>
      <c r="D818" t="s">
        <v>935</v>
      </c>
      <c r="E818" s="2">
        <v>69.989999999999995</v>
      </c>
    </row>
    <row r="819" spans="1:5" x14ac:dyDescent="0.25">
      <c r="A819" s="1">
        <v>43384</v>
      </c>
      <c r="B819">
        <v>201800045</v>
      </c>
      <c r="C819" t="s">
        <v>936</v>
      </c>
      <c r="D819" t="s">
        <v>937</v>
      </c>
      <c r="E819" s="2">
        <v>499</v>
      </c>
    </row>
    <row r="820" spans="1:5" x14ac:dyDescent="0.25">
      <c r="A820" s="1">
        <v>43384</v>
      </c>
      <c r="B820">
        <v>201800046</v>
      </c>
      <c r="C820" t="s">
        <v>938</v>
      </c>
      <c r="D820" t="s">
        <v>939</v>
      </c>
      <c r="E820" s="2">
        <v>73.17</v>
      </c>
    </row>
    <row r="821" spans="1:5" x14ac:dyDescent="0.25">
      <c r="A821" s="1">
        <v>43384</v>
      </c>
      <c r="B821">
        <v>201800047</v>
      </c>
      <c r="C821" t="s">
        <v>940</v>
      </c>
      <c r="D821" t="s">
        <v>941</v>
      </c>
      <c r="E821" s="2">
        <v>94.04</v>
      </c>
    </row>
    <row r="822" spans="1:5" x14ac:dyDescent="0.25">
      <c r="A822" s="1">
        <v>43388</v>
      </c>
      <c r="B822">
        <v>119133</v>
      </c>
      <c r="C822" t="s">
        <v>942</v>
      </c>
      <c r="D822" t="s">
        <v>943</v>
      </c>
      <c r="E822" s="2">
        <v>1280</v>
      </c>
    </row>
    <row r="823" spans="1:5" x14ac:dyDescent="0.25">
      <c r="A823" s="1">
        <v>43389</v>
      </c>
      <c r="B823">
        <v>119149</v>
      </c>
      <c r="C823" t="s">
        <v>125</v>
      </c>
      <c r="D823" t="s">
        <v>944</v>
      </c>
      <c r="E823" s="2">
        <v>69.16</v>
      </c>
    </row>
    <row r="824" spans="1:5" x14ac:dyDescent="0.25">
      <c r="A824" s="1">
        <v>43389</v>
      </c>
      <c r="B824">
        <v>119149</v>
      </c>
      <c r="C824" t="s">
        <v>125</v>
      </c>
      <c r="D824" t="s">
        <v>945</v>
      </c>
      <c r="E824" s="2">
        <v>134.56</v>
      </c>
    </row>
    <row r="825" spans="1:5" x14ac:dyDescent="0.25">
      <c r="A825" s="1">
        <v>43389</v>
      </c>
      <c r="B825">
        <v>119149</v>
      </c>
      <c r="C825" t="s">
        <v>125</v>
      </c>
      <c r="D825" t="s">
        <v>946</v>
      </c>
      <c r="E825" s="2">
        <f>191.79+510.95+1004.02+15.58+507.37+599.66+500.26+42.52+107.69+238.73+124.16+16.71+14.81+22.31+1428.22+199+29.97+15.96+66.94+145.65+81.05+139+653.39+123.87+12.46+168.01+284.92+229.9+73.41+156.9+456.98</f>
        <v>8162.1899999999987</v>
      </c>
    </row>
    <row r="826" spans="1:5" x14ac:dyDescent="0.25">
      <c r="A826" s="1">
        <v>43389</v>
      </c>
      <c r="B826">
        <v>119149</v>
      </c>
      <c r="C826" t="s">
        <v>125</v>
      </c>
      <c r="D826" t="s">
        <v>947</v>
      </c>
      <c r="E826" s="2">
        <v>569.73</v>
      </c>
    </row>
    <row r="827" spans="1:5" x14ac:dyDescent="0.25">
      <c r="A827" s="1">
        <v>43389</v>
      </c>
      <c r="B827">
        <v>119149</v>
      </c>
      <c r="C827" t="s">
        <v>125</v>
      </c>
      <c r="D827" t="s">
        <v>948</v>
      </c>
      <c r="E827" s="2">
        <f>19.97+340.93+55.88+21.94+29.99+38.79+18.4+33.7+9.97+64.14+114.12+22.66+51.96+78.3+13.86</f>
        <v>914.61</v>
      </c>
    </row>
    <row r="828" spans="1:5" x14ac:dyDescent="0.25">
      <c r="A828" s="1">
        <v>43389</v>
      </c>
      <c r="B828">
        <v>119149</v>
      </c>
      <c r="C828" t="s">
        <v>125</v>
      </c>
      <c r="D828" t="s">
        <v>464</v>
      </c>
      <c r="E828" s="2">
        <f>288.91+40.69+910.86+521.83+49+58.62</f>
        <v>1869.9099999999999</v>
      </c>
    </row>
    <row r="829" spans="1:5" x14ac:dyDescent="0.25">
      <c r="A829" s="1">
        <v>43389</v>
      </c>
      <c r="B829">
        <v>119149</v>
      </c>
      <c r="C829" t="s">
        <v>125</v>
      </c>
      <c r="D829" t="s">
        <v>949</v>
      </c>
      <c r="E829" s="2">
        <v>4422</v>
      </c>
    </row>
    <row r="830" spans="1:5" x14ac:dyDescent="0.25">
      <c r="A830" s="1">
        <v>43389</v>
      </c>
      <c r="B830">
        <v>119149</v>
      </c>
      <c r="C830" t="s">
        <v>125</v>
      </c>
      <c r="D830" t="s">
        <v>949</v>
      </c>
      <c r="E830" s="2">
        <v>675.71</v>
      </c>
    </row>
    <row r="831" spans="1:5" x14ac:dyDescent="0.25">
      <c r="A831" s="1">
        <v>43389</v>
      </c>
      <c r="B831">
        <v>119149</v>
      </c>
      <c r="C831" t="s">
        <v>125</v>
      </c>
      <c r="D831" t="s">
        <v>950</v>
      </c>
      <c r="E831" s="2">
        <v>44.8</v>
      </c>
    </row>
    <row r="832" spans="1:5" x14ac:dyDescent="0.25">
      <c r="A832" s="1">
        <v>43389</v>
      </c>
      <c r="B832">
        <v>119149</v>
      </c>
      <c r="C832" t="s">
        <v>125</v>
      </c>
      <c r="D832" t="s">
        <v>951</v>
      </c>
      <c r="E832" s="2">
        <v>17.98</v>
      </c>
    </row>
    <row r="833" spans="1:5" x14ac:dyDescent="0.25">
      <c r="A833" s="1">
        <v>43389</v>
      </c>
      <c r="B833">
        <v>119150</v>
      </c>
      <c r="C833" t="s">
        <v>320</v>
      </c>
      <c r="D833" t="s">
        <v>773</v>
      </c>
      <c r="E833" s="2">
        <v>165</v>
      </c>
    </row>
    <row r="834" spans="1:5" x14ac:dyDescent="0.25">
      <c r="A834" s="1">
        <v>43390</v>
      </c>
      <c r="B834">
        <v>119151</v>
      </c>
      <c r="C834" t="s">
        <v>952</v>
      </c>
      <c r="D834" t="s">
        <v>953</v>
      </c>
      <c r="E834" s="2">
        <v>500</v>
      </c>
    </row>
    <row r="835" spans="1:5" x14ac:dyDescent="0.25">
      <c r="A835" s="1">
        <v>43390</v>
      </c>
      <c r="B835">
        <v>119152</v>
      </c>
      <c r="C835" t="s">
        <v>7</v>
      </c>
      <c r="D835" t="s">
        <v>954</v>
      </c>
      <c r="E835" s="2">
        <v>185</v>
      </c>
    </row>
    <row r="836" spans="1:5" x14ac:dyDescent="0.25">
      <c r="A836" s="1">
        <v>43390</v>
      </c>
      <c r="B836">
        <v>119152</v>
      </c>
      <c r="C836" t="s">
        <v>7</v>
      </c>
      <c r="D836" t="s">
        <v>955</v>
      </c>
      <c r="E836" s="2">
        <v>231</v>
      </c>
    </row>
    <row r="837" spans="1:5" x14ac:dyDescent="0.25">
      <c r="A837" s="1">
        <v>43390</v>
      </c>
      <c r="B837">
        <v>119152</v>
      </c>
      <c r="C837" t="s">
        <v>7</v>
      </c>
      <c r="D837" t="s">
        <v>956</v>
      </c>
      <c r="E837" s="2">
        <v>250</v>
      </c>
    </row>
    <row r="838" spans="1:5" x14ac:dyDescent="0.25">
      <c r="A838" s="1">
        <v>43390</v>
      </c>
      <c r="B838">
        <v>119152</v>
      </c>
      <c r="C838" t="s">
        <v>7</v>
      </c>
      <c r="D838" t="s">
        <v>608</v>
      </c>
      <c r="E838" s="2">
        <v>15</v>
      </c>
    </row>
    <row r="839" spans="1:5" x14ac:dyDescent="0.25">
      <c r="A839" s="1">
        <v>43390</v>
      </c>
      <c r="B839">
        <v>119153</v>
      </c>
      <c r="C839" t="s">
        <v>355</v>
      </c>
      <c r="D839" t="s">
        <v>957</v>
      </c>
      <c r="E839" s="2">
        <v>63.58</v>
      </c>
    </row>
    <row r="840" spans="1:5" x14ac:dyDescent="0.25">
      <c r="A840" s="1">
        <v>43390</v>
      </c>
      <c r="B840">
        <v>119153</v>
      </c>
      <c r="C840" t="s">
        <v>355</v>
      </c>
      <c r="D840" t="s">
        <v>957</v>
      </c>
      <c r="E840" s="2">
        <v>247.59</v>
      </c>
    </row>
    <row r="841" spans="1:5" x14ac:dyDescent="0.25">
      <c r="A841" s="1">
        <v>43390</v>
      </c>
      <c r="B841">
        <v>119154</v>
      </c>
      <c r="C841" t="s">
        <v>70</v>
      </c>
      <c r="D841" t="s">
        <v>958</v>
      </c>
      <c r="E841" s="2">
        <v>2566</v>
      </c>
    </row>
    <row r="842" spans="1:5" x14ac:dyDescent="0.25">
      <c r="A842" s="1">
        <v>43390</v>
      </c>
      <c r="B842">
        <v>119155</v>
      </c>
      <c r="C842" t="s">
        <v>857</v>
      </c>
      <c r="D842" t="s">
        <v>959</v>
      </c>
      <c r="E842" s="2">
        <v>60</v>
      </c>
    </row>
    <row r="843" spans="1:5" x14ac:dyDescent="0.25">
      <c r="A843" s="1">
        <v>43390</v>
      </c>
      <c r="B843">
        <v>119156</v>
      </c>
      <c r="C843" t="s">
        <v>125</v>
      </c>
      <c r="D843" t="s">
        <v>960</v>
      </c>
      <c r="E843" s="2">
        <v>122.68</v>
      </c>
    </row>
    <row r="844" spans="1:5" x14ac:dyDescent="0.25">
      <c r="A844" s="1">
        <v>43390</v>
      </c>
      <c r="B844">
        <v>119156</v>
      </c>
      <c r="C844" t="s">
        <v>125</v>
      </c>
      <c r="D844" t="s">
        <v>961</v>
      </c>
      <c r="E844" s="2">
        <v>65.47</v>
      </c>
    </row>
    <row r="845" spans="1:5" x14ac:dyDescent="0.25">
      <c r="A845" s="1">
        <v>43390</v>
      </c>
      <c r="B845">
        <v>119157</v>
      </c>
      <c r="C845" t="s">
        <v>962</v>
      </c>
      <c r="D845" t="s">
        <v>963</v>
      </c>
      <c r="E845" s="2">
        <v>164.49</v>
      </c>
    </row>
    <row r="846" spans="1:5" x14ac:dyDescent="0.25">
      <c r="A846" s="1">
        <v>43390</v>
      </c>
      <c r="B846">
        <v>119158</v>
      </c>
      <c r="C846" t="s">
        <v>964</v>
      </c>
      <c r="D846" t="s">
        <v>965</v>
      </c>
      <c r="E846" s="2">
        <v>50</v>
      </c>
    </row>
    <row r="847" spans="1:5" x14ac:dyDescent="0.25">
      <c r="A847" s="1">
        <v>43390</v>
      </c>
      <c r="B847">
        <v>119159</v>
      </c>
      <c r="C847" t="s">
        <v>966</v>
      </c>
      <c r="D847" t="s">
        <v>967</v>
      </c>
      <c r="E847" s="2">
        <v>240</v>
      </c>
    </row>
    <row r="848" spans="1:5" x14ac:dyDescent="0.25">
      <c r="A848" s="1">
        <v>43390</v>
      </c>
      <c r="B848">
        <v>119160</v>
      </c>
      <c r="C848" t="s">
        <v>968</v>
      </c>
      <c r="D848" t="s">
        <v>969</v>
      </c>
      <c r="E848" s="2">
        <v>250</v>
      </c>
    </row>
    <row r="849" spans="1:5" x14ac:dyDescent="0.25">
      <c r="A849" s="1">
        <v>43390</v>
      </c>
      <c r="B849">
        <v>119161</v>
      </c>
      <c r="C849" t="s">
        <v>74</v>
      </c>
      <c r="D849" t="s">
        <v>721</v>
      </c>
      <c r="E849" s="2">
        <v>73.5</v>
      </c>
    </row>
    <row r="850" spans="1:5" x14ac:dyDescent="0.25">
      <c r="A850" s="1">
        <v>43390</v>
      </c>
      <c r="B850">
        <v>119162</v>
      </c>
      <c r="C850" t="s">
        <v>12</v>
      </c>
      <c r="D850" t="s">
        <v>970</v>
      </c>
      <c r="E850" s="2">
        <v>29.75</v>
      </c>
    </row>
    <row r="851" spans="1:5" x14ac:dyDescent="0.25">
      <c r="A851" s="1">
        <v>43390</v>
      </c>
      <c r="B851">
        <v>119163</v>
      </c>
      <c r="C851" t="s">
        <v>205</v>
      </c>
      <c r="D851" t="s">
        <v>971</v>
      </c>
      <c r="E851" s="2">
        <v>77.75</v>
      </c>
    </row>
    <row r="852" spans="1:5" x14ac:dyDescent="0.25">
      <c r="A852" s="1">
        <v>43390</v>
      </c>
      <c r="B852">
        <v>119164</v>
      </c>
      <c r="C852" t="s">
        <v>77</v>
      </c>
      <c r="D852" t="s">
        <v>972</v>
      </c>
      <c r="E852" s="2">
        <v>75</v>
      </c>
    </row>
    <row r="853" spans="1:5" x14ac:dyDescent="0.25">
      <c r="A853" s="1">
        <v>43390</v>
      </c>
      <c r="B853">
        <v>119165</v>
      </c>
      <c r="C853" t="s">
        <v>77</v>
      </c>
      <c r="D853" t="s">
        <v>973</v>
      </c>
      <c r="E853" s="2">
        <v>42.14</v>
      </c>
    </row>
    <row r="854" spans="1:5" x14ac:dyDescent="0.25">
      <c r="A854" s="1">
        <v>43390</v>
      </c>
      <c r="B854">
        <v>119166</v>
      </c>
      <c r="C854" t="s">
        <v>974</v>
      </c>
      <c r="D854" t="s">
        <v>975</v>
      </c>
      <c r="E854" s="2">
        <v>100</v>
      </c>
    </row>
    <row r="855" spans="1:5" x14ac:dyDescent="0.25">
      <c r="A855" s="1">
        <v>43390</v>
      </c>
      <c r="B855">
        <v>119167</v>
      </c>
      <c r="C855" t="s">
        <v>13</v>
      </c>
      <c r="D855" t="s">
        <v>976</v>
      </c>
      <c r="E855" s="2">
        <v>110.39</v>
      </c>
    </row>
    <row r="856" spans="1:5" x14ac:dyDescent="0.25">
      <c r="A856" s="1">
        <v>43390</v>
      </c>
      <c r="B856">
        <v>119168</v>
      </c>
      <c r="C856" t="s">
        <v>81</v>
      </c>
      <c r="D856" t="s">
        <v>977</v>
      </c>
      <c r="E856" s="2">
        <v>833</v>
      </c>
    </row>
    <row r="857" spans="1:5" x14ac:dyDescent="0.25">
      <c r="A857" s="1">
        <v>43390</v>
      </c>
      <c r="B857">
        <v>119169</v>
      </c>
      <c r="C857" t="s">
        <v>219</v>
      </c>
      <c r="D857" t="s">
        <v>978</v>
      </c>
      <c r="E857" s="2">
        <v>140</v>
      </c>
    </row>
    <row r="858" spans="1:5" x14ac:dyDescent="0.25">
      <c r="A858" s="1">
        <v>43390</v>
      </c>
      <c r="B858">
        <v>119170</v>
      </c>
      <c r="C858" t="s">
        <v>979</v>
      </c>
      <c r="D858" t="s">
        <v>980</v>
      </c>
      <c r="E858" s="2">
        <v>3161</v>
      </c>
    </row>
    <row r="859" spans="1:5" x14ac:dyDescent="0.25">
      <c r="A859" s="1">
        <v>43390</v>
      </c>
      <c r="B859">
        <v>119171</v>
      </c>
      <c r="C859" t="s">
        <v>19</v>
      </c>
      <c r="D859" t="s">
        <v>981</v>
      </c>
      <c r="E859" s="2">
        <v>667</v>
      </c>
    </row>
    <row r="860" spans="1:5" x14ac:dyDescent="0.25">
      <c r="A860" s="1">
        <v>43390</v>
      </c>
      <c r="B860">
        <v>119187</v>
      </c>
      <c r="C860" t="s">
        <v>125</v>
      </c>
      <c r="D860" t="s">
        <v>464</v>
      </c>
      <c r="E860" s="2">
        <f>168.01+191.79+507.37+42.52+12.46+238.73+500.26+599.66+69.16+107.69+22.31+14.81+124.16+284.92+15.58+81.05+16.71+145.65+199+653.39+123.87+288.91+229.9+58.62+1428.22+156.9+521.83+73.41+465.98+510.95+1002.02+139+29.97+15.96+66.94-17.98</f>
        <v>9089.7299999999977</v>
      </c>
    </row>
    <row r="861" spans="1:5" x14ac:dyDescent="0.25">
      <c r="A861" s="1">
        <v>43390</v>
      </c>
      <c r="B861">
        <v>119187</v>
      </c>
      <c r="C861" t="s">
        <v>125</v>
      </c>
      <c r="D861" t="s">
        <v>982</v>
      </c>
      <c r="E861" s="2">
        <v>569.73</v>
      </c>
    </row>
    <row r="862" spans="1:5" x14ac:dyDescent="0.25">
      <c r="A862" s="1">
        <v>43390</v>
      </c>
      <c r="B862">
        <v>181900038</v>
      </c>
      <c r="C862" t="s">
        <v>650</v>
      </c>
      <c r="D862" t="s">
        <v>983</v>
      </c>
      <c r="E862" s="2">
        <v>180</v>
      </c>
    </row>
    <row r="863" spans="1:5" x14ac:dyDescent="0.25">
      <c r="A863" s="1">
        <v>43390</v>
      </c>
      <c r="B863">
        <v>181900039</v>
      </c>
      <c r="C863" t="s">
        <v>393</v>
      </c>
      <c r="D863" t="s">
        <v>984</v>
      </c>
      <c r="E863" s="2">
        <v>166.52</v>
      </c>
    </row>
    <row r="864" spans="1:5" x14ac:dyDescent="0.25">
      <c r="A864" s="1">
        <v>43390</v>
      </c>
      <c r="B864">
        <v>181900040</v>
      </c>
      <c r="C864" t="s">
        <v>652</v>
      </c>
      <c r="D864" t="s">
        <v>985</v>
      </c>
      <c r="E864" s="2">
        <v>30.65</v>
      </c>
    </row>
    <row r="865" spans="1:5" x14ac:dyDescent="0.25">
      <c r="A865" s="1">
        <v>43391</v>
      </c>
      <c r="B865">
        <v>119188</v>
      </c>
      <c r="C865" t="s">
        <v>986</v>
      </c>
      <c r="D865" t="s">
        <v>987</v>
      </c>
      <c r="E865" s="2">
        <v>1280</v>
      </c>
    </row>
    <row r="866" spans="1:5" x14ac:dyDescent="0.25">
      <c r="A866" s="1">
        <v>43391</v>
      </c>
      <c r="B866">
        <v>119189</v>
      </c>
      <c r="C866" t="s">
        <v>988</v>
      </c>
      <c r="D866" t="s">
        <v>989</v>
      </c>
      <c r="E866" s="2">
        <v>584.99</v>
      </c>
    </row>
    <row r="867" spans="1:5" x14ac:dyDescent="0.25">
      <c r="A867" s="1">
        <v>43391</v>
      </c>
      <c r="B867">
        <v>119190</v>
      </c>
      <c r="C867" t="s">
        <v>990</v>
      </c>
      <c r="D867" t="s">
        <v>991</v>
      </c>
      <c r="E867" s="2">
        <v>120</v>
      </c>
    </row>
    <row r="868" spans="1:5" x14ac:dyDescent="0.25">
      <c r="A868" s="1">
        <v>43391</v>
      </c>
      <c r="B868">
        <v>119191</v>
      </c>
      <c r="C868" t="s">
        <v>97</v>
      </c>
      <c r="D868" t="s">
        <v>992</v>
      </c>
      <c r="E868" s="2">
        <v>119.85</v>
      </c>
    </row>
    <row r="869" spans="1:5" x14ac:dyDescent="0.25">
      <c r="A869" s="1">
        <v>43391</v>
      </c>
      <c r="B869">
        <v>119191</v>
      </c>
      <c r="C869" t="s">
        <v>97</v>
      </c>
      <c r="D869" t="s">
        <v>993</v>
      </c>
      <c r="E869" s="2">
        <v>157.5</v>
      </c>
    </row>
    <row r="870" spans="1:5" x14ac:dyDescent="0.25">
      <c r="A870" s="1">
        <v>43391</v>
      </c>
      <c r="B870">
        <v>119192</v>
      </c>
      <c r="C870" t="s">
        <v>25</v>
      </c>
      <c r="D870" t="s">
        <v>994</v>
      </c>
      <c r="E870" s="2">
        <v>183.33</v>
      </c>
    </row>
    <row r="871" spans="1:5" x14ac:dyDescent="0.25">
      <c r="A871" s="1">
        <v>43391</v>
      </c>
      <c r="B871">
        <v>119193</v>
      </c>
      <c r="C871" t="s">
        <v>826</v>
      </c>
      <c r="D871" t="s">
        <v>995</v>
      </c>
      <c r="E871" s="2">
        <f>440+632.5</f>
        <v>1072.5</v>
      </c>
    </row>
    <row r="872" spans="1:5" x14ac:dyDescent="0.25">
      <c r="A872" s="1">
        <v>43391</v>
      </c>
      <c r="B872">
        <v>119194</v>
      </c>
      <c r="C872" t="s">
        <v>996</v>
      </c>
      <c r="D872" t="s">
        <v>864</v>
      </c>
      <c r="E872" s="2">
        <v>118.87</v>
      </c>
    </row>
    <row r="873" spans="1:5" x14ac:dyDescent="0.25">
      <c r="A873" s="1">
        <v>43391</v>
      </c>
      <c r="B873">
        <v>119195</v>
      </c>
      <c r="C873" t="s">
        <v>67</v>
      </c>
      <c r="D873" t="s">
        <v>997</v>
      </c>
      <c r="E873" s="2">
        <v>2356.1999999999998</v>
      </c>
    </row>
    <row r="874" spans="1:5" x14ac:dyDescent="0.25">
      <c r="A874" s="1">
        <v>43391</v>
      </c>
      <c r="B874">
        <v>119195</v>
      </c>
      <c r="C874" t="s">
        <v>67</v>
      </c>
      <c r="D874" t="s">
        <v>998</v>
      </c>
      <c r="E874" s="2">
        <f>4658.06+3584.7+3873.19+5006.04+7795.2</f>
        <v>24917.190000000002</v>
      </c>
    </row>
    <row r="875" spans="1:5" x14ac:dyDescent="0.25">
      <c r="A875" s="1">
        <v>43391</v>
      </c>
      <c r="B875">
        <v>119196</v>
      </c>
      <c r="C875" t="s">
        <v>999</v>
      </c>
      <c r="D875" t="s">
        <v>1000</v>
      </c>
      <c r="E875" s="2">
        <v>8285.2199999999993</v>
      </c>
    </row>
    <row r="876" spans="1:5" x14ac:dyDescent="0.25">
      <c r="A876" s="1">
        <v>43391</v>
      </c>
      <c r="B876">
        <v>119197</v>
      </c>
      <c r="C876" t="s">
        <v>243</v>
      </c>
      <c r="D876" t="s">
        <v>833</v>
      </c>
      <c r="E876" s="2">
        <v>400</v>
      </c>
    </row>
    <row r="877" spans="1:5" x14ac:dyDescent="0.25">
      <c r="A877" s="1">
        <v>43391</v>
      </c>
      <c r="B877">
        <v>119198</v>
      </c>
      <c r="C877" t="s">
        <v>247</v>
      </c>
      <c r="D877" t="s">
        <v>424</v>
      </c>
      <c r="E877" s="2">
        <v>1758.97</v>
      </c>
    </row>
    <row r="878" spans="1:5" x14ac:dyDescent="0.25">
      <c r="A878" s="1">
        <v>43391</v>
      </c>
      <c r="B878">
        <v>119199</v>
      </c>
      <c r="C878" t="s">
        <v>68</v>
      </c>
      <c r="D878" t="s">
        <v>667</v>
      </c>
      <c r="E878" s="2">
        <v>136.79</v>
      </c>
    </row>
    <row r="879" spans="1:5" x14ac:dyDescent="0.25">
      <c r="A879" s="1">
        <v>43391</v>
      </c>
      <c r="B879">
        <v>119200</v>
      </c>
      <c r="C879" t="s">
        <v>355</v>
      </c>
      <c r="D879" t="s">
        <v>1001</v>
      </c>
      <c r="E879" s="2">
        <v>13.24</v>
      </c>
    </row>
    <row r="880" spans="1:5" x14ac:dyDescent="0.25">
      <c r="A880" s="1">
        <v>43391</v>
      </c>
      <c r="B880">
        <v>119201</v>
      </c>
      <c r="C880" t="s">
        <v>1002</v>
      </c>
      <c r="D880" t="s">
        <v>1003</v>
      </c>
      <c r="E880" s="2">
        <v>200</v>
      </c>
    </row>
    <row r="881" spans="1:5" x14ac:dyDescent="0.25">
      <c r="A881" s="1">
        <v>43391</v>
      </c>
      <c r="B881">
        <v>119202</v>
      </c>
      <c r="C881" t="s">
        <v>685</v>
      </c>
      <c r="D881" t="s">
        <v>686</v>
      </c>
      <c r="E881" s="2">
        <f>177.69+78.22</f>
        <v>255.91</v>
      </c>
    </row>
    <row r="882" spans="1:5" x14ac:dyDescent="0.25">
      <c r="A882" s="1">
        <v>43391</v>
      </c>
      <c r="B882">
        <v>119203</v>
      </c>
      <c r="C882" t="s">
        <v>1004</v>
      </c>
      <c r="D882" t="s">
        <v>1005</v>
      </c>
      <c r="E882" s="2">
        <v>625</v>
      </c>
    </row>
    <row r="883" spans="1:5" x14ac:dyDescent="0.25">
      <c r="A883" s="1">
        <v>43391</v>
      </c>
      <c r="B883">
        <v>119204</v>
      </c>
      <c r="C883" t="s">
        <v>72</v>
      </c>
      <c r="D883" t="s">
        <v>1006</v>
      </c>
      <c r="E883" s="2">
        <v>537.79999999999995</v>
      </c>
    </row>
    <row r="884" spans="1:5" x14ac:dyDescent="0.25">
      <c r="A884" s="1">
        <v>43391</v>
      </c>
      <c r="B884">
        <v>119205</v>
      </c>
      <c r="C884" t="s">
        <v>1007</v>
      </c>
      <c r="D884" t="s">
        <v>1008</v>
      </c>
      <c r="E884" s="2">
        <v>7840</v>
      </c>
    </row>
    <row r="885" spans="1:5" x14ac:dyDescent="0.25">
      <c r="A885" s="1">
        <v>43391</v>
      </c>
      <c r="B885">
        <v>119206</v>
      </c>
      <c r="C885" t="s">
        <v>44</v>
      </c>
      <c r="D885" t="s">
        <v>1009</v>
      </c>
      <c r="E885" s="2">
        <v>75</v>
      </c>
    </row>
    <row r="886" spans="1:5" x14ac:dyDescent="0.25">
      <c r="A886" s="1">
        <v>43391</v>
      </c>
      <c r="B886">
        <v>119209</v>
      </c>
      <c r="C886" t="s">
        <v>274</v>
      </c>
      <c r="D886" t="s">
        <v>1010</v>
      </c>
      <c r="E886" s="2">
        <v>7397.65</v>
      </c>
    </row>
    <row r="887" spans="1:5" x14ac:dyDescent="0.25">
      <c r="A887" s="1">
        <v>43391</v>
      </c>
      <c r="B887">
        <v>119210</v>
      </c>
      <c r="C887" t="s">
        <v>706</v>
      </c>
      <c r="D887" t="s">
        <v>1011</v>
      </c>
      <c r="E887" s="2">
        <v>1621.8</v>
      </c>
    </row>
    <row r="888" spans="1:5" x14ac:dyDescent="0.25">
      <c r="A888" s="1">
        <v>43391</v>
      </c>
      <c r="B888">
        <v>119211</v>
      </c>
      <c r="C888" t="s">
        <v>275</v>
      </c>
      <c r="D888" t="s">
        <v>1012</v>
      </c>
      <c r="E888" s="2">
        <v>357.5</v>
      </c>
    </row>
    <row r="889" spans="1:5" x14ac:dyDescent="0.25">
      <c r="A889" s="1">
        <v>43391</v>
      </c>
      <c r="B889">
        <v>119212</v>
      </c>
      <c r="C889" t="s">
        <v>134</v>
      </c>
      <c r="D889" t="s">
        <v>1013</v>
      </c>
      <c r="E889" s="2">
        <v>281.25</v>
      </c>
    </row>
    <row r="890" spans="1:5" x14ac:dyDescent="0.25">
      <c r="A890" s="1">
        <v>43391</v>
      </c>
      <c r="B890">
        <v>119213</v>
      </c>
      <c r="C890" t="s">
        <v>618</v>
      </c>
      <c r="D890" t="s">
        <v>1014</v>
      </c>
      <c r="E890" s="2">
        <v>110</v>
      </c>
    </row>
    <row r="891" spans="1:5" x14ac:dyDescent="0.25">
      <c r="A891" s="1">
        <v>43391</v>
      </c>
      <c r="B891">
        <v>119214</v>
      </c>
      <c r="C891" t="s">
        <v>47</v>
      </c>
      <c r="D891" t="s">
        <v>464</v>
      </c>
      <c r="E891" s="2">
        <v>1060.5999999999999</v>
      </c>
    </row>
    <row r="892" spans="1:5" x14ac:dyDescent="0.25">
      <c r="A892" s="1">
        <v>43391</v>
      </c>
      <c r="B892">
        <v>119215</v>
      </c>
      <c r="C892" t="s">
        <v>48</v>
      </c>
      <c r="D892" t="s">
        <v>718</v>
      </c>
      <c r="E892" s="2">
        <v>8626.4500000000007</v>
      </c>
    </row>
    <row r="893" spans="1:5" x14ac:dyDescent="0.25">
      <c r="A893" s="1">
        <v>43391</v>
      </c>
      <c r="B893">
        <v>119217</v>
      </c>
      <c r="C893" t="s">
        <v>74</v>
      </c>
      <c r="D893" t="s">
        <v>1015</v>
      </c>
      <c r="E893" s="2">
        <v>29.96</v>
      </c>
    </row>
    <row r="894" spans="1:5" x14ac:dyDescent="0.25">
      <c r="A894" s="1">
        <v>43391</v>
      </c>
      <c r="B894">
        <v>119217</v>
      </c>
      <c r="C894" t="s">
        <v>74</v>
      </c>
      <c r="D894" t="s">
        <v>667</v>
      </c>
      <c r="E894" s="2">
        <v>80.48</v>
      </c>
    </row>
    <row r="895" spans="1:5" x14ac:dyDescent="0.25">
      <c r="A895" s="1">
        <v>43391</v>
      </c>
      <c r="B895">
        <v>119217</v>
      </c>
      <c r="C895" t="s">
        <v>74</v>
      </c>
      <c r="D895" t="s">
        <v>1015</v>
      </c>
      <c r="E895" s="2">
        <v>191.08</v>
      </c>
    </row>
    <row r="896" spans="1:5" x14ac:dyDescent="0.25">
      <c r="A896" s="1">
        <v>43391</v>
      </c>
      <c r="B896">
        <v>119217</v>
      </c>
      <c r="C896" t="s">
        <v>74</v>
      </c>
      <c r="D896" t="s">
        <v>1016</v>
      </c>
      <c r="E896" s="3">
        <v>-199.9</v>
      </c>
    </row>
    <row r="897" spans="1:5" x14ac:dyDescent="0.25">
      <c r="A897" s="1">
        <v>43391</v>
      </c>
      <c r="B897">
        <v>119217</v>
      </c>
      <c r="C897" t="s">
        <v>74</v>
      </c>
      <c r="D897" t="s">
        <v>1017</v>
      </c>
      <c r="E897" s="2">
        <v>433.5</v>
      </c>
    </row>
    <row r="898" spans="1:5" x14ac:dyDescent="0.25">
      <c r="A898" s="1">
        <v>43391</v>
      </c>
      <c r="B898">
        <v>119217</v>
      </c>
      <c r="C898" t="s">
        <v>74</v>
      </c>
      <c r="D898" t="s">
        <v>717</v>
      </c>
      <c r="E898" s="2">
        <v>109.31</v>
      </c>
    </row>
    <row r="899" spans="1:5" x14ac:dyDescent="0.25">
      <c r="A899" s="1">
        <v>43391</v>
      </c>
      <c r="B899">
        <v>119217</v>
      </c>
      <c r="C899" t="s">
        <v>74</v>
      </c>
      <c r="D899" t="s">
        <v>717</v>
      </c>
      <c r="E899" s="2">
        <v>8.7799999999999994</v>
      </c>
    </row>
    <row r="900" spans="1:5" x14ac:dyDescent="0.25">
      <c r="A900" s="1">
        <v>43391</v>
      </c>
      <c r="B900">
        <v>119217</v>
      </c>
      <c r="C900" t="s">
        <v>74</v>
      </c>
      <c r="D900" t="s">
        <v>481</v>
      </c>
      <c r="E900" s="2">
        <v>211.52</v>
      </c>
    </row>
    <row r="901" spans="1:5" x14ac:dyDescent="0.25">
      <c r="A901" s="1">
        <v>43391</v>
      </c>
      <c r="B901">
        <v>119217</v>
      </c>
      <c r="C901" t="s">
        <v>74</v>
      </c>
      <c r="D901" t="s">
        <v>667</v>
      </c>
      <c r="E901" s="2">
        <v>359.6</v>
      </c>
    </row>
    <row r="902" spans="1:5" x14ac:dyDescent="0.25">
      <c r="A902" s="1">
        <v>43391</v>
      </c>
      <c r="B902">
        <v>119218</v>
      </c>
      <c r="C902" t="s">
        <v>730</v>
      </c>
      <c r="D902" t="s">
        <v>1018</v>
      </c>
      <c r="E902" s="2">
        <v>166</v>
      </c>
    </row>
    <row r="903" spans="1:5" x14ac:dyDescent="0.25">
      <c r="A903" s="1">
        <v>43391</v>
      </c>
      <c r="B903">
        <v>119219</v>
      </c>
      <c r="C903" t="s">
        <v>1019</v>
      </c>
      <c r="D903" t="s">
        <v>1020</v>
      </c>
      <c r="E903" s="2">
        <f>330+1375</f>
        <v>1705</v>
      </c>
    </row>
    <row r="904" spans="1:5" x14ac:dyDescent="0.25">
      <c r="A904" s="1">
        <v>43391</v>
      </c>
      <c r="B904">
        <v>119220</v>
      </c>
      <c r="C904" t="s">
        <v>283</v>
      </c>
      <c r="D904" t="s">
        <v>441</v>
      </c>
      <c r="E904" s="2">
        <v>1012.98</v>
      </c>
    </row>
    <row r="905" spans="1:5" x14ac:dyDescent="0.25">
      <c r="A905" s="1">
        <v>43391</v>
      </c>
      <c r="B905">
        <v>119221</v>
      </c>
      <c r="C905" t="s">
        <v>284</v>
      </c>
      <c r="D905" t="s">
        <v>1021</v>
      </c>
      <c r="E905" s="2">
        <v>237.35</v>
      </c>
    </row>
    <row r="906" spans="1:5" x14ac:dyDescent="0.25">
      <c r="A906" s="1">
        <v>43391</v>
      </c>
      <c r="B906">
        <v>119222</v>
      </c>
      <c r="C906" t="s">
        <v>1022</v>
      </c>
      <c r="D906" t="s">
        <v>1023</v>
      </c>
      <c r="E906" s="2">
        <v>1131.73</v>
      </c>
    </row>
    <row r="907" spans="1:5" x14ac:dyDescent="0.25">
      <c r="A907" s="1">
        <v>43391</v>
      </c>
      <c r="B907">
        <v>119223</v>
      </c>
      <c r="C907" t="s">
        <v>75</v>
      </c>
      <c r="D907" t="s">
        <v>1024</v>
      </c>
      <c r="E907" s="2">
        <v>3.14</v>
      </c>
    </row>
    <row r="908" spans="1:5" x14ac:dyDescent="0.25">
      <c r="A908" s="1">
        <v>43391</v>
      </c>
      <c r="B908">
        <v>119223</v>
      </c>
      <c r="C908" t="s">
        <v>75</v>
      </c>
      <c r="D908" t="s">
        <v>1025</v>
      </c>
      <c r="E908" s="2">
        <v>19</v>
      </c>
    </row>
    <row r="909" spans="1:5" x14ac:dyDescent="0.25">
      <c r="A909" s="1">
        <v>43391</v>
      </c>
      <c r="B909">
        <v>119224</v>
      </c>
      <c r="C909" t="s">
        <v>1026</v>
      </c>
      <c r="D909" t="s">
        <v>1027</v>
      </c>
      <c r="E909" s="2">
        <v>147.21</v>
      </c>
    </row>
    <row r="910" spans="1:5" x14ac:dyDescent="0.25">
      <c r="A910" s="1">
        <v>43391</v>
      </c>
      <c r="B910">
        <v>119225</v>
      </c>
      <c r="C910" t="s">
        <v>11</v>
      </c>
      <c r="D910" t="s">
        <v>743</v>
      </c>
      <c r="E910" s="2">
        <v>156.94</v>
      </c>
    </row>
    <row r="911" spans="1:5" x14ac:dyDescent="0.25">
      <c r="A911" s="1">
        <v>43391</v>
      </c>
      <c r="B911">
        <v>119225</v>
      </c>
      <c r="C911" t="s">
        <v>11</v>
      </c>
      <c r="D911" t="s">
        <v>1028</v>
      </c>
      <c r="E911" s="2">
        <v>222.33</v>
      </c>
    </row>
    <row r="912" spans="1:5" x14ac:dyDescent="0.25">
      <c r="A912" s="1">
        <v>43391</v>
      </c>
      <c r="B912">
        <v>119225</v>
      </c>
      <c r="C912" t="s">
        <v>11</v>
      </c>
      <c r="D912" t="s">
        <v>1028</v>
      </c>
      <c r="E912" s="2">
        <v>53.8</v>
      </c>
    </row>
    <row r="913" spans="1:5" x14ac:dyDescent="0.25">
      <c r="A913" s="1">
        <v>43391</v>
      </c>
      <c r="B913">
        <v>119225</v>
      </c>
      <c r="C913" t="s">
        <v>11</v>
      </c>
      <c r="D913" t="s">
        <v>667</v>
      </c>
      <c r="E913" s="2">
        <v>421.63</v>
      </c>
    </row>
    <row r="914" spans="1:5" x14ac:dyDescent="0.25">
      <c r="A914" s="1">
        <v>43391</v>
      </c>
      <c r="B914">
        <v>119226</v>
      </c>
      <c r="C914" t="s">
        <v>12</v>
      </c>
      <c r="D914" t="s">
        <v>1029</v>
      </c>
      <c r="E914" s="2">
        <v>94.81</v>
      </c>
    </row>
    <row r="915" spans="1:5" x14ac:dyDescent="0.25">
      <c r="A915" s="1">
        <v>43391</v>
      </c>
      <c r="B915">
        <v>119227</v>
      </c>
      <c r="C915" t="s">
        <v>1030</v>
      </c>
      <c r="D915" t="s">
        <v>1031</v>
      </c>
      <c r="E915" s="2">
        <v>220</v>
      </c>
    </row>
    <row r="916" spans="1:5" x14ac:dyDescent="0.25">
      <c r="A916" s="1">
        <v>43391</v>
      </c>
      <c r="B916">
        <v>119228</v>
      </c>
      <c r="C916" t="s">
        <v>292</v>
      </c>
      <c r="D916" t="s">
        <v>1032</v>
      </c>
      <c r="E916" s="2">
        <v>692</v>
      </c>
    </row>
    <row r="917" spans="1:5" x14ac:dyDescent="0.25">
      <c r="A917" s="1">
        <v>43391</v>
      </c>
      <c r="B917">
        <v>119229</v>
      </c>
      <c r="C917" t="s">
        <v>974</v>
      </c>
      <c r="D917" t="s">
        <v>1033</v>
      </c>
      <c r="E917" s="2">
        <v>320</v>
      </c>
    </row>
    <row r="918" spans="1:5" x14ac:dyDescent="0.25">
      <c r="A918" s="1">
        <v>43391</v>
      </c>
      <c r="B918">
        <v>119230</v>
      </c>
      <c r="C918" t="s">
        <v>296</v>
      </c>
      <c r="D918" t="s">
        <v>1034</v>
      </c>
      <c r="E918" s="2">
        <v>3032.4</v>
      </c>
    </row>
    <row r="919" spans="1:5" x14ac:dyDescent="0.25">
      <c r="A919" s="1">
        <v>43391</v>
      </c>
      <c r="B919">
        <v>119231</v>
      </c>
      <c r="C919" t="s">
        <v>50</v>
      </c>
      <c r="D919" t="s">
        <v>467</v>
      </c>
      <c r="E919" s="2">
        <v>4450</v>
      </c>
    </row>
    <row r="920" spans="1:5" x14ac:dyDescent="0.25">
      <c r="A920" s="1">
        <v>43391</v>
      </c>
      <c r="B920">
        <v>119232</v>
      </c>
      <c r="C920" t="s">
        <v>51</v>
      </c>
      <c r="D920" t="s">
        <v>1035</v>
      </c>
      <c r="E920" s="2">
        <f>154.23+9.45+39.55</f>
        <v>203.22999999999996</v>
      </c>
    </row>
    <row r="921" spans="1:5" x14ac:dyDescent="0.25">
      <c r="A921" s="1">
        <v>43391</v>
      </c>
      <c r="B921">
        <v>119233</v>
      </c>
      <c r="C921" t="s">
        <v>298</v>
      </c>
      <c r="D921" t="s">
        <v>1036</v>
      </c>
      <c r="E921" s="2">
        <v>12570.43</v>
      </c>
    </row>
    <row r="922" spans="1:5" x14ac:dyDescent="0.25">
      <c r="A922" s="1">
        <v>43391</v>
      </c>
      <c r="B922">
        <v>119234</v>
      </c>
      <c r="C922" t="s">
        <v>1037</v>
      </c>
      <c r="D922" t="s">
        <v>1038</v>
      </c>
      <c r="E922" s="2">
        <v>60500</v>
      </c>
    </row>
    <row r="923" spans="1:5" x14ac:dyDescent="0.25">
      <c r="A923" s="1">
        <v>43391</v>
      </c>
      <c r="B923">
        <v>119235</v>
      </c>
      <c r="C923" t="s">
        <v>80</v>
      </c>
      <c r="D923" t="s">
        <v>153</v>
      </c>
      <c r="E923" s="2">
        <v>52.28</v>
      </c>
    </row>
    <row r="924" spans="1:5" x14ac:dyDescent="0.25">
      <c r="A924" s="1">
        <v>43391</v>
      </c>
      <c r="B924">
        <v>119235</v>
      </c>
      <c r="C924" t="s">
        <v>80</v>
      </c>
      <c r="D924" t="s">
        <v>1039</v>
      </c>
      <c r="E924" s="2">
        <v>64.16</v>
      </c>
    </row>
    <row r="925" spans="1:5" x14ac:dyDescent="0.25">
      <c r="A925" s="1">
        <v>43391</v>
      </c>
      <c r="B925">
        <v>119235</v>
      </c>
      <c r="C925" t="s">
        <v>80</v>
      </c>
      <c r="D925" t="s">
        <v>1040</v>
      </c>
      <c r="E925" s="2">
        <v>63.5</v>
      </c>
    </row>
    <row r="926" spans="1:5" x14ac:dyDescent="0.25">
      <c r="A926" s="1">
        <v>43391</v>
      </c>
      <c r="B926">
        <v>119236</v>
      </c>
      <c r="C926" t="s">
        <v>1041</v>
      </c>
      <c r="D926" t="s">
        <v>1031</v>
      </c>
      <c r="E926" s="2">
        <v>3275</v>
      </c>
    </row>
    <row r="927" spans="1:5" x14ac:dyDescent="0.25">
      <c r="A927" s="1">
        <v>43391</v>
      </c>
      <c r="B927">
        <v>119237</v>
      </c>
      <c r="C927" t="s">
        <v>154</v>
      </c>
      <c r="D927" t="s">
        <v>1042</v>
      </c>
      <c r="E927" s="2">
        <v>539</v>
      </c>
    </row>
    <row r="928" spans="1:5" x14ac:dyDescent="0.25">
      <c r="A928" s="1">
        <v>43391</v>
      </c>
      <c r="B928">
        <v>119238</v>
      </c>
      <c r="C928" t="s">
        <v>302</v>
      </c>
      <c r="D928" t="s">
        <v>1043</v>
      </c>
      <c r="E928" s="2">
        <v>118.6</v>
      </c>
    </row>
    <row r="929" spans="1:5" x14ac:dyDescent="0.25">
      <c r="A929" s="1">
        <v>43391</v>
      </c>
      <c r="B929">
        <v>119239</v>
      </c>
      <c r="C929" t="s">
        <v>1044</v>
      </c>
      <c r="D929" t="s">
        <v>1045</v>
      </c>
      <c r="E929" s="2">
        <v>118.87</v>
      </c>
    </row>
    <row r="930" spans="1:5" x14ac:dyDescent="0.25">
      <c r="A930" s="1">
        <v>43391</v>
      </c>
      <c r="B930">
        <v>119240</v>
      </c>
      <c r="C930" t="s">
        <v>1046</v>
      </c>
      <c r="D930" t="s">
        <v>1045</v>
      </c>
      <c r="E930" s="2">
        <v>118.87</v>
      </c>
    </row>
    <row r="931" spans="1:5" x14ac:dyDescent="0.25">
      <c r="A931" s="1">
        <v>43391</v>
      </c>
      <c r="B931">
        <v>119241</v>
      </c>
      <c r="C931" t="s">
        <v>382</v>
      </c>
      <c r="D931" t="s">
        <v>1047</v>
      </c>
      <c r="E931" s="2">
        <v>116.5</v>
      </c>
    </row>
    <row r="932" spans="1:5" x14ac:dyDescent="0.25">
      <c r="A932" s="1">
        <v>43391</v>
      </c>
      <c r="B932">
        <v>119242</v>
      </c>
      <c r="C932" t="s">
        <v>158</v>
      </c>
      <c r="D932" t="s">
        <v>763</v>
      </c>
      <c r="E932" s="2">
        <v>315.89999999999998</v>
      </c>
    </row>
    <row r="933" spans="1:5" x14ac:dyDescent="0.25">
      <c r="A933" s="1">
        <v>43391</v>
      </c>
      <c r="B933">
        <v>119244</v>
      </c>
      <c r="C933" t="s">
        <v>161</v>
      </c>
      <c r="D933" t="s">
        <v>1048</v>
      </c>
      <c r="E933" s="2">
        <v>5352</v>
      </c>
    </row>
    <row r="934" spans="1:5" x14ac:dyDescent="0.25">
      <c r="A934" s="1">
        <v>43391</v>
      </c>
      <c r="B934">
        <v>119244</v>
      </c>
      <c r="C934" t="s">
        <v>161</v>
      </c>
      <c r="D934" t="s">
        <v>1048</v>
      </c>
      <c r="E934" s="2">
        <v>8028</v>
      </c>
    </row>
    <row r="935" spans="1:5" x14ac:dyDescent="0.25">
      <c r="A935" s="1">
        <v>43391</v>
      </c>
      <c r="B935">
        <v>119244</v>
      </c>
      <c r="C935" t="s">
        <v>161</v>
      </c>
      <c r="D935" t="s">
        <v>1048</v>
      </c>
      <c r="E935" s="2">
        <v>2636</v>
      </c>
    </row>
    <row r="936" spans="1:5" x14ac:dyDescent="0.25">
      <c r="A936" s="1">
        <v>43391</v>
      </c>
      <c r="B936">
        <v>119244</v>
      </c>
      <c r="C936" t="s">
        <v>161</v>
      </c>
      <c r="D936" t="s">
        <v>1048</v>
      </c>
      <c r="E936" s="2">
        <v>1700</v>
      </c>
    </row>
    <row r="937" spans="1:5" x14ac:dyDescent="0.25">
      <c r="A937" s="1">
        <v>43391</v>
      </c>
      <c r="B937">
        <v>119245</v>
      </c>
      <c r="C937" t="s">
        <v>317</v>
      </c>
      <c r="D937" t="s">
        <v>1049</v>
      </c>
      <c r="E937" s="2">
        <v>3500</v>
      </c>
    </row>
    <row r="938" spans="1:5" x14ac:dyDescent="0.25">
      <c r="A938" s="1">
        <v>43391</v>
      </c>
      <c r="B938">
        <v>119246</v>
      </c>
      <c r="C938" t="s">
        <v>55</v>
      </c>
      <c r="D938" t="s">
        <v>773</v>
      </c>
      <c r="E938" s="2">
        <v>2625</v>
      </c>
    </row>
    <row r="939" spans="1:5" x14ac:dyDescent="0.25">
      <c r="A939" s="1">
        <v>43391</v>
      </c>
      <c r="B939">
        <v>119247</v>
      </c>
      <c r="C939" t="s">
        <v>55</v>
      </c>
      <c r="D939" t="s">
        <v>773</v>
      </c>
      <c r="E939" s="2">
        <v>375</v>
      </c>
    </row>
    <row r="940" spans="1:5" x14ac:dyDescent="0.25">
      <c r="A940" s="1">
        <v>43391</v>
      </c>
      <c r="B940">
        <v>119249</v>
      </c>
      <c r="C940" t="s">
        <v>55</v>
      </c>
      <c r="D940" t="s">
        <v>773</v>
      </c>
      <c r="E940" s="2">
        <v>175</v>
      </c>
    </row>
    <row r="941" spans="1:5" x14ac:dyDescent="0.25">
      <c r="A941" s="1">
        <v>43391</v>
      </c>
      <c r="B941">
        <v>119249</v>
      </c>
      <c r="C941" t="s">
        <v>55</v>
      </c>
      <c r="D941" t="s">
        <v>773</v>
      </c>
      <c r="E941" s="2">
        <v>175</v>
      </c>
    </row>
    <row r="942" spans="1:5" x14ac:dyDescent="0.25">
      <c r="A942" s="1">
        <v>43391</v>
      </c>
      <c r="B942">
        <v>119249</v>
      </c>
      <c r="C942" t="s">
        <v>55</v>
      </c>
      <c r="D942" t="s">
        <v>773</v>
      </c>
      <c r="E942" s="2">
        <v>175</v>
      </c>
    </row>
    <row r="943" spans="1:5" x14ac:dyDescent="0.25">
      <c r="A943" s="1">
        <v>43391</v>
      </c>
      <c r="B943">
        <v>119249</v>
      </c>
      <c r="C943" t="s">
        <v>55</v>
      </c>
      <c r="D943" t="s">
        <v>771</v>
      </c>
      <c r="E943" s="2">
        <v>247.18</v>
      </c>
    </row>
    <row r="944" spans="1:5" x14ac:dyDescent="0.25">
      <c r="A944" s="1">
        <v>43391</v>
      </c>
      <c r="B944">
        <v>119250</v>
      </c>
      <c r="C944" t="s">
        <v>162</v>
      </c>
      <c r="D944" t="s">
        <v>163</v>
      </c>
      <c r="E944" s="2">
        <v>1677</v>
      </c>
    </row>
    <row r="945" spans="1:5" x14ac:dyDescent="0.25">
      <c r="A945" s="1">
        <v>43391</v>
      </c>
      <c r="B945">
        <v>119251</v>
      </c>
      <c r="C945" t="s">
        <v>1050</v>
      </c>
      <c r="D945" t="s">
        <v>864</v>
      </c>
      <c r="E945" s="2">
        <v>118.87</v>
      </c>
    </row>
    <row r="946" spans="1:5" x14ac:dyDescent="0.25">
      <c r="A946" s="1">
        <v>43391</v>
      </c>
      <c r="B946">
        <v>119252</v>
      </c>
      <c r="C946" t="s">
        <v>1051</v>
      </c>
      <c r="D946" t="s">
        <v>1052</v>
      </c>
      <c r="E946" s="2">
        <v>70</v>
      </c>
    </row>
    <row r="947" spans="1:5" x14ac:dyDescent="0.25">
      <c r="A947" s="1">
        <v>43391</v>
      </c>
      <c r="B947">
        <v>119253</v>
      </c>
      <c r="C947" t="s">
        <v>171</v>
      </c>
      <c r="D947" t="s">
        <v>880</v>
      </c>
      <c r="E947" s="2">
        <v>200</v>
      </c>
    </row>
    <row r="948" spans="1:5" x14ac:dyDescent="0.25">
      <c r="A948" s="1">
        <v>43391</v>
      </c>
      <c r="B948">
        <v>119254</v>
      </c>
      <c r="C948" t="s">
        <v>1053</v>
      </c>
      <c r="D948" t="s">
        <v>1054</v>
      </c>
      <c r="E948" s="2">
        <v>350</v>
      </c>
    </row>
    <row r="949" spans="1:5" x14ac:dyDescent="0.25">
      <c r="A949" s="1">
        <v>43391</v>
      </c>
      <c r="B949">
        <v>119255</v>
      </c>
      <c r="C949" t="s">
        <v>327</v>
      </c>
      <c r="D949" t="s">
        <v>995</v>
      </c>
      <c r="E949" s="2">
        <v>512.04999999999995</v>
      </c>
    </row>
    <row r="950" spans="1:5" x14ac:dyDescent="0.25">
      <c r="A950" s="1">
        <v>43391</v>
      </c>
      <c r="B950">
        <v>119257</v>
      </c>
      <c r="C950" t="s">
        <v>388</v>
      </c>
      <c r="D950" t="s">
        <v>778</v>
      </c>
      <c r="E950" s="2">
        <f>3949.87+504.8+996.05+1552.8+1545.34+4548.46</f>
        <v>13097.32</v>
      </c>
    </row>
    <row r="951" spans="1:5" x14ac:dyDescent="0.25">
      <c r="A951" s="1">
        <v>43391</v>
      </c>
      <c r="B951">
        <v>119258</v>
      </c>
      <c r="C951" t="s">
        <v>780</v>
      </c>
      <c r="D951" t="s">
        <v>1055</v>
      </c>
      <c r="E951" s="2">
        <v>75</v>
      </c>
    </row>
    <row r="952" spans="1:5" x14ac:dyDescent="0.25">
      <c r="A952" s="1">
        <v>43391</v>
      </c>
      <c r="B952">
        <v>119260</v>
      </c>
      <c r="C952" t="s">
        <v>392</v>
      </c>
      <c r="D952" t="s">
        <v>1056</v>
      </c>
      <c r="E952" s="2">
        <v>15628.41</v>
      </c>
    </row>
    <row r="953" spans="1:5" x14ac:dyDescent="0.25">
      <c r="A953" s="1">
        <v>43391</v>
      </c>
      <c r="B953">
        <v>181900041</v>
      </c>
      <c r="C953" t="s">
        <v>905</v>
      </c>
      <c r="D953" t="s">
        <v>880</v>
      </c>
      <c r="E953" s="2">
        <v>131.62</v>
      </c>
    </row>
    <row r="954" spans="1:5" x14ac:dyDescent="0.25">
      <c r="A954" s="1">
        <v>43391</v>
      </c>
      <c r="B954">
        <v>181900042</v>
      </c>
      <c r="C954" t="s">
        <v>1057</v>
      </c>
      <c r="D954" t="s">
        <v>880</v>
      </c>
      <c r="E954" s="2">
        <v>56.66</v>
      </c>
    </row>
    <row r="955" spans="1:5" x14ac:dyDescent="0.25">
      <c r="A955" s="1">
        <v>43391</v>
      </c>
      <c r="B955">
        <v>181900043</v>
      </c>
      <c r="C955" t="s">
        <v>1058</v>
      </c>
      <c r="D955" t="s">
        <v>880</v>
      </c>
      <c r="E955" s="2">
        <v>60.6</v>
      </c>
    </row>
    <row r="956" spans="1:5" x14ac:dyDescent="0.25">
      <c r="A956" s="1">
        <v>43391</v>
      </c>
      <c r="B956">
        <v>181900044</v>
      </c>
      <c r="C956" t="s">
        <v>1059</v>
      </c>
      <c r="D956" t="s">
        <v>880</v>
      </c>
      <c r="E956" s="2">
        <v>164</v>
      </c>
    </row>
    <row r="957" spans="1:5" x14ac:dyDescent="0.25">
      <c r="A957" s="1">
        <v>43391</v>
      </c>
      <c r="B957">
        <v>181900045</v>
      </c>
      <c r="C957" t="s">
        <v>906</v>
      </c>
      <c r="D957" t="s">
        <v>880</v>
      </c>
      <c r="E957" s="2">
        <v>110.6</v>
      </c>
    </row>
    <row r="958" spans="1:5" x14ac:dyDescent="0.25">
      <c r="A958" s="1">
        <v>43391</v>
      </c>
      <c r="B958">
        <v>181900046</v>
      </c>
      <c r="C958" t="s">
        <v>1060</v>
      </c>
      <c r="D958" t="s">
        <v>880</v>
      </c>
      <c r="E958" s="2">
        <v>59.8</v>
      </c>
    </row>
    <row r="959" spans="1:5" x14ac:dyDescent="0.25">
      <c r="A959" s="1">
        <v>43391</v>
      </c>
      <c r="B959">
        <v>181900047</v>
      </c>
      <c r="C959" t="s">
        <v>1061</v>
      </c>
      <c r="D959" t="s">
        <v>880</v>
      </c>
      <c r="E959" s="2">
        <v>56.93</v>
      </c>
    </row>
    <row r="960" spans="1:5" x14ac:dyDescent="0.25">
      <c r="A960" s="1">
        <v>43391</v>
      </c>
      <c r="B960">
        <v>181900048</v>
      </c>
      <c r="C960" t="s">
        <v>1062</v>
      </c>
      <c r="D960" t="s">
        <v>880</v>
      </c>
      <c r="E960" s="2">
        <v>31.48</v>
      </c>
    </row>
    <row r="961" spans="1:5" x14ac:dyDescent="0.25">
      <c r="A961" s="1">
        <v>43391</v>
      </c>
      <c r="B961">
        <v>181900049</v>
      </c>
      <c r="C961" t="s">
        <v>1063</v>
      </c>
      <c r="D961" t="s">
        <v>880</v>
      </c>
      <c r="E961" s="2">
        <v>48.85</v>
      </c>
    </row>
    <row r="962" spans="1:5" x14ac:dyDescent="0.25">
      <c r="A962" s="1">
        <v>43391</v>
      </c>
      <c r="B962">
        <v>181900050</v>
      </c>
      <c r="C962" t="s">
        <v>910</v>
      </c>
      <c r="D962" t="s">
        <v>880</v>
      </c>
      <c r="E962" s="2">
        <v>135.87</v>
      </c>
    </row>
    <row r="963" spans="1:5" x14ac:dyDescent="0.25">
      <c r="A963" s="1">
        <v>43391</v>
      </c>
      <c r="B963">
        <v>181900051</v>
      </c>
      <c r="C963" t="s">
        <v>1064</v>
      </c>
      <c r="D963" t="s">
        <v>880</v>
      </c>
      <c r="E963" s="2">
        <v>51.73</v>
      </c>
    </row>
    <row r="964" spans="1:5" x14ac:dyDescent="0.25">
      <c r="A964" s="1">
        <v>43391</v>
      </c>
      <c r="B964">
        <v>181900052</v>
      </c>
      <c r="C964" t="s">
        <v>1065</v>
      </c>
      <c r="D964" t="s">
        <v>1066</v>
      </c>
      <c r="E964" s="2">
        <v>25</v>
      </c>
    </row>
    <row r="965" spans="1:5" x14ac:dyDescent="0.25">
      <c r="A965" s="1">
        <v>43391</v>
      </c>
      <c r="B965">
        <v>181900053</v>
      </c>
      <c r="C965" t="s">
        <v>1067</v>
      </c>
      <c r="D965" t="s">
        <v>880</v>
      </c>
      <c r="E965" s="2">
        <v>59.44</v>
      </c>
    </row>
    <row r="966" spans="1:5" x14ac:dyDescent="0.25">
      <c r="A966" s="1">
        <v>43391</v>
      </c>
      <c r="B966">
        <v>181900054</v>
      </c>
      <c r="C966" t="s">
        <v>1068</v>
      </c>
      <c r="D966" t="s">
        <v>880</v>
      </c>
      <c r="E966" s="2">
        <v>52.86</v>
      </c>
    </row>
    <row r="967" spans="1:5" x14ac:dyDescent="0.25">
      <c r="A967" s="1">
        <v>43391</v>
      </c>
      <c r="B967">
        <v>181900055</v>
      </c>
      <c r="C967" t="s">
        <v>1069</v>
      </c>
      <c r="D967" t="s">
        <v>1070</v>
      </c>
      <c r="E967" s="2">
        <v>70.510000000000005</v>
      </c>
    </row>
    <row r="968" spans="1:5" x14ac:dyDescent="0.25">
      <c r="A968" s="1">
        <v>43391</v>
      </c>
      <c r="B968">
        <v>181900056</v>
      </c>
      <c r="C968" t="s">
        <v>1071</v>
      </c>
      <c r="D968" t="s">
        <v>1072</v>
      </c>
      <c r="E968" s="2">
        <v>10</v>
      </c>
    </row>
    <row r="969" spans="1:5" x14ac:dyDescent="0.25">
      <c r="A969" s="1">
        <v>43391</v>
      </c>
      <c r="B969">
        <v>181900057</v>
      </c>
      <c r="C969" t="s">
        <v>1073</v>
      </c>
      <c r="D969" t="s">
        <v>880</v>
      </c>
      <c r="E969" s="2">
        <v>26.23</v>
      </c>
    </row>
    <row r="970" spans="1:5" x14ac:dyDescent="0.25">
      <c r="A970" s="1">
        <v>43395</v>
      </c>
      <c r="B970">
        <v>119261</v>
      </c>
      <c r="C970" t="s">
        <v>33</v>
      </c>
      <c r="D970" t="s">
        <v>1074</v>
      </c>
      <c r="E970" s="2">
        <v>1827</v>
      </c>
    </row>
    <row r="971" spans="1:5" x14ac:dyDescent="0.25">
      <c r="A971" s="1">
        <v>43395</v>
      </c>
      <c r="B971">
        <v>119262</v>
      </c>
      <c r="C971" t="s">
        <v>597</v>
      </c>
      <c r="D971" t="s">
        <v>598</v>
      </c>
      <c r="E971" s="2">
        <v>0</v>
      </c>
    </row>
    <row r="972" spans="1:5" x14ac:dyDescent="0.25">
      <c r="A972" s="1">
        <v>43397</v>
      </c>
      <c r="B972">
        <v>119267</v>
      </c>
      <c r="C972" t="s">
        <v>189</v>
      </c>
      <c r="D972" t="s">
        <v>1075</v>
      </c>
      <c r="E972" s="2">
        <v>13.94</v>
      </c>
    </row>
    <row r="973" spans="1:5" x14ac:dyDescent="0.25">
      <c r="A973" s="1">
        <v>43397</v>
      </c>
      <c r="B973">
        <v>119267</v>
      </c>
      <c r="C973" t="s">
        <v>189</v>
      </c>
      <c r="D973" t="s">
        <v>1075</v>
      </c>
      <c r="E973" s="2">
        <v>299.14</v>
      </c>
    </row>
    <row r="974" spans="1:5" x14ac:dyDescent="0.25">
      <c r="A974" s="1">
        <v>43397</v>
      </c>
      <c r="B974">
        <v>119267</v>
      </c>
      <c r="C974" t="s">
        <v>189</v>
      </c>
      <c r="D974" t="s">
        <v>1076</v>
      </c>
      <c r="E974" s="2">
        <v>96.26</v>
      </c>
    </row>
    <row r="975" spans="1:5" x14ac:dyDescent="0.25">
      <c r="A975" s="1">
        <v>43397</v>
      </c>
      <c r="B975">
        <v>119267</v>
      </c>
      <c r="C975" t="s">
        <v>189</v>
      </c>
      <c r="D975" t="s">
        <v>478</v>
      </c>
      <c r="E975" s="2">
        <v>363.42</v>
      </c>
    </row>
    <row r="976" spans="1:5" x14ac:dyDescent="0.25">
      <c r="A976" s="1">
        <v>43397</v>
      </c>
      <c r="B976">
        <v>119267</v>
      </c>
      <c r="C976" t="s">
        <v>189</v>
      </c>
      <c r="D976" t="s">
        <v>194</v>
      </c>
      <c r="E976" s="2">
        <v>142.80000000000001</v>
      </c>
    </row>
    <row r="977" spans="1:5" x14ac:dyDescent="0.25">
      <c r="A977" s="1">
        <v>43397</v>
      </c>
      <c r="B977">
        <v>119267</v>
      </c>
      <c r="C977" t="s">
        <v>189</v>
      </c>
      <c r="D977" t="s">
        <v>478</v>
      </c>
      <c r="E977" s="2">
        <v>452.2</v>
      </c>
    </row>
    <row r="978" spans="1:5" x14ac:dyDescent="0.25">
      <c r="A978" s="1">
        <v>43397</v>
      </c>
      <c r="B978">
        <v>119267</v>
      </c>
      <c r="C978" t="s">
        <v>189</v>
      </c>
      <c r="D978" t="s">
        <v>1077</v>
      </c>
      <c r="E978" s="2">
        <v>62.03</v>
      </c>
    </row>
    <row r="979" spans="1:5" x14ac:dyDescent="0.25">
      <c r="A979" s="1">
        <v>43397</v>
      </c>
      <c r="B979">
        <v>119267</v>
      </c>
      <c r="C979" t="s">
        <v>189</v>
      </c>
      <c r="D979" t="s">
        <v>1077</v>
      </c>
      <c r="E979" s="2">
        <v>121.01</v>
      </c>
    </row>
    <row r="980" spans="1:5" x14ac:dyDescent="0.25">
      <c r="A980" s="1">
        <v>43397</v>
      </c>
      <c r="B980">
        <v>119267</v>
      </c>
      <c r="C980" t="s">
        <v>189</v>
      </c>
      <c r="D980" t="s">
        <v>194</v>
      </c>
      <c r="E980" s="2">
        <v>70.900000000000006</v>
      </c>
    </row>
    <row r="981" spans="1:5" x14ac:dyDescent="0.25">
      <c r="A981" s="1">
        <v>43397</v>
      </c>
      <c r="B981">
        <v>119267</v>
      </c>
      <c r="C981" t="s">
        <v>189</v>
      </c>
      <c r="D981" t="s">
        <v>1078</v>
      </c>
      <c r="E981" s="2">
        <v>378.53</v>
      </c>
    </row>
    <row r="982" spans="1:5" x14ac:dyDescent="0.25">
      <c r="A982" s="1">
        <v>43397</v>
      </c>
      <c r="B982">
        <v>119267</v>
      </c>
      <c r="C982" t="s">
        <v>189</v>
      </c>
      <c r="D982" t="s">
        <v>717</v>
      </c>
      <c r="E982" s="2">
        <f>179.9+23.88+144.84+30.99+5.71+21.12+23.56+67.74+28.95+10.5+395.79</f>
        <v>932.98</v>
      </c>
    </row>
    <row r="983" spans="1:5" x14ac:dyDescent="0.25">
      <c r="A983" s="1">
        <v>43397</v>
      </c>
      <c r="B983">
        <v>119268</v>
      </c>
      <c r="C983" t="s">
        <v>1079</v>
      </c>
      <c r="D983" t="s">
        <v>1080</v>
      </c>
      <c r="E983" s="2">
        <v>177</v>
      </c>
    </row>
    <row r="984" spans="1:5" x14ac:dyDescent="0.25">
      <c r="A984" s="1">
        <v>43397</v>
      </c>
      <c r="B984">
        <v>119268</v>
      </c>
      <c r="C984" t="s">
        <v>1079</v>
      </c>
      <c r="D984" t="s">
        <v>1081</v>
      </c>
      <c r="E984" s="2">
        <v>103.25</v>
      </c>
    </row>
    <row r="985" spans="1:5" x14ac:dyDescent="0.25">
      <c r="A985" s="1">
        <v>43397</v>
      </c>
      <c r="B985">
        <v>119269</v>
      </c>
      <c r="C985" t="s">
        <v>1082</v>
      </c>
      <c r="D985" t="s">
        <v>1083</v>
      </c>
      <c r="E985" s="2">
        <v>750</v>
      </c>
    </row>
    <row r="986" spans="1:5" x14ac:dyDescent="0.25">
      <c r="A986" s="1">
        <v>43397</v>
      </c>
      <c r="B986">
        <v>119270</v>
      </c>
      <c r="C986" t="s">
        <v>7</v>
      </c>
      <c r="D986" t="s">
        <v>1084</v>
      </c>
      <c r="E986" s="2">
        <v>231.84</v>
      </c>
    </row>
    <row r="987" spans="1:5" x14ac:dyDescent="0.25">
      <c r="A987" s="1">
        <v>43397</v>
      </c>
      <c r="B987">
        <v>119270</v>
      </c>
      <c r="C987" t="s">
        <v>7</v>
      </c>
      <c r="D987" t="s">
        <v>1085</v>
      </c>
      <c r="E987" s="2">
        <v>25.99</v>
      </c>
    </row>
    <row r="988" spans="1:5" x14ac:dyDescent="0.25">
      <c r="A988" s="1">
        <v>43397</v>
      </c>
      <c r="B988">
        <v>119271</v>
      </c>
      <c r="C988" t="s">
        <v>31</v>
      </c>
      <c r="D988" t="s">
        <v>1086</v>
      </c>
      <c r="E988" s="2">
        <v>142.30000000000001</v>
      </c>
    </row>
    <row r="989" spans="1:5" x14ac:dyDescent="0.25">
      <c r="A989" s="1">
        <v>43397</v>
      </c>
      <c r="B989">
        <v>119272</v>
      </c>
      <c r="C989" t="s">
        <v>1087</v>
      </c>
      <c r="D989" t="s">
        <v>1088</v>
      </c>
      <c r="E989" s="2">
        <v>150</v>
      </c>
    </row>
    <row r="990" spans="1:5" x14ac:dyDescent="0.25">
      <c r="A990" s="1">
        <v>43397</v>
      </c>
      <c r="B990">
        <v>119273</v>
      </c>
      <c r="C990" t="s">
        <v>1089</v>
      </c>
      <c r="D990" t="s">
        <v>808</v>
      </c>
      <c r="E990" s="2">
        <v>445</v>
      </c>
    </row>
    <row r="991" spans="1:5" x14ac:dyDescent="0.25">
      <c r="A991" s="1">
        <v>43397</v>
      </c>
      <c r="B991">
        <v>119274</v>
      </c>
      <c r="C991" t="s">
        <v>1090</v>
      </c>
      <c r="D991" t="s">
        <v>1091</v>
      </c>
      <c r="E991" s="2">
        <v>595</v>
      </c>
    </row>
    <row r="992" spans="1:5" x14ac:dyDescent="0.25">
      <c r="A992" s="1">
        <v>43397</v>
      </c>
      <c r="B992">
        <v>119275</v>
      </c>
      <c r="C992" t="s">
        <v>1092</v>
      </c>
      <c r="D992" t="s">
        <v>1093</v>
      </c>
      <c r="E992" s="2">
        <v>57</v>
      </c>
    </row>
    <row r="993" spans="1:5" x14ac:dyDescent="0.25">
      <c r="A993" s="1">
        <v>43397</v>
      </c>
      <c r="B993">
        <v>119276</v>
      </c>
      <c r="C993" t="s">
        <v>1094</v>
      </c>
      <c r="D993" t="s">
        <v>1095</v>
      </c>
      <c r="E993" s="2">
        <v>252</v>
      </c>
    </row>
    <row r="994" spans="1:5" x14ac:dyDescent="0.25">
      <c r="A994" s="1">
        <v>43397</v>
      </c>
      <c r="B994">
        <v>119277</v>
      </c>
      <c r="C994" t="s">
        <v>199</v>
      </c>
      <c r="D994" t="s">
        <v>1096</v>
      </c>
      <c r="E994" s="2">
        <v>78</v>
      </c>
    </row>
    <row r="995" spans="1:5" x14ac:dyDescent="0.25">
      <c r="A995" s="1">
        <v>43397</v>
      </c>
      <c r="B995">
        <v>119278</v>
      </c>
      <c r="C995" t="s">
        <v>73</v>
      </c>
      <c r="D995" t="s">
        <v>1097</v>
      </c>
      <c r="E995" s="2">
        <f>297+297</f>
        <v>594</v>
      </c>
    </row>
    <row r="996" spans="1:5" x14ac:dyDescent="0.25">
      <c r="A996" s="1">
        <v>43397</v>
      </c>
      <c r="B996">
        <v>119279</v>
      </c>
      <c r="C996" t="s">
        <v>616</v>
      </c>
      <c r="D996" t="s">
        <v>1098</v>
      </c>
      <c r="E996" s="2">
        <v>75.959999999999994</v>
      </c>
    </row>
    <row r="997" spans="1:5" x14ac:dyDescent="0.25">
      <c r="A997" s="1">
        <v>43397</v>
      </c>
      <c r="B997">
        <v>119280</v>
      </c>
      <c r="C997" t="s">
        <v>1099</v>
      </c>
      <c r="D997" t="s">
        <v>1100</v>
      </c>
      <c r="E997" s="2">
        <v>365</v>
      </c>
    </row>
    <row r="998" spans="1:5" x14ac:dyDescent="0.25">
      <c r="A998" s="1">
        <v>43397</v>
      </c>
      <c r="B998">
        <v>119281</v>
      </c>
      <c r="C998" t="s">
        <v>1101</v>
      </c>
      <c r="D998" t="s">
        <v>1102</v>
      </c>
      <c r="E998" s="2">
        <v>225</v>
      </c>
    </row>
    <row r="999" spans="1:5" x14ac:dyDescent="0.25">
      <c r="A999" s="1">
        <v>43397</v>
      </c>
      <c r="B999">
        <v>119282</v>
      </c>
      <c r="C999" t="s">
        <v>1103</v>
      </c>
      <c r="D999" t="s">
        <v>588</v>
      </c>
      <c r="E999" s="2">
        <v>230</v>
      </c>
    </row>
    <row r="1000" spans="1:5" x14ac:dyDescent="0.25">
      <c r="A1000" s="1">
        <v>43397</v>
      </c>
      <c r="B1000">
        <v>119283</v>
      </c>
      <c r="C1000" t="s">
        <v>12</v>
      </c>
      <c r="D1000" t="s">
        <v>717</v>
      </c>
      <c r="E1000" s="2">
        <v>203.09</v>
      </c>
    </row>
    <row r="1001" spans="1:5" x14ac:dyDescent="0.25">
      <c r="A1001" s="1">
        <v>43397</v>
      </c>
      <c r="B1001">
        <v>119284</v>
      </c>
      <c r="C1001" t="s">
        <v>292</v>
      </c>
      <c r="D1001" t="s">
        <v>1104</v>
      </c>
      <c r="E1001" s="2">
        <v>100</v>
      </c>
    </row>
    <row r="1002" spans="1:5" x14ac:dyDescent="0.25">
      <c r="A1002" s="1">
        <v>43397</v>
      </c>
      <c r="B1002">
        <v>119285</v>
      </c>
      <c r="C1002" t="s">
        <v>77</v>
      </c>
      <c r="D1002" t="s">
        <v>1105</v>
      </c>
      <c r="E1002" s="2">
        <v>200</v>
      </c>
    </row>
    <row r="1003" spans="1:5" x14ac:dyDescent="0.25">
      <c r="A1003" s="1">
        <v>43397</v>
      </c>
      <c r="B1003">
        <v>119286</v>
      </c>
      <c r="C1003" t="s">
        <v>77</v>
      </c>
      <c r="D1003" t="s">
        <v>1106</v>
      </c>
      <c r="E1003" s="2">
        <v>47.2</v>
      </c>
    </row>
    <row r="1004" spans="1:5" x14ac:dyDescent="0.25">
      <c r="A1004" s="1">
        <v>43397</v>
      </c>
      <c r="B1004">
        <v>119288</v>
      </c>
      <c r="C1004" t="s">
        <v>77</v>
      </c>
      <c r="D1004" t="s">
        <v>1107</v>
      </c>
      <c r="E1004" s="2">
        <v>85.36</v>
      </c>
    </row>
    <row r="1005" spans="1:5" x14ac:dyDescent="0.25">
      <c r="A1005" s="1">
        <v>43397</v>
      </c>
      <c r="B1005">
        <v>119289</v>
      </c>
      <c r="C1005" t="s">
        <v>1108</v>
      </c>
      <c r="D1005" t="s">
        <v>1109</v>
      </c>
      <c r="E1005" s="2">
        <v>145</v>
      </c>
    </row>
    <row r="1006" spans="1:5" x14ac:dyDescent="0.25">
      <c r="A1006" s="1">
        <v>43397</v>
      </c>
      <c r="B1006">
        <v>119290</v>
      </c>
      <c r="C1006" t="s">
        <v>1110</v>
      </c>
      <c r="D1006" t="s">
        <v>1111</v>
      </c>
      <c r="E1006" s="2">
        <v>46.93</v>
      </c>
    </row>
    <row r="1007" spans="1:5" x14ac:dyDescent="0.25">
      <c r="A1007" s="1">
        <v>43397</v>
      </c>
      <c r="B1007">
        <v>119291</v>
      </c>
      <c r="C1007" t="s">
        <v>1112</v>
      </c>
      <c r="D1007" t="s">
        <v>1113</v>
      </c>
      <c r="E1007" s="2">
        <v>139.19</v>
      </c>
    </row>
    <row r="1008" spans="1:5" x14ac:dyDescent="0.25">
      <c r="A1008" s="1">
        <v>43397</v>
      </c>
      <c r="B1008">
        <v>119292</v>
      </c>
      <c r="C1008" t="s">
        <v>760</v>
      </c>
      <c r="D1008" t="s">
        <v>1114</v>
      </c>
      <c r="E1008" s="2">
        <v>204.63</v>
      </c>
    </row>
    <row r="1009" spans="1:5" x14ac:dyDescent="0.25">
      <c r="A1009" s="1">
        <v>43397</v>
      </c>
      <c r="B1009">
        <v>119293</v>
      </c>
      <c r="C1009" t="s">
        <v>213</v>
      </c>
      <c r="D1009" t="s">
        <v>1115</v>
      </c>
      <c r="E1009" s="2">
        <v>98.03</v>
      </c>
    </row>
    <row r="1010" spans="1:5" x14ac:dyDescent="0.25">
      <c r="A1010" s="1">
        <v>43397</v>
      </c>
      <c r="B1010">
        <v>119294</v>
      </c>
      <c r="C1010" t="s">
        <v>1116</v>
      </c>
      <c r="D1010" t="s">
        <v>1117</v>
      </c>
      <c r="E1010" s="2">
        <v>708</v>
      </c>
    </row>
    <row r="1011" spans="1:5" x14ac:dyDescent="0.25">
      <c r="A1011" s="1">
        <v>43397</v>
      </c>
      <c r="B1011">
        <v>119300</v>
      </c>
      <c r="C1011" t="s">
        <v>222</v>
      </c>
      <c r="D1011" t="s">
        <v>1118</v>
      </c>
      <c r="E1011" s="2">
        <v>318.19</v>
      </c>
    </row>
    <row r="1012" spans="1:5" x14ac:dyDescent="0.25">
      <c r="A1012" s="1">
        <v>43397</v>
      </c>
      <c r="B1012">
        <v>119300</v>
      </c>
      <c r="C1012" t="s">
        <v>222</v>
      </c>
      <c r="D1012" t="s">
        <v>717</v>
      </c>
      <c r="E1012" s="2">
        <v>63.15</v>
      </c>
    </row>
    <row r="1013" spans="1:5" x14ac:dyDescent="0.25">
      <c r="A1013" s="1">
        <v>43397</v>
      </c>
      <c r="B1013">
        <v>119300</v>
      </c>
      <c r="C1013" t="s">
        <v>222</v>
      </c>
      <c r="D1013" t="s">
        <v>1119</v>
      </c>
      <c r="E1013" s="2">
        <v>90.44</v>
      </c>
    </row>
    <row r="1014" spans="1:5" x14ac:dyDescent="0.25">
      <c r="A1014" s="1">
        <v>43397</v>
      </c>
      <c r="B1014">
        <v>119300</v>
      </c>
      <c r="C1014" t="s">
        <v>222</v>
      </c>
      <c r="D1014" t="s">
        <v>481</v>
      </c>
      <c r="E1014" s="2">
        <v>60.64</v>
      </c>
    </row>
    <row r="1015" spans="1:5" x14ac:dyDescent="0.25">
      <c r="A1015" s="1">
        <v>43397</v>
      </c>
      <c r="B1015">
        <v>119300</v>
      </c>
      <c r="C1015" t="s">
        <v>222</v>
      </c>
      <c r="D1015" t="s">
        <v>1120</v>
      </c>
      <c r="E1015" s="2">
        <v>35.700000000000003</v>
      </c>
    </row>
    <row r="1016" spans="1:5" x14ac:dyDescent="0.25">
      <c r="A1016" s="1">
        <v>43397</v>
      </c>
      <c r="B1016">
        <v>119300</v>
      </c>
      <c r="C1016" t="s">
        <v>222</v>
      </c>
      <c r="D1016" t="s">
        <v>1120</v>
      </c>
      <c r="E1016" s="2">
        <v>405.08</v>
      </c>
    </row>
    <row r="1017" spans="1:5" x14ac:dyDescent="0.25">
      <c r="A1017" s="1">
        <v>43397</v>
      </c>
      <c r="B1017">
        <v>119300</v>
      </c>
      <c r="C1017" t="s">
        <v>222</v>
      </c>
      <c r="D1017" t="s">
        <v>593</v>
      </c>
      <c r="E1017" s="2">
        <v>96.99</v>
      </c>
    </row>
    <row r="1018" spans="1:5" x14ac:dyDescent="0.25">
      <c r="A1018" s="1">
        <v>43397</v>
      </c>
      <c r="B1018">
        <v>119300</v>
      </c>
      <c r="C1018" t="s">
        <v>222</v>
      </c>
      <c r="D1018" t="s">
        <v>194</v>
      </c>
      <c r="E1018" s="2">
        <v>183.11</v>
      </c>
    </row>
    <row r="1019" spans="1:5" x14ac:dyDescent="0.25">
      <c r="A1019" s="1">
        <v>43397</v>
      </c>
      <c r="B1019">
        <v>119300</v>
      </c>
      <c r="C1019" t="s">
        <v>222</v>
      </c>
      <c r="D1019" t="s">
        <v>1121</v>
      </c>
      <c r="E1019" s="2">
        <v>96.09</v>
      </c>
    </row>
    <row r="1020" spans="1:5" x14ac:dyDescent="0.25">
      <c r="A1020" s="1">
        <v>43397</v>
      </c>
      <c r="B1020">
        <v>119300</v>
      </c>
      <c r="C1020" t="s">
        <v>222</v>
      </c>
      <c r="D1020" t="s">
        <v>1122</v>
      </c>
      <c r="E1020" s="2">
        <f>25.36+47.34</f>
        <v>72.7</v>
      </c>
    </row>
    <row r="1021" spans="1:5" x14ac:dyDescent="0.25">
      <c r="A1021" s="1">
        <v>43397</v>
      </c>
      <c r="B1021">
        <v>119300</v>
      </c>
      <c r="C1021" t="s">
        <v>222</v>
      </c>
      <c r="D1021" t="s">
        <v>481</v>
      </c>
      <c r="E1021" s="2">
        <v>101.08</v>
      </c>
    </row>
    <row r="1022" spans="1:5" x14ac:dyDescent="0.25">
      <c r="A1022" s="1">
        <v>43397</v>
      </c>
      <c r="B1022">
        <v>119300</v>
      </c>
      <c r="C1022" t="s">
        <v>222</v>
      </c>
      <c r="D1022" t="s">
        <v>1123</v>
      </c>
      <c r="E1022" s="2">
        <v>277.66000000000003</v>
      </c>
    </row>
    <row r="1023" spans="1:5" x14ac:dyDescent="0.25">
      <c r="A1023" s="1">
        <v>43397</v>
      </c>
      <c r="B1023">
        <v>119300</v>
      </c>
      <c r="C1023" t="s">
        <v>222</v>
      </c>
      <c r="D1023" t="s">
        <v>1124</v>
      </c>
      <c r="E1023" s="2">
        <v>104.48</v>
      </c>
    </row>
    <row r="1024" spans="1:5" x14ac:dyDescent="0.25">
      <c r="A1024" s="1">
        <v>43397</v>
      </c>
      <c r="B1024">
        <v>119300</v>
      </c>
      <c r="C1024" t="s">
        <v>222</v>
      </c>
      <c r="D1024" t="s">
        <v>270</v>
      </c>
      <c r="E1024" s="2">
        <v>961.38</v>
      </c>
    </row>
    <row r="1025" spans="1:5" x14ac:dyDescent="0.25">
      <c r="A1025" s="1">
        <v>43397</v>
      </c>
      <c r="B1025">
        <v>119300</v>
      </c>
      <c r="C1025" t="s">
        <v>222</v>
      </c>
      <c r="D1025" t="s">
        <v>1125</v>
      </c>
      <c r="E1025" s="2">
        <v>30.42</v>
      </c>
    </row>
    <row r="1026" spans="1:5" x14ac:dyDescent="0.25">
      <c r="A1026" s="1">
        <v>43397</v>
      </c>
      <c r="B1026">
        <v>119300</v>
      </c>
      <c r="C1026" t="s">
        <v>222</v>
      </c>
      <c r="D1026" t="s">
        <v>1126</v>
      </c>
      <c r="E1026" s="2">
        <f>34.92+138.2</f>
        <v>173.12</v>
      </c>
    </row>
    <row r="1027" spans="1:5" x14ac:dyDescent="0.25">
      <c r="A1027" s="1">
        <v>43397</v>
      </c>
      <c r="B1027">
        <v>119300</v>
      </c>
      <c r="C1027" t="s">
        <v>222</v>
      </c>
      <c r="D1027" t="s">
        <v>690</v>
      </c>
      <c r="E1027" s="2">
        <v>104.05</v>
      </c>
    </row>
    <row r="1028" spans="1:5" x14ac:dyDescent="0.25">
      <c r="A1028" s="1">
        <v>43397</v>
      </c>
      <c r="B1028">
        <v>119300</v>
      </c>
      <c r="C1028" t="s">
        <v>222</v>
      </c>
      <c r="D1028" t="s">
        <v>1127</v>
      </c>
      <c r="E1028" s="2">
        <v>84.36</v>
      </c>
    </row>
    <row r="1029" spans="1:5" x14ac:dyDescent="0.25">
      <c r="A1029" s="1">
        <v>43397</v>
      </c>
      <c r="B1029">
        <v>119300</v>
      </c>
      <c r="C1029" t="s">
        <v>222</v>
      </c>
      <c r="D1029" t="s">
        <v>1128</v>
      </c>
      <c r="E1029" s="2">
        <v>144</v>
      </c>
    </row>
    <row r="1030" spans="1:5" x14ac:dyDescent="0.25">
      <c r="A1030" s="1">
        <v>43397</v>
      </c>
      <c r="B1030">
        <v>119300</v>
      </c>
      <c r="C1030" t="s">
        <v>222</v>
      </c>
      <c r="D1030" t="s">
        <v>1129</v>
      </c>
      <c r="E1030" s="2">
        <v>69.099999999999994</v>
      </c>
    </row>
    <row r="1031" spans="1:5" x14ac:dyDescent="0.25">
      <c r="A1031" s="1">
        <v>43397</v>
      </c>
      <c r="B1031">
        <v>119301</v>
      </c>
      <c r="C1031" t="s">
        <v>1130</v>
      </c>
      <c r="D1031" t="s">
        <v>1131</v>
      </c>
      <c r="E1031" s="2">
        <v>19319.89</v>
      </c>
    </row>
    <row r="1032" spans="1:5" x14ac:dyDescent="0.25">
      <c r="A1032" s="1">
        <v>43397</v>
      </c>
      <c r="B1032">
        <v>119302</v>
      </c>
      <c r="C1032" t="s">
        <v>809</v>
      </c>
      <c r="D1032" t="s">
        <v>1132</v>
      </c>
      <c r="E1032" s="2">
        <v>21.5</v>
      </c>
    </row>
    <row r="1033" spans="1:5" x14ac:dyDescent="0.25">
      <c r="A1033" s="1">
        <v>43397</v>
      </c>
      <c r="B1033">
        <v>119303</v>
      </c>
      <c r="C1033" t="s">
        <v>19</v>
      </c>
      <c r="D1033" t="s">
        <v>1133</v>
      </c>
      <c r="E1033" s="2">
        <v>629</v>
      </c>
    </row>
    <row r="1034" spans="1:5" x14ac:dyDescent="0.25">
      <c r="A1034" s="1">
        <v>43397</v>
      </c>
      <c r="B1034">
        <v>181900058</v>
      </c>
      <c r="C1034" t="s">
        <v>394</v>
      </c>
      <c r="D1034" t="s">
        <v>1134</v>
      </c>
      <c r="E1034" s="2">
        <v>251.37</v>
      </c>
    </row>
    <row r="1035" spans="1:5" x14ac:dyDescent="0.25">
      <c r="A1035" s="1">
        <v>43397</v>
      </c>
      <c r="B1035">
        <v>181900059</v>
      </c>
      <c r="C1035" t="s">
        <v>395</v>
      </c>
      <c r="D1035" t="s">
        <v>396</v>
      </c>
      <c r="E1035" s="2">
        <v>1000</v>
      </c>
    </row>
    <row r="1036" spans="1:5" x14ac:dyDescent="0.25">
      <c r="A1036" s="1">
        <v>43398</v>
      </c>
      <c r="B1036">
        <v>119304</v>
      </c>
      <c r="C1036" t="s">
        <v>1135</v>
      </c>
      <c r="D1036" t="s">
        <v>1136</v>
      </c>
      <c r="E1036" s="2">
        <v>955</v>
      </c>
    </row>
    <row r="1037" spans="1:5" x14ac:dyDescent="0.25">
      <c r="A1037" s="1">
        <v>43398</v>
      </c>
      <c r="B1037">
        <v>119305</v>
      </c>
      <c r="C1037" t="s">
        <v>988</v>
      </c>
      <c r="D1037" t="s">
        <v>1137</v>
      </c>
      <c r="E1037" s="2">
        <v>1250.56</v>
      </c>
    </row>
    <row r="1038" spans="1:5" x14ac:dyDescent="0.25">
      <c r="A1038" s="1">
        <v>43398</v>
      </c>
      <c r="B1038">
        <v>119305</v>
      </c>
      <c r="C1038" t="s">
        <v>988</v>
      </c>
      <c r="D1038" t="s">
        <v>1138</v>
      </c>
      <c r="E1038" s="2">
        <v>213.99</v>
      </c>
    </row>
    <row r="1039" spans="1:5" x14ac:dyDescent="0.25">
      <c r="A1039" s="1">
        <v>43398</v>
      </c>
      <c r="B1039">
        <v>119306</v>
      </c>
      <c r="C1039" t="s">
        <v>1139</v>
      </c>
      <c r="D1039" t="s">
        <v>1140</v>
      </c>
      <c r="E1039" s="2">
        <v>4237.5600000000004</v>
      </c>
    </row>
    <row r="1040" spans="1:5" x14ac:dyDescent="0.25">
      <c r="A1040" s="1">
        <v>43398</v>
      </c>
      <c r="B1040">
        <v>119307</v>
      </c>
      <c r="C1040" t="s">
        <v>654</v>
      </c>
      <c r="D1040" t="s">
        <v>1141</v>
      </c>
      <c r="E1040" s="2">
        <f>99+47.5</f>
        <v>146.5</v>
      </c>
    </row>
    <row r="1041" spans="1:5" x14ac:dyDescent="0.25">
      <c r="A1041" s="1">
        <v>43398</v>
      </c>
      <c r="B1041">
        <v>119307</v>
      </c>
      <c r="C1041" t="s">
        <v>654</v>
      </c>
      <c r="D1041" t="s">
        <v>1142</v>
      </c>
      <c r="E1041" s="2">
        <v>973.9</v>
      </c>
    </row>
    <row r="1042" spans="1:5" x14ac:dyDescent="0.25">
      <c r="A1042" s="1">
        <v>43398</v>
      </c>
      <c r="B1042">
        <v>119308</v>
      </c>
      <c r="C1042" t="s">
        <v>1143</v>
      </c>
      <c r="D1042" t="s">
        <v>1144</v>
      </c>
      <c r="E1042" s="2">
        <v>243</v>
      </c>
    </row>
    <row r="1043" spans="1:5" x14ac:dyDescent="0.25">
      <c r="A1043" s="1">
        <v>43398</v>
      </c>
      <c r="B1043">
        <v>119309</v>
      </c>
      <c r="C1043" t="s">
        <v>226</v>
      </c>
      <c r="D1043" t="s">
        <v>1145</v>
      </c>
      <c r="E1043" s="2">
        <v>136.69999999999999</v>
      </c>
    </row>
    <row r="1044" spans="1:5" x14ac:dyDescent="0.25">
      <c r="A1044" s="1">
        <v>43398</v>
      </c>
      <c r="B1044">
        <v>119309</v>
      </c>
      <c r="C1044" t="s">
        <v>226</v>
      </c>
      <c r="D1044" t="s">
        <v>1146</v>
      </c>
      <c r="E1044" s="2">
        <v>44.6</v>
      </c>
    </row>
    <row r="1045" spans="1:5" x14ac:dyDescent="0.25">
      <c r="A1045" s="1">
        <v>43398</v>
      </c>
      <c r="B1045">
        <v>119310</v>
      </c>
      <c r="C1045" t="s">
        <v>235</v>
      </c>
      <c r="D1045" t="s">
        <v>1147</v>
      </c>
      <c r="E1045" s="2">
        <v>361</v>
      </c>
    </row>
    <row r="1046" spans="1:5" x14ac:dyDescent="0.25">
      <c r="A1046" s="1">
        <v>43398</v>
      </c>
      <c r="B1046">
        <v>119311</v>
      </c>
      <c r="C1046" t="s">
        <v>22</v>
      </c>
      <c r="D1046" t="s">
        <v>1148</v>
      </c>
      <c r="E1046" s="2">
        <v>38.270000000000003</v>
      </c>
    </row>
    <row r="1047" spans="1:5" x14ac:dyDescent="0.25">
      <c r="A1047" s="1">
        <v>43398</v>
      </c>
      <c r="B1047">
        <v>119312</v>
      </c>
      <c r="C1047" t="s">
        <v>97</v>
      </c>
      <c r="D1047" t="s">
        <v>1149</v>
      </c>
      <c r="E1047" s="2">
        <v>174.75</v>
      </c>
    </row>
    <row r="1048" spans="1:5" x14ac:dyDescent="0.25">
      <c r="A1048" s="1">
        <v>43398</v>
      </c>
      <c r="B1048">
        <v>119313</v>
      </c>
      <c r="C1048" t="s">
        <v>100</v>
      </c>
      <c r="D1048" t="s">
        <v>1150</v>
      </c>
      <c r="E1048" s="2">
        <v>2495</v>
      </c>
    </row>
    <row r="1049" spans="1:5" x14ac:dyDescent="0.25">
      <c r="A1049" s="1">
        <v>43398</v>
      </c>
      <c r="B1049">
        <v>119313</v>
      </c>
      <c r="C1049" t="s">
        <v>100</v>
      </c>
      <c r="D1049" t="s">
        <v>1151</v>
      </c>
      <c r="E1049" s="2">
        <v>727.32</v>
      </c>
    </row>
    <row r="1050" spans="1:5" x14ac:dyDescent="0.25">
      <c r="A1050" s="1">
        <v>43398</v>
      </c>
      <c r="B1050">
        <v>119314</v>
      </c>
      <c r="C1050" t="s">
        <v>343</v>
      </c>
      <c r="D1050" t="s">
        <v>452</v>
      </c>
      <c r="E1050" s="2">
        <v>372</v>
      </c>
    </row>
    <row r="1051" spans="1:5" x14ac:dyDescent="0.25">
      <c r="A1051" s="1">
        <v>43398</v>
      </c>
      <c r="B1051">
        <v>119315</v>
      </c>
      <c r="C1051" t="s">
        <v>1152</v>
      </c>
      <c r="D1051" t="s">
        <v>1153</v>
      </c>
      <c r="E1051" s="2">
        <v>1626.97</v>
      </c>
    </row>
    <row r="1052" spans="1:5" x14ac:dyDescent="0.25">
      <c r="A1052" s="1">
        <v>43398</v>
      </c>
      <c r="B1052">
        <v>119316</v>
      </c>
      <c r="C1052" t="s">
        <v>195</v>
      </c>
      <c r="D1052" t="s">
        <v>1154</v>
      </c>
      <c r="E1052" s="2">
        <v>500</v>
      </c>
    </row>
    <row r="1053" spans="1:5" x14ac:dyDescent="0.25">
      <c r="A1053" s="1">
        <v>43398</v>
      </c>
      <c r="B1053">
        <v>119317</v>
      </c>
      <c r="C1053" t="s">
        <v>1155</v>
      </c>
      <c r="D1053" t="s">
        <v>1154</v>
      </c>
      <c r="E1053" s="2">
        <v>500</v>
      </c>
    </row>
    <row r="1054" spans="1:5" x14ac:dyDescent="0.25">
      <c r="A1054" s="1">
        <v>43398</v>
      </c>
      <c r="B1054">
        <v>119318</v>
      </c>
      <c r="C1054" t="s">
        <v>1156</v>
      </c>
      <c r="D1054" t="s">
        <v>1157</v>
      </c>
      <c r="E1054" s="2">
        <v>56.85</v>
      </c>
    </row>
    <row r="1055" spans="1:5" x14ac:dyDescent="0.25">
      <c r="A1055" s="1">
        <v>43398</v>
      </c>
      <c r="B1055">
        <v>119318</v>
      </c>
      <c r="C1055" t="s">
        <v>1156</v>
      </c>
      <c r="D1055" t="s">
        <v>1158</v>
      </c>
      <c r="E1055" s="2">
        <v>163.13999999999999</v>
      </c>
    </row>
    <row r="1056" spans="1:5" x14ac:dyDescent="0.25">
      <c r="A1056" s="1">
        <v>43398</v>
      </c>
      <c r="B1056">
        <v>119320</v>
      </c>
      <c r="C1056" t="s">
        <v>662</v>
      </c>
      <c r="D1056" t="s">
        <v>1159</v>
      </c>
      <c r="E1056" s="2">
        <v>311</v>
      </c>
    </row>
    <row r="1057" spans="1:5" x14ac:dyDescent="0.25">
      <c r="A1057" s="1">
        <v>43398</v>
      </c>
      <c r="B1057">
        <v>119320</v>
      </c>
      <c r="C1057" t="s">
        <v>662</v>
      </c>
      <c r="D1057" t="s">
        <v>667</v>
      </c>
      <c r="E1057" s="2">
        <v>275.52</v>
      </c>
    </row>
    <row r="1058" spans="1:5" x14ac:dyDescent="0.25">
      <c r="A1058" s="1">
        <v>43398</v>
      </c>
      <c r="B1058">
        <v>119320</v>
      </c>
      <c r="C1058" t="s">
        <v>662</v>
      </c>
      <c r="D1058" t="s">
        <v>667</v>
      </c>
      <c r="E1058" s="2">
        <v>194.47</v>
      </c>
    </row>
    <row r="1059" spans="1:5" x14ac:dyDescent="0.25">
      <c r="A1059" s="1">
        <v>43398</v>
      </c>
      <c r="B1059">
        <v>119320</v>
      </c>
      <c r="C1059" t="s">
        <v>662</v>
      </c>
      <c r="D1059" t="s">
        <v>1160</v>
      </c>
      <c r="E1059" s="2">
        <v>140.5</v>
      </c>
    </row>
    <row r="1060" spans="1:5" x14ac:dyDescent="0.25">
      <c r="A1060" s="1">
        <v>43398</v>
      </c>
      <c r="B1060">
        <v>119320</v>
      </c>
      <c r="C1060" t="s">
        <v>662</v>
      </c>
      <c r="D1060" t="s">
        <v>1161</v>
      </c>
      <c r="E1060" s="2">
        <v>139.52000000000001</v>
      </c>
    </row>
    <row r="1061" spans="1:5" x14ac:dyDescent="0.25">
      <c r="A1061" s="1">
        <v>43398</v>
      </c>
      <c r="B1061">
        <v>119320</v>
      </c>
      <c r="C1061" t="s">
        <v>662</v>
      </c>
      <c r="D1061" t="s">
        <v>1162</v>
      </c>
      <c r="E1061" s="2">
        <v>328.96</v>
      </c>
    </row>
    <row r="1062" spans="1:5" x14ac:dyDescent="0.25">
      <c r="A1062" s="1">
        <v>43398</v>
      </c>
      <c r="B1062">
        <v>119320</v>
      </c>
      <c r="C1062" t="s">
        <v>662</v>
      </c>
      <c r="D1062" t="s">
        <v>1163</v>
      </c>
      <c r="E1062" s="2">
        <v>41.06</v>
      </c>
    </row>
    <row r="1063" spans="1:5" x14ac:dyDescent="0.25">
      <c r="A1063" s="1">
        <v>43398</v>
      </c>
      <c r="B1063">
        <v>119320</v>
      </c>
      <c r="C1063" t="s">
        <v>662</v>
      </c>
      <c r="D1063" t="s">
        <v>1164</v>
      </c>
      <c r="E1063" s="2">
        <v>189.05</v>
      </c>
    </row>
    <row r="1064" spans="1:5" x14ac:dyDescent="0.25">
      <c r="A1064" s="1">
        <v>43398</v>
      </c>
      <c r="B1064">
        <v>119320</v>
      </c>
      <c r="C1064" t="s">
        <v>662</v>
      </c>
      <c r="D1064" t="s">
        <v>1165</v>
      </c>
      <c r="E1064" s="2">
        <v>489</v>
      </c>
    </row>
    <row r="1065" spans="1:5" x14ac:dyDescent="0.25">
      <c r="A1065" s="1">
        <v>43398</v>
      </c>
      <c r="B1065">
        <v>119320</v>
      </c>
      <c r="C1065" t="s">
        <v>662</v>
      </c>
      <c r="D1065" t="s">
        <v>667</v>
      </c>
      <c r="E1065" s="2">
        <v>343.9</v>
      </c>
    </row>
    <row r="1066" spans="1:5" x14ac:dyDescent="0.25">
      <c r="A1066" s="1">
        <v>43398</v>
      </c>
      <c r="B1066">
        <v>119321</v>
      </c>
      <c r="C1066" t="s">
        <v>243</v>
      </c>
      <c r="D1066" t="s">
        <v>1166</v>
      </c>
      <c r="E1066" s="2">
        <v>45.31</v>
      </c>
    </row>
    <row r="1067" spans="1:5" x14ac:dyDescent="0.25">
      <c r="A1067" s="1">
        <v>43398</v>
      </c>
      <c r="B1067">
        <v>119322</v>
      </c>
      <c r="C1067" t="s">
        <v>405</v>
      </c>
      <c r="D1067" t="s">
        <v>1167</v>
      </c>
      <c r="E1067" s="2">
        <v>216.08</v>
      </c>
    </row>
    <row r="1068" spans="1:5" x14ac:dyDescent="0.25">
      <c r="A1068" s="1">
        <v>43398</v>
      </c>
      <c r="B1068">
        <v>119323</v>
      </c>
      <c r="C1068" t="s">
        <v>1168</v>
      </c>
      <c r="D1068" t="s">
        <v>1169</v>
      </c>
      <c r="E1068" s="2">
        <v>550</v>
      </c>
    </row>
    <row r="1069" spans="1:5" x14ac:dyDescent="0.25">
      <c r="A1069" s="1">
        <v>43398</v>
      </c>
      <c r="B1069">
        <v>119324</v>
      </c>
      <c r="C1069" t="s">
        <v>7</v>
      </c>
      <c r="D1069" t="s">
        <v>1170</v>
      </c>
      <c r="E1069" s="2">
        <v>100</v>
      </c>
    </row>
    <row r="1070" spans="1:5" x14ac:dyDescent="0.25">
      <c r="A1070" s="1">
        <v>43398</v>
      </c>
      <c r="B1070">
        <v>119325</v>
      </c>
      <c r="C1070" t="s">
        <v>673</v>
      </c>
      <c r="D1070" t="s">
        <v>674</v>
      </c>
      <c r="E1070" s="2">
        <v>62.25</v>
      </c>
    </row>
    <row r="1071" spans="1:5" x14ac:dyDescent="0.25">
      <c r="A1071" s="1">
        <v>43398</v>
      </c>
      <c r="B1071">
        <v>119326</v>
      </c>
      <c r="C1071" t="s">
        <v>247</v>
      </c>
      <c r="D1071" t="s">
        <v>424</v>
      </c>
      <c r="E1071" s="2">
        <f>85+2533.68+10556+1669.97+308.51+1529.26+49.45+373.05+5663.26+178.98+3228.34</f>
        <v>26175.5</v>
      </c>
    </row>
    <row r="1072" spans="1:5" x14ac:dyDescent="0.25">
      <c r="A1072" s="1">
        <v>43398</v>
      </c>
      <c r="B1072">
        <v>119329</v>
      </c>
      <c r="C1072" t="s">
        <v>197</v>
      </c>
      <c r="D1072" t="s">
        <v>1171</v>
      </c>
      <c r="E1072" s="2">
        <v>595</v>
      </c>
    </row>
    <row r="1073" spans="1:5" x14ac:dyDescent="0.25">
      <c r="A1073" s="1">
        <v>43398</v>
      </c>
      <c r="B1073">
        <v>119329</v>
      </c>
      <c r="C1073" t="s">
        <v>197</v>
      </c>
      <c r="D1073" t="s">
        <v>1172</v>
      </c>
      <c r="E1073" s="2">
        <v>384.88</v>
      </c>
    </row>
    <row r="1074" spans="1:5" x14ac:dyDescent="0.25">
      <c r="A1074" s="1">
        <v>43398</v>
      </c>
      <c r="B1074">
        <v>119330</v>
      </c>
      <c r="C1074" t="s">
        <v>1173</v>
      </c>
      <c r="D1074" t="s">
        <v>1174</v>
      </c>
      <c r="E1074" s="2">
        <v>250</v>
      </c>
    </row>
    <row r="1075" spans="1:5" x14ac:dyDescent="0.25">
      <c r="A1075" s="1">
        <v>43398</v>
      </c>
      <c r="B1075">
        <v>119332</v>
      </c>
      <c r="C1075" t="s">
        <v>68</v>
      </c>
      <c r="D1075" t="s">
        <v>1175</v>
      </c>
      <c r="E1075" s="2">
        <f>789.18+789.18</f>
        <v>1578.36</v>
      </c>
    </row>
    <row r="1076" spans="1:5" x14ac:dyDescent="0.25">
      <c r="A1076" s="1">
        <v>43398</v>
      </c>
      <c r="B1076">
        <v>119332</v>
      </c>
      <c r="C1076" t="s">
        <v>68</v>
      </c>
      <c r="D1076" t="s">
        <v>667</v>
      </c>
      <c r="E1076" s="2">
        <v>873.96</v>
      </c>
    </row>
    <row r="1077" spans="1:5" x14ac:dyDescent="0.25">
      <c r="A1077" s="1">
        <v>43398</v>
      </c>
      <c r="B1077">
        <v>119332</v>
      </c>
      <c r="C1077" t="s">
        <v>68</v>
      </c>
      <c r="D1077" t="s">
        <v>667</v>
      </c>
      <c r="E1077" s="2">
        <v>155.78</v>
      </c>
    </row>
    <row r="1078" spans="1:5" x14ac:dyDescent="0.25">
      <c r="A1078" s="1">
        <v>43398</v>
      </c>
      <c r="B1078">
        <v>119332</v>
      </c>
      <c r="C1078" t="s">
        <v>68</v>
      </c>
      <c r="D1078" t="s">
        <v>1176</v>
      </c>
      <c r="E1078" s="2">
        <v>569.45000000000005</v>
      </c>
    </row>
    <row r="1079" spans="1:5" x14ac:dyDescent="0.25">
      <c r="A1079" s="1">
        <v>43398</v>
      </c>
      <c r="B1079">
        <v>119332</v>
      </c>
      <c r="C1079" t="s">
        <v>68</v>
      </c>
      <c r="D1079" t="s">
        <v>667</v>
      </c>
      <c r="E1079" s="2">
        <v>446.46</v>
      </c>
    </row>
    <row r="1080" spans="1:5" x14ac:dyDescent="0.25">
      <c r="A1080" s="1">
        <v>43398</v>
      </c>
      <c r="B1080">
        <v>119332</v>
      </c>
      <c r="C1080" t="s">
        <v>68</v>
      </c>
      <c r="D1080" t="s">
        <v>671</v>
      </c>
      <c r="E1080" s="2">
        <v>123.49</v>
      </c>
    </row>
    <row r="1081" spans="1:5" x14ac:dyDescent="0.25">
      <c r="A1081" s="1">
        <v>43398</v>
      </c>
      <c r="B1081">
        <v>119333</v>
      </c>
      <c r="C1081" t="s">
        <v>355</v>
      </c>
      <c r="D1081" t="s">
        <v>356</v>
      </c>
      <c r="E1081" s="2">
        <v>140</v>
      </c>
    </row>
    <row r="1082" spans="1:5" x14ac:dyDescent="0.25">
      <c r="A1082" s="1">
        <v>43398</v>
      </c>
      <c r="B1082">
        <v>119334</v>
      </c>
      <c r="C1082" t="s">
        <v>1177</v>
      </c>
      <c r="D1082" t="s">
        <v>1178</v>
      </c>
      <c r="E1082" s="2">
        <v>70</v>
      </c>
    </row>
    <row r="1083" spans="1:5" x14ac:dyDescent="0.25">
      <c r="A1083" s="1">
        <v>43398</v>
      </c>
      <c r="B1083">
        <v>119336</v>
      </c>
      <c r="C1083" t="s">
        <v>110</v>
      </c>
      <c r="D1083" t="s">
        <v>1179</v>
      </c>
      <c r="E1083" s="2">
        <f>40665.64+20189.69+7654.23+9483.82+6242.04+7482.73+9891.75+9906.5+5009.33</f>
        <v>116525.73</v>
      </c>
    </row>
    <row r="1084" spans="1:5" x14ac:dyDescent="0.25">
      <c r="A1084" s="1">
        <v>43398</v>
      </c>
      <c r="B1084">
        <v>119337</v>
      </c>
      <c r="C1084" t="s">
        <v>1180</v>
      </c>
      <c r="D1084" t="s">
        <v>1181</v>
      </c>
      <c r="E1084" s="2">
        <v>73.41</v>
      </c>
    </row>
    <row r="1085" spans="1:5" x14ac:dyDescent="0.25">
      <c r="A1085" s="1">
        <v>43398</v>
      </c>
      <c r="B1085">
        <v>119338</v>
      </c>
      <c r="C1085" t="s">
        <v>357</v>
      </c>
      <c r="D1085" t="s">
        <v>1182</v>
      </c>
      <c r="E1085" s="2">
        <v>510</v>
      </c>
    </row>
    <row r="1086" spans="1:5" x14ac:dyDescent="0.25">
      <c r="A1086" s="1">
        <v>43398</v>
      </c>
      <c r="B1086">
        <v>119339</v>
      </c>
      <c r="C1086" t="s">
        <v>685</v>
      </c>
      <c r="D1086" t="s">
        <v>1183</v>
      </c>
      <c r="E1086" s="2">
        <v>173.06</v>
      </c>
    </row>
    <row r="1087" spans="1:5" x14ac:dyDescent="0.25">
      <c r="A1087" s="1">
        <v>43398</v>
      </c>
      <c r="B1087">
        <v>119340</v>
      </c>
      <c r="C1087" t="s">
        <v>114</v>
      </c>
      <c r="D1087" t="s">
        <v>1184</v>
      </c>
      <c r="E1087" s="2">
        <v>2250</v>
      </c>
    </row>
    <row r="1088" spans="1:5" x14ac:dyDescent="0.25">
      <c r="A1088" s="1">
        <v>43398</v>
      </c>
      <c r="B1088">
        <v>119340</v>
      </c>
      <c r="C1088" t="s">
        <v>114</v>
      </c>
      <c r="D1088" t="s">
        <v>1013</v>
      </c>
      <c r="E1088" s="2">
        <v>89773</v>
      </c>
    </row>
    <row r="1089" spans="1:5" x14ac:dyDescent="0.25">
      <c r="A1089" s="1">
        <v>43398</v>
      </c>
      <c r="B1089">
        <v>119340</v>
      </c>
      <c r="C1089" t="s">
        <v>114</v>
      </c>
      <c r="D1089" t="s">
        <v>1185</v>
      </c>
      <c r="E1089" s="2">
        <v>36690</v>
      </c>
    </row>
    <row r="1090" spans="1:5" x14ac:dyDescent="0.25">
      <c r="A1090" s="1">
        <v>43398</v>
      </c>
      <c r="B1090">
        <v>119341</v>
      </c>
      <c r="C1090" t="s">
        <v>1186</v>
      </c>
      <c r="D1090" t="s">
        <v>1187</v>
      </c>
      <c r="E1090" s="2">
        <v>150</v>
      </c>
    </row>
    <row r="1091" spans="1:5" x14ac:dyDescent="0.25">
      <c r="A1091" s="1">
        <v>43398</v>
      </c>
      <c r="B1091">
        <v>119342</v>
      </c>
      <c r="C1091" t="s">
        <v>692</v>
      </c>
      <c r="D1091" t="s">
        <v>1188</v>
      </c>
      <c r="E1091" s="2">
        <v>293.91000000000003</v>
      </c>
    </row>
    <row r="1092" spans="1:5" x14ac:dyDescent="0.25">
      <c r="A1092" s="1">
        <v>43398</v>
      </c>
      <c r="B1092">
        <v>119346</v>
      </c>
      <c r="C1092" t="s">
        <v>123</v>
      </c>
      <c r="D1092" t="s">
        <v>1189</v>
      </c>
      <c r="E1092" s="2">
        <v>135604.26</v>
      </c>
    </row>
    <row r="1093" spans="1:5" x14ac:dyDescent="0.25">
      <c r="A1093" s="1">
        <v>43398</v>
      </c>
      <c r="B1093">
        <v>119346</v>
      </c>
      <c r="C1093" t="s">
        <v>123</v>
      </c>
      <c r="D1093" t="s">
        <v>1190</v>
      </c>
      <c r="E1093" s="2">
        <f>125.92+653.44+81.68+81.68+408.4+408.4+163.36+262.06+520.71+1647.21+326.72+163.36+2246.2+326.72+326.72</f>
        <v>7742.5800000000008</v>
      </c>
    </row>
    <row r="1094" spans="1:5" x14ac:dyDescent="0.25">
      <c r="A1094" s="1">
        <v>43398</v>
      </c>
      <c r="B1094">
        <v>119347</v>
      </c>
      <c r="C1094" t="s">
        <v>72</v>
      </c>
      <c r="D1094" t="s">
        <v>1191</v>
      </c>
      <c r="E1094" s="2">
        <v>502.96</v>
      </c>
    </row>
    <row r="1095" spans="1:5" x14ac:dyDescent="0.25">
      <c r="A1095" s="1">
        <v>43398</v>
      </c>
      <c r="B1095">
        <v>119348</v>
      </c>
      <c r="C1095" t="s">
        <v>855</v>
      </c>
      <c r="D1095" t="s">
        <v>1192</v>
      </c>
      <c r="E1095" s="2">
        <v>72.680000000000007</v>
      </c>
    </row>
    <row r="1096" spans="1:5" x14ac:dyDescent="0.25">
      <c r="A1096" s="1">
        <v>43398</v>
      </c>
      <c r="B1096">
        <v>119349</v>
      </c>
      <c r="C1096" t="s">
        <v>259</v>
      </c>
      <c r="D1096" t="s">
        <v>1193</v>
      </c>
      <c r="E1096" s="2">
        <f>728.75+3476.11</f>
        <v>4204.8600000000006</v>
      </c>
    </row>
    <row r="1097" spans="1:5" x14ac:dyDescent="0.25">
      <c r="A1097" s="1">
        <v>43398</v>
      </c>
      <c r="B1097">
        <v>119349</v>
      </c>
      <c r="C1097" t="s">
        <v>259</v>
      </c>
      <c r="D1097" t="s">
        <v>1194</v>
      </c>
      <c r="E1097" s="2">
        <v>3476.11</v>
      </c>
    </row>
    <row r="1098" spans="1:5" x14ac:dyDescent="0.25">
      <c r="A1098" s="1">
        <v>43398</v>
      </c>
      <c r="B1098">
        <v>119350</v>
      </c>
      <c r="C1098" t="s">
        <v>265</v>
      </c>
      <c r="D1098" t="s">
        <v>1195</v>
      </c>
      <c r="E1098" s="2">
        <v>305.89</v>
      </c>
    </row>
    <row r="1099" spans="1:5" x14ac:dyDescent="0.25">
      <c r="A1099" s="1">
        <v>43398</v>
      </c>
      <c r="B1099">
        <v>119351</v>
      </c>
      <c r="C1099" t="s">
        <v>1196</v>
      </c>
      <c r="D1099" t="s">
        <v>1197</v>
      </c>
      <c r="E1099" s="2">
        <v>1815</v>
      </c>
    </row>
    <row r="1100" spans="1:5" x14ac:dyDescent="0.25">
      <c r="A1100" s="1">
        <v>43398</v>
      </c>
      <c r="B1100">
        <v>119352</v>
      </c>
      <c r="C1100" t="s">
        <v>269</v>
      </c>
      <c r="D1100" t="s">
        <v>1198</v>
      </c>
      <c r="E1100" s="2">
        <f>374.99+84.99</f>
        <v>459.98</v>
      </c>
    </row>
    <row r="1101" spans="1:5" x14ac:dyDescent="0.25">
      <c r="A1101" s="1">
        <v>43398</v>
      </c>
      <c r="B1101">
        <v>119353</v>
      </c>
      <c r="C1101" t="s">
        <v>44</v>
      </c>
      <c r="D1101" t="s">
        <v>704</v>
      </c>
      <c r="E1101" s="2">
        <v>301.19</v>
      </c>
    </row>
    <row r="1102" spans="1:5" x14ac:dyDescent="0.25">
      <c r="A1102" s="1">
        <v>43398</v>
      </c>
      <c r="B1102">
        <v>119354</v>
      </c>
      <c r="C1102" t="s">
        <v>272</v>
      </c>
      <c r="D1102" t="s">
        <v>1199</v>
      </c>
      <c r="E1102" s="2">
        <v>400</v>
      </c>
    </row>
    <row r="1103" spans="1:5" x14ac:dyDescent="0.25">
      <c r="A1103" s="1">
        <v>43398</v>
      </c>
      <c r="B1103">
        <v>119355</v>
      </c>
      <c r="C1103" t="s">
        <v>1200</v>
      </c>
      <c r="D1103" t="s">
        <v>1201</v>
      </c>
      <c r="E1103" s="2">
        <v>143.6</v>
      </c>
    </row>
    <row r="1104" spans="1:5" x14ac:dyDescent="0.25">
      <c r="A1104" s="1">
        <v>43398</v>
      </c>
      <c r="B1104">
        <v>119356</v>
      </c>
      <c r="C1104" t="s">
        <v>1202</v>
      </c>
      <c r="D1104" t="s">
        <v>1045</v>
      </c>
      <c r="E1104" s="2">
        <v>118.87</v>
      </c>
    </row>
    <row r="1105" spans="1:5" x14ac:dyDescent="0.25">
      <c r="A1105" s="1">
        <v>43398</v>
      </c>
      <c r="B1105">
        <v>119361</v>
      </c>
      <c r="C1105" t="s">
        <v>274</v>
      </c>
      <c r="D1105" t="s">
        <v>1203</v>
      </c>
      <c r="E1105" s="2">
        <v>3359.68</v>
      </c>
    </row>
    <row r="1106" spans="1:5" x14ac:dyDescent="0.25">
      <c r="A1106" s="1">
        <v>43398</v>
      </c>
      <c r="B1106">
        <v>119361</v>
      </c>
      <c r="C1106" t="s">
        <v>274</v>
      </c>
      <c r="D1106" t="s">
        <v>1203</v>
      </c>
      <c r="E1106" s="2">
        <v>5280.86</v>
      </c>
    </row>
    <row r="1107" spans="1:5" x14ac:dyDescent="0.25">
      <c r="A1107" s="1">
        <v>43398</v>
      </c>
      <c r="B1107">
        <v>119361</v>
      </c>
      <c r="C1107" t="s">
        <v>274</v>
      </c>
      <c r="D1107" t="s">
        <v>1204</v>
      </c>
      <c r="E1107" s="2">
        <f>742.88+144.31+234.96+1302.6+356.62+484.15+609.97+337.79</f>
        <v>4213.28</v>
      </c>
    </row>
    <row r="1108" spans="1:5" x14ac:dyDescent="0.25">
      <c r="A1108" s="1">
        <v>43398</v>
      </c>
      <c r="B1108">
        <v>119362</v>
      </c>
      <c r="C1108" t="s">
        <v>276</v>
      </c>
      <c r="D1108" t="s">
        <v>277</v>
      </c>
      <c r="E1108" s="2">
        <v>555.55999999999995</v>
      </c>
    </row>
    <row r="1109" spans="1:5" x14ac:dyDescent="0.25">
      <c r="A1109" s="1">
        <v>43398</v>
      </c>
      <c r="B1109">
        <v>119363</v>
      </c>
      <c r="C1109" t="s">
        <v>1205</v>
      </c>
      <c r="D1109" t="s">
        <v>864</v>
      </c>
      <c r="E1109" s="2">
        <v>118.87</v>
      </c>
    </row>
    <row r="1110" spans="1:5" x14ac:dyDescent="0.25">
      <c r="A1110" s="1">
        <v>43398</v>
      </c>
      <c r="B1110">
        <v>119364</v>
      </c>
      <c r="C1110" t="s">
        <v>708</v>
      </c>
      <c r="D1110" t="s">
        <v>1206</v>
      </c>
      <c r="E1110" s="2">
        <v>6228.1</v>
      </c>
    </row>
    <row r="1111" spans="1:5" x14ac:dyDescent="0.25">
      <c r="A1111" s="1">
        <v>43398</v>
      </c>
      <c r="B1111">
        <v>119365</v>
      </c>
      <c r="C1111" t="s">
        <v>1207</v>
      </c>
      <c r="D1111" t="s">
        <v>132</v>
      </c>
      <c r="E1111" s="2">
        <v>300</v>
      </c>
    </row>
    <row r="1112" spans="1:5" x14ac:dyDescent="0.25">
      <c r="A1112" s="1">
        <v>43398</v>
      </c>
      <c r="B1112">
        <v>119366</v>
      </c>
      <c r="C1112" t="s">
        <v>1208</v>
      </c>
      <c r="D1112" t="s">
        <v>717</v>
      </c>
      <c r="E1112" s="2">
        <v>343.85</v>
      </c>
    </row>
    <row r="1113" spans="1:5" x14ac:dyDescent="0.25">
      <c r="A1113" s="1">
        <v>43398</v>
      </c>
      <c r="B1113">
        <v>119367</v>
      </c>
      <c r="C1113" t="s">
        <v>712</v>
      </c>
      <c r="D1113" t="s">
        <v>717</v>
      </c>
      <c r="E1113" s="2">
        <v>938.32</v>
      </c>
    </row>
    <row r="1114" spans="1:5" x14ac:dyDescent="0.25">
      <c r="A1114" s="1">
        <v>43398</v>
      </c>
      <c r="B1114">
        <v>119368</v>
      </c>
      <c r="C1114" t="s">
        <v>47</v>
      </c>
      <c r="D1114" t="s">
        <v>1209</v>
      </c>
      <c r="E1114" s="2">
        <f>340.88+199.5</f>
        <v>540.38</v>
      </c>
    </row>
    <row r="1115" spans="1:5" x14ac:dyDescent="0.25">
      <c r="A1115" s="1">
        <v>43398</v>
      </c>
      <c r="B1115">
        <v>119368</v>
      </c>
      <c r="C1115" t="s">
        <v>47</v>
      </c>
      <c r="D1115" t="s">
        <v>1210</v>
      </c>
      <c r="E1115" s="2">
        <v>417.84</v>
      </c>
    </row>
    <row r="1116" spans="1:5" x14ac:dyDescent="0.25">
      <c r="A1116" s="1">
        <v>43398</v>
      </c>
      <c r="B1116">
        <v>119369</v>
      </c>
      <c r="C1116" t="s">
        <v>48</v>
      </c>
      <c r="D1116" t="s">
        <v>718</v>
      </c>
      <c r="E1116" s="2">
        <f>2781.15+7472.42+8626.45</f>
        <v>18880.02</v>
      </c>
    </row>
    <row r="1117" spans="1:5" x14ac:dyDescent="0.25">
      <c r="A1117" s="1">
        <v>43398</v>
      </c>
      <c r="B1117">
        <v>119373</v>
      </c>
      <c r="C1117" t="s">
        <v>74</v>
      </c>
      <c r="D1117" t="s">
        <v>667</v>
      </c>
      <c r="E1117" s="2">
        <v>907.78</v>
      </c>
    </row>
    <row r="1118" spans="1:5" x14ac:dyDescent="0.25">
      <c r="A1118" s="1">
        <v>43398</v>
      </c>
      <c r="B1118">
        <v>119373</v>
      </c>
      <c r="C1118" t="s">
        <v>74</v>
      </c>
      <c r="D1118" t="s">
        <v>722</v>
      </c>
      <c r="E1118" s="2">
        <v>11.99</v>
      </c>
    </row>
    <row r="1119" spans="1:5" x14ac:dyDescent="0.25">
      <c r="A1119" s="1">
        <v>43398</v>
      </c>
      <c r="B1119">
        <v>119373</v>
      </c>
      <c r="C1119" t="s">
        <v>74</v>
      </c>
      <c r="D1119" t="s">
        <v>1211</v>
      </c>
      <c r="E1119" s="2">
        <v>149.9</v>
      </c>
    </row>
    <row r="1120" spans="1:5" x14ac:dyDescent="0.25">
      <c r="A1120" s="1">
        <v>43398</v>
      </c>
      <c r="B1120">
        <v>119373</v>
      </c>
      <c r="C1120" t="s">
        <v>74</v>
      </c>
      <c r="D1120" t="s">
        <v>671</v>
      </c>
      <c r="E1120" s="2">
        <v>417.89</v>
      </c>
    </row>
    <row r="1121" spans="1:5" x14ac:dyDescent="0.25">
      <c r="A1121" s="1">
        <v>43398</v>
      </c>
      <c r="B1121">
        <v>119373</v>
      </c>
      <c r="C1121" t="s">
        <v>74</v>
      </c>
      <c r="D1121" t="s">
        <v>1212</v>
      </c>
      <c r="E1121" s="2">
        <v>59.8</v>
      </c>
    </row>
    <row r="1122" spans="1:5" x14ac:dyDescent="0.25">
      <c r="A1122" s="1">
        <v>43398</v>
      </c>
      <c r="B1122">
        <v>119373</v>
      </c>
      <c r="C1122" t="s">
        <v>74</v>
      </c>
      <c r="D1122" t="s">
        <v>1213</v>
      </c>
      <c r="E1122" s="2">
        <v>54.99</v>
      </c>
    </row>
    <row r="1123" spans="1:5" x14ac:dyDescent="0.25">
      <c r="A1123" s="1">
        <v>43398</v>
      </c>
      <c r="B1123">
        <v>119373</v>
      </c>
      <c r="C1123" t="s">
        <v>74</v>
      </c>
      <c r="D1123" t="s">
        <v>1214</v>
      </c>
      <c r="E1123" s="2">
        <v>34.99</v>
      </c>
    </row>
    <row r="1124" spans="1:5" x14ac:dyDescent="0.25">
      <c r="A1124" s="1">
        <v>43398</v>
      </c>
      <c r="B1124">
        <v>119373</v>
      </c>
      <c r="C1124" t="s">
        <v>74</v>
      </c>
      <c r="D1124" t="s">
        <v>722</v>
      </c>
      <c r="E1124" s="2">
        <v>48.92</v>
      </c>
    </row>
    <row r="1125" spans="1:5" x14ac:dyDescent="0.25">
      <c r="A1125" s="1">
        <v>43398</v>
      </c>
      <c r="B1125">
        <v>119373</v>
      </c>
      <c r="C1125" t="s">
        <v>74</v>
      </c>
      <c r="D1125" t="s">
        <v>1215</v>
      </c>
      <c r="E1125" s="2">
        <f>31.08+11.18</f>
        <v>42.26</v>
      </c>
    </row>
    <row r="1126" spans="1:5" x14ac:dyDescent="0.25">
      <c r="A1126" s="1">
        <v>43398</v>
      </c>
      <c r="B1126">
        <v>119373</v>
      </c>
      <c r="C1126" t="s">
        <v>74</v>
      </c>
      <c r="D1126" t="s">
        <v>230</v>
      </c>
      <c r="E1126" s="2">
        <v>1156</v>
      </c>
    </row>
    <row r="1127" spans="1:5" x14ac:dyDescent="0.25">
      <c r="A1127" s="1">
        <v>43398</v>
      </c>
      <c r="B1127">
        <v>119373</v>
      </c>
      <c r="C1127" t="s">
        <v>74</v>
      </c>
      <c r="D1127" t="s">
        <v>230</v>
      </c>
      <c r="E1127" s="2">
        <v>664.7</v>
      </c>
    </row>
    <row r="1128" spans="1:5" x14ac:dyDescent="0.25">
      <c r="A1128" s="1">
        <v>43398</v>
      </c>
      <c r="B1128">
        <v>119373</v>
      </c>
      <c r="C1128" t="s">
        <v>74</v>
      </c>
      <c r="D1128" t="s">
        <v>764</v>
      </c>
      <c r="E1128" s="3">
        <v>-47.99</v>
      </c>
    </row>
    <row r="1129" spans="1:5" x14ac:dyDescent="0.25">
      <c r="A1129" s="1">
        <v>43398</v>
      </c>
      <c r="B1129">
        <v>119373</v>
      </c>
      <c r="C1129" t="s">
        <v>74</v>
      </c>
      <c r="D1129" t="s">
        <v>228</v>
      </c>
      <c r="E1129" s="2">
        <v>332.15</v>
      </c>
    </row>
    <row r="1130" spans="1:5" x14ac:dyDescent="0.25">
      <c r="A1130" s="1">
        <v>43398</v>
      </c>
      <c r="B1130">
        <v>119373</v>
      </c>
      <c r="C1130" t="s">
        <v>74</v>
      </c>
      <c r="D1130" t="s">
        <v>1216</v>
      </c>
      <c r="E1130" s="2">
        <v>48.89</v>
      </c>
    </row>
    <row r="1131" spans="1:5" x14ac:dyDescent="0.25">
      <c r="A1131" s="1">
        <v>43398</v>
      </c>
      <c r="B1131">
        <v>119373</v>
      </c>
      <c r="C1131" t="s">
        <v>74</v>
      </c>
      <c r="D1131" t="s">
        <v>228</v>
      </c>
      <c r="E1131" s="2">
        <v>68.17</v>
      </c>
    </row>
    <row r="1132" spans="1:5" x14ac:dyDescent="0.25">
      <c r="A1132" s="1">
        <v>43398</v>
      </c>
      <c r="B1132">
        <v>119373</v>
      </c>
      <c r="C1132" t="s">
        <v>74</v>
      </c>
      <c r="D1132" t="s">
        <v>228</v>
      </c>
      <c r="E1132" s="2">
        <v>91.4</v>
      </c>
    </row>
    <row r="1133" spans="1:5" x14ac:dyDescent="0.25">
      <c r="A1133" s="1">
        <v>43398</v>
      </c>
      <c r="B1133">
        <v>119374</v>
      </c>
      <c r="C1133" t="s">
        <v>142</v>
      </c>
      <c r="D1133" t="s">
        <v>143</v>
      </c>
      <c r="E1133" s="2">
        <v>25.5</v>
      </c>
    </row>
    <row r="1134" spans="1:5" x14ac:dyDescent="0.25">
      <c r="A1134" s="1">
        <v>43398</v>
      </c>
      <c r="B1134">
        <v>119374</v>
      </c>
      <c r="C1134" t="s">
        <v>142</v>
      </c>
      <c r="D1134" t="s">
        <v>143</v>
      </c>
      <c r="E1134" s="2">
        <v>25.5</v>
      </c>
    </row>
    <row r="1135" spans="1:5" x14ac:dyDescent="0.25">
      <c r="A1135" s="1">
        <v>43398</v>
      </c>
      <c r="B1135">
        <v>119375</v>
      </c>
      <c r="C1135" t="s">
        <v>730</v>
      </c>
      <c r="D1135" t="s">
        <v>1217</v>
      </c>
      <c r="E1135" s="2">
        <v>166</v>
      </c>
    </row>
    <row r="1136" spans="1:5" x14ac:dyDescent="0.25">
      <c r="A1136" s="1">
        <v>43398</v>
      </c>
      <c r="B1136">
        <v>119376</v>
      </c>
      <c r="C1136" t="s">
        <v>873</v>
      </c>
      <c r="D1136" t="s">
        <v>717</v>
      </c>
      <c r="E1136" s="2">
        <v>2474.12</v>
      </c>
    </row>
    <row r="1137" spans="1:5" x14ac:dyDescent="0.25">
      <c r="A1137" s="1">
        <v>43398</v>
      </c>
      <c r="B1137">
        <v>119376</v>
      </c>
      <c r="C1137" t="s">
        <v>873</v>
      </c>
      <c r="D1137" t="s">
        <v>717</v>
      </c>
      <c r="E1137" s="2">
        <v>7053.7</v>
      </c>
    </row>
    <row r="1138" spans="1:5" x14ac:dyDescent="0.25">
      <c r="A1138" s="1">
        <v>43398</v>
      </c>
      <c r="B1138">
        <v>119378</v>
      </c>
      <c r="C1138" t="s">
        <v>146</v>
      </c>
      <c r="D1138" t="s">
        <v>464</v>
      </c>
      <c r="E1138" s="2">
        <f>545.03+236.15+76.4+128.29+167.9</f>
        <v>1153.77</v>
      </c>
    </row>
    <row r="1139" spans="1:5" x14ac:dyDescent="0.25">
      <c r="A1139" s="1">
        <v>43398</v>
      </c>
      <c r="B1139">
        <v>119379</v>
      </c>
      <c r="C1139" t="s">
        <v>1218</v>
      </c>
      <c r="D1139" t="s">
        <v>1219</v>
      </c>
      <c r="E1139" s="2">
        <v>13586.4</v>
      </c>
    </row>
    <row r="1140" spans="1:5" x14ac:dyDescent="0.25">
      <c r="A1140" s="1">
        <v>43398</v>
      </c>
      <c r="B1140">
        <v>119380</v>
      </c>
      <c r="C1140" t="s">
        <v>734</v>
      </c>
      <c r="D1140" t="s">
        <v>1220</v>
      </c>
      <c r="E1140" s="2">
        <v>444.82</v>
      </c>
    </row>
    <row r="1141" spans="1:5" x14ac:dyDescent="0.25">
      <c r="A1141" s="1">
        <v>43398</v>
      </c>
      <c r="B1141">
        <v>119381</v>
      </c>
      <c r="C1141" t="s">
        <v>75</v>
      </c>
      <c r="D1141" t="s">
        <v>1221</v>
      </c>
      <c r="E1141" s="2">
        <v>3.34</v>
      </c>
    </row>
    <row r="1142" spans="1:5" x14ac:dyDescent="0.25">
      <c r="A1142" s="1">
        <v>43398</v>
      </c>
      <c r="B1142">
        <v>119381</v>
      </c>
      <c r="C1142" t="s">
        <v>75</v>
      </c>
      <c r="D1142" t="s">
        <v>1222</v>
      </c>
      <c r="E1142" s="2">
        <f>14.17+24.46</f>
        <v>38.630000000000003</v>
      </c>
    </row>
    <row r="1143" spans="1:5" x14ac:dyDescent="0.25">
      <c r="A1143" s="1">
        <v>43398</v>
      </c>
      <c r="B1143">
        <v>119385</v>
      </c>
      <c r="C1143" t="s">
        <v>11</v>
      </c>
      <c r="D1143" t="s">
        <v>1223</v>
      </c>
      <c r="E1143" s="2">
        <v>51.27</v>
      </c>
    </row>
    <row r="1144" spans="1:5" x14ac:dyDescent="0.25">
      <c r="A1144" s="1">
        <v>43398</v>
      </c>
      <c r="B1144">
        <v>119385</v>
      </c>
      <c r="C1144" t="s">
        <v>11</v>
      </c>
      <c r="D1144" t="s">
        <v>1224</v>
      </c>
      <c r="E1144" s="2">
        <f>533.99+19.75+6.79+100.3</f>
        <v>660.82999999999993</v>
      </c>
    </row>
    <row r="1145" spans="1:5" x14ac:dyDescent="0.25">
      <c r="A1145" s="1">
        <v>43398</v>
      </c>
      <c r="B1145">
        <v>119385</v>
      </c>
      <c r="C1145" t="s">
        <v>11</v>
      </c>
      <c r="D1145" t="s">
        <v>1224</v>
      </c>
      <c r="E1145" s="2">
        <v>19.75</v>
      </c>
    </row>
    <row r="1146" spans="1:5" x14ac:dyDescent="0.25">
      <c r="A1146" s="1">
        <v>43398</v>
      </c>
      <c r="B1146">
        <v>119385</v>
      </c>
      <c r="C1146" t="s">
        <v>11</v>
      </c>
      <c r="D1146" t="s">
        <v>1224</v>
      </c>
      <c r="E1146" s="2">
        <v>6.79</v>
      </c>
    </row>
    <row r="1147" spans="1:5" x14ac:dyDescent="0.25">
      <c r="A1147" s="1">
        <v>43398</v>
      </c>
      <c r="B1147">
        <v>119385</v>
      </c>
      <c r="C1147" t="s">
        <v>11</v>
      </c>
      <c r="D1147" t="s">
        <v>1223</v>
      </c>
      <c r="E1147" s="2">
        <v>640.21</v>
      </c>
    </row>
    <row r="1148" spans="1:5" x14ac:dyDescent="0.25">
      <c r="A1148" s="1">
        <v>43398</v>
      </c>
      <c r="B1148">
        <v>119385</v>
      </c>
      <c r="C1148" t="s">
        <v>11</v>
      </c>
      <c r="D1148" t="s">
        <v>1225</v>
      </c>
      <c r="E1148" s="2">
        <f>83.55+11.99</f>
        <v>95.539999999999992</v>
      </c>
    </row>
    <row r="1149" spans="1:5" x14ac:dyDescent="0.25">
      <c r="A1149" s="1">
        <v>43398</v>
      </c>
      <c r="B1149">
        <v>119385</v>
      </c>
      <c r="C1149" t="s">
        <v>11</v>
      </c>
      <c r="D1149" t="s">
        <v>1016</v>
      </c>
      <c r="E1149" s="3">
        <v>-483.95</v>
      </c>
    </row>
    <row r="1150" spans="1:5" x14ac:dyDescent="0.25">
      <c r="A1150" s="1">
        <v>43398</v>
      </c>
      <c r="B1150">
        <v>119385</v>
      </c>
      <c r="C1150" t="s">
        <v>11</v>
      </c>
      <c r="D1150" t="s">
        <v>1223</v>
      </c>
      <c r="E1150" s="2">
        <v>297.79000000000002</v>
      </c>
    </row>
    <row r="1151" spans="1:5" x14ac:dyDescent="0.25">
      <c r="A1151" s="1">
        <v>43398</v>
      </c>
      <c r="B1151">
        <v>119385</v>
      </c>
      <c r="C1151" t="s">
        <v>11</v>
      </c>
      <c r="D1151" t="s">
        <v>1226</v>
      </c>
      <c r="E1151" s="2">
        <f>7.95+18.47+60.29</f>
        <v>86.71</v>
      </c>
    </row>
    <row r="1152" spans="1:5" x14ac:dyDescent="0.25">
      <c r="A1152" s="1">
        <v>43398</v>
      </c>
      <c r="B1152">
        <v>119385</v>
      </c>
      <c r="C1152" t="s">
        <v>11</v>
      </c>
      <c r="D1152" t="s">
        <v>667</v>
      </c>
      <c r="E1152" s="2">
        <v>93.59</v>
      </c>
    </row>
    <row r="1153" spans="1:5" x14ac:dyDescent="0.25">
      <c r="A1153" s="1">
        <v>43398</v>
      </c>
      <c r="B1153">
        <v>119385</v>
      </c>
      <c r="C1153" t="s">
        <v>11</v>
      </c>
      <c r="D1153" t="s">
        <v>667</v>
      </c>
      <c r="E1153" s="2">
        <v>235.7</v>
      </c>
    </row>
    <row r="1154" spans="1:5" x14ac:dyDescent="0.25">
      <c r="A1154" s="1">
        <v>43398</v>
      </c>
      <c r="B1154">
        <v>119385</v>
      </c>
      <c r="C1154" t="s">
        <v>11</v>
      </c>
      <c r="D1154" t="s">
        <v>428</v>
      </c>
      <c r="E1154" s="2">
        <v>7.19</v>
      </c>
    </row>
    <row r="1155" spans="1:5" x14ac:dyDescent="0.25">
      <c r="A1155" s="1">
        <v>43398</v>
      </c>
      <c r="B1155">
        <v>119386</v>
      </c>
      <c r="C1155" t="s">
        <v>12</v>
      </c>
      <c r="D1155" t="s">
        <v>1227</v>
      </c>
      <c r="E1155" s="2">
        <v>164.64</v>
      </c>
    </row>
    <row r="1156" spans="1:5" x14ac:dyDescent="0.25">
      <c r="A1156" s="1">
        <v>43398</v>
      </c>
      <c r="B1156">
        <v>119386</v>
      </c>
      <c r="C1156" t="s">
        <v>12</v>
      </c>
      <c r="D1156" t="s">
        <v>717</v>
      </c>
      <c r="E1156" s="2">
        <v>153.91</v>
      </c>
    </row>
    <row r="1157" spans="1:5" x14ac:dyDescent="0.25">
      <c r="A1157" s="1">
        <v>43398</v>
      </c>
      <c r="B1157">
        <v>119389</v>
      </c>
      <c r="C1157" t="s">
        <v>1228</v>
      </c>
      <c r="D1157" t="s">
        <v>1229</v>
      </c>
      <c r="E1157" s="2">
        <f>957.45+53.38+870+72+884.7+1069+1024.78</f>
        <v>4931.3099999999995</v>
      </c>
    </row>
    <row r="1158" spans="1:5" x14ac:dyDescent="0.25">
      <c r="A1158" s="1">
        <v>43398</v>
      </c>
      <c r="B1158">
        <v>119390</v>
      </c>
      <c r="C1158" t="s">
        <v>50</v>
      </c>
      <c r="D1158" t="s">
        <v>1230</v>
      </c>
      <c r="E1158" s="2">
        <v>4450</v>
      </c>
    </row>
    <row r="1159" spans="1:5" x14ac:dyDescent="0.25">
      <c r="A1159" s="1">
        <v>43398</v>
      </c>
      <c r="B1159">
        <v>119391</v>
      </c>
      <c r="C1159" t="s">
        <v>51</v>
      </c>
      <c r="D1159" t="s">
        <v>1231</v>
      </c>
      <c r="E1159" s="2">
        <v>32.85</v>
      </c>
    </row>
    <row r="1160" spans="1:5" x14ac:dyDescent="0.25">
      <c r="A1160" s="1">
        <v>43398</v>
      </c>
      <c r="B1160">
        <v>119391</v>
      </c>
      <c r="C1160" t="s">
        <v>51</v>
      </c>
      <c r="D1160" t="s">
        <v>1232</v>
      </c>
      <c r="E1160" s="2">
        <v>80.09</v>
      </c>
    </row>
    <row r="1161" spans="1:5" x14ac:dyDescent="0.25">
      <c r="A1161" s="1">
        <v>43398</v>
      </c>
      <c r="B1161">
        <v>119392</v>
      </c>
      <c r="C1161" t="s">
        <v>80</v>
      </c>
      <c r="D1161" t="s">
        <v>424</v>
      </c>
      <c r="E1161" s="2">
        <v>74.55</v>
      </c>
    </row>
    <row r="1162" spans="1:5" x14ac:dyDescent="0.25">
      <c r="A1162" s="1">
        <v>43398</v>
      </c>
      <c r="B1162">
        <v>119393</v>
      </c>
      <c r="C1162" t="s">
        <v>302</v>
      </c>
      <c r="D1162" t="s">
        <v>1233</v>
      </c>
      <c r="E1162" s="2">
        <v>295</v>
      </c>
    </row>
    <row r="1163" spans="1:5" x14ac:dyDescent="0.25">
      <c r="A1163" s="1">
        <v>43398</v>
      </c>
      <c r="B1163">
        <v>119393</v>
      </c>
      <c r="C1163" t="s">
        <v>302</v>
      </c>
      <c r="D1163" t="s">
        <v>1234</v>
      </c>
      <c r="E1163" s="2">
        <v>112</v>
      </c>
    </row>
    <row r="1164" spans="1:5" x14ac:dyDescent="0.25">
      <c r="A1164" s="1">
        <v>43398</v>
      </c>
      <c r="B1164">
        <v>119394</v>
      </c>
      <c r="C1164" t="s">
        <v>14</v>
      </c>
      <c r="D1164" t="s">
        <v>1235</v>
      </c>
      <c r="E1164" s="2">
        <v>144</v>
      </c>
    </row>
    <row r="1165" spans="1:5" x14ac:dyDescent="0.25">
      <c r="A1165" s="1">
        <v>43398</v>
      </c>
      <c r="B1165">
        <v>119394</v>
      </c>
      <c r="C1165" t="s">
        <v>14</v>
      </c>
      <c r="D1165" t="s">
        <v>15</v>
      </c>
      <c r="E1165" s="2">
        <v>439.78</v>
      </c>
    </row>
    <row r="1166" spans="1:5" x14ac:dyDescent="0.25">
      <c r="A1166" s="1">
        <v>43398</v>
      </c>
      <c r="B1166">
        <v>119394</v>
      </c>
      <c r="C1166" t="s">
        <v>14</v>
      </c>
      <c r="D1166" t="s">
        <v>1236</v>
      </c>
      <c r="E1166" s="2">
        <v>407.92</v>
      </c>
    </row>
    <row r="1167" spans="1:5" x14ac:dyDescent="0.25">
      <c r="A1167" s="1">
        <v>43398</v>
      </c>
      <c r="B1167">
        <v>119394</v>
      </c>
      <c r="C1167" t="s">
        <v>14</v>
      </c>
      <c r="D1167" t="s">
        <v>1237</v>
      </c>
      <c r="E1167" s="2">
        <v>124.3</v>
      </c>
    </row>
    <row r="1168" spans="1:5" x14ac:dyDescent="0.25">
      <c r="A1168" s="1">
        <v>43398</v>
      </c>
      <c r="B1168">
        <v>119395</v>
      </c>
      <c r="C1168" t="s">
        <v>81</v>
      </c>
      <c r="D1168" t="s">
        <v>270</v>
      </c>
      <c r="E1168" s="2">
        <v>729.36</v>
      </c>
    </row>
    <row r="1169" spans="1:5" x14ac:dyDescent="0.25">
      <c r="A1169" s="1">
        <v>43398</v>
      </c>
      <c r="B1169">
        <v>119396</v>
      </c>
      <c r="C1169" t="s">
        <v>382</v>
      </c>
      <c r="D1169" t="s">
        <v>759</v>
      </c>
      <c r="E1169" s="2">
        <f>51+14.2</f>
        <v>65.2</v>
      </c>
    </row>
    <row r="1170" spans="1:5" x14ac:dyDescent="0.25">
      <c r="A1170" s="1">
        <v>43398</v>
      </c>
      <c r="B1170">
        <v>119398</v>
      </c>
      <c r="C1170" t="s">
        <v>760</v>
      </c>
      <c r="D1170" t="s">
        <v>1238</v>
      </c>
      <c r="E1170" s="2">
        <f>100.62+67.08</f>
        <v>167.7</v>
      </c>
    </row>
    <row r="1171" spans="1:5" x14ac:dyDescent="0.25">
      <c r="A1171" s="1">
        <v>43398</v>
      </c>
      <c r="B1171">
        <v>119398</v>
      </c>
      <c r="C1171" t="s">
        <v>760</v>
      </c>
      <c r="D1171" t="s">
        <v>481</v>
      </c>
      <c r="E1171" s="2">
        <v>74.599999999999994</v>
      </c>
    </row>
    <row r="1172" spans="1:5" x14ac:dyDescent="0.25">
      <c r="A1172" s="1">
        <v>43398</v>
      </c>
      <c r="B1172">
        <v>119398</v>
      </c>
      <c r="C1172" t="s">
        <v>760</v>
      </c>
      <c r="D1172" t="s">
        <v>1239</v>
      </c>
      <c r="E1172" s="2">
        <v>722.53</v>
      </c>
    </row>
    <row r="1173" spans="1:5" x14ac:dyDescent="0.25">
      <c r="A1173" s="1">
        <v>43398</v>
      </c>
      <c r="B1173">
        <v>119398</v>
      </c>
      <c r="C1173" t="s">
        <v>760</v>
      </c>
      <c r="D1173" t="s">
        <v>1240</v>
      </c>
      <c r="E1173" s="2">
        <v>73.02</v>
      </c>
    </row>
    <row r="1174" spans="1:5" x14ac:dyDescent="0.25">
      <c r="A1174" s="1">
        <v>43398</v>
      </c>
      <c r="B1174">
        <v>119398</v>
      </c>
      <c r="C1174" t="s">
        <v>760</v>
      </c>
      <c r="D1174" t="s">
        <v>434</v>
      </c>
      <c r="E1174" s="2">
        <v>93.25</v>
      </c>
    </row>
    <row r="1175" spans="1:5" x14ac:dyDescent="0.25">
      <c r="A1175" s="1">
        <v>43398</v>
      </c>
      <c r="B1175">
        <v>119398</v>
      </c>
      <c r="C1175" t="s">
        <v>760</v>
      </c>
      <c r="D1175" t="s">
        <v>1241</v>
      </c>
      <c r="E1175" s="2">
        <v>51.98</v>
      </c>
    </row>
    <row r="1176" spans="1:5" x14ac:dyDescent="0.25">
      <c r="A1176" s="1">
        <v>43398</v>
      </c>
      <c r="B1176">
        <v>119398</v>
      </c>
      <c r="C1176" t="s">
        <v>760</v>
      </c>
      <c r="D1176" t="s">
        <v>1240</v>
      </c>
      <c r="E1176" s="2">
        <v>35.94</v>
      </c>
    </row>
    <row r="1177" spans="1:5" x14ac:dyDescent="0.25">
      <c r="A1177" s="1">
        <v>43398</v>
      </c>
      <c r="B1177">
        <v>119398</v>
      </c>
      <c r="C1177" t="s">
        <v>760</v>
      </c>
      <c r="D1177" t="s">
        <v>1242</v>
      </c>
      <c r="E1177" s="2">
        <v>50.74</v>
      </c>
    </row>
    <row r="1178" spans="1:5" x14ac:dyDescent="0.25">
      <c r="A1178" s="1">
        <v>43398</v>
      </c>
      <c r="B1178">
        <v>119399</v>
      </c>
      <c r="C1178" t="s">
        <v>1243</v>
      </c>
      <c r="D1178" t="s">
        <v>1244</v>
      </c>
      <c r="E1178" s="2">
        <v>44.63</v>
      </c>
    </row>
    <row r="1179" spans="1:5" x14ac:dyDescent="0.25">
      <c r="A1179" s="1">
        <v>43398</v>
      </c>
      <c r="B1179">
        <v>119400</v>
      </c>
      <c r="C1179" t="s">
        <v>158</v>
      </c>
      <c r="D1179" t="s">
        <v>1245</v>
      </c>
      <c r="E1179" s="2">
        <f>1978.5+51.54+310.26+488.8</f>
        <v>2829.1000000000004</v>
      </c>
    </row>
    <row r="1180" spans="1:5" x14ac:dyDescent="0.25">
      <c r="A1180" s="1">
        <v>43398</v>
      </c>
      <c r="B1180">
        <v>119401</v>
      </c>
      <c r="C1180" t="s">
        <v>765</v>
      </c>
      <c r="D1180" t="s">
        <v>1246</v>
      </c>
      <c r="E1180" s="2">
        <v>550.54</v>
      </c>
    </row>
    <row r="1181" spans="1:5" x14ac:dyDescent="0.25">
      <c r="A1181" s="1">
        <v>43398</v>
      </c>
      <c r="B1181">
        <v>119403</v>
      </c>
      <c r="C1181" t="s">
        <v>309</v>
      </c>
      <c r="D1181" t="s">
        <v>1247</v>
      </c>
      <c r="E1181" s="2">
        <f>592.5+3254.5+592.5</f>
        <v>4439.5</v>
      </c>
    </row>
    <row r="1182" spans="1:5" x14ac:dyDescent="0.25">
      <c r="A1182" s="1">
        <v>43398</v>
      </c>
      <c r="B1182">
        <v>119403</v>
      </c>
      <c r="C1182" t="s">
        <v>309</v>
      </c>
      <c r="D1182" t="s">
        <v>1248</v>
      </c>
      <c r="E1182" s="2">
        <f>1840+144.5</f>
        <v>1984.5</v>
      </c>
    </row>
    <row r="1183" spans="1:5" x14ac:dyDescent="0.25">
      <c r="A1183" s="1">
        <v>43398</v>
      </c>
      <c r="B1183">
        <v>119403</v>
      </c>
      <c r="C1183" t="s">
        <v>309</v>
      </c>
      <c r="D1183" t="s">
        <v>1249</v>
      </c>
      <c r="E1183" s="2">
        <f>3235.88+1138.3</f>
        <v>4374.18</v>
      </c>
    </row>
    <row r="1184" spans="1:5" x14ac:dyDescent="0.25">
      <c r="A1184" s="1">
        <v>43398</v>
      </c>
      <c r="B1184">
        <v>119404</v>
      </c>
      <c r="C1184" t="s">
        <v>161</v>
      </c>
      <c r="D1184" t="s">
        <v>1250</v>
      </c>
      <c r="E1184" s="2">
        <v>6021</v>
      </c>
    </row>
    <row r="1185" spans="1:5" x14ac:dyDescent="0.25">
      <c r="A1185" s="1">
        <v>43398</v>
      </c>
      <c r="B1185">
        <v>119405</v>
      </c>
      <c r="C1185" t="s">
        <v>1251</v>
      </c>
      <c r="D1185" t="s">
        <v>1252</v>
      </c>
      <c r="E1185" s="2">
        <v>562.55999999999995</v>
      </c>
    </row>
    <row r="1186" spans="1:5" x14ac:dyDescent="0.25">
      <c r="A1186" s="1">
        <v>43398</v>
      </c>
      <c r="B1186">
        <v>119406</v>
      </c>
      <c r="C1186" t="s">
        <v>55</v>
      </c>
      <c r="D1186" t="s">
        <v>773</v>
      </c>
      <c r="E1186" s="2">
        <v>390</v>
      </c>
    </row>
    <row r="1187" spans="1:5" x14ac:dyDescent="0.25">
      <c r="A1187" s="1">
        <v>43398</v>
      </c>
      <c r="B1187">
        <v>119407</v>
      </c>
      <c r="C1187" t="s">
        <v>341</v>
      </c>
      <c r="D1187" t="s">
        <v>773</v>
      </c>
      <c r="E1187" s="2">
        <v>145</v>
      </c>
    </row>
    <row r="1188" spans="1:5" x14ac:dyDescent="0.25">
      <c r="A1188" s="1">
        <v>43398</v>
      </c>
      <c r="B1188">
        <v>119408</v>
      </c>
      <c r="C1188" t="s">
        <v>1253</v>
      </c>
      <c r="D1188" t="s">
        <v>1254</v>
      </c>
      <c r="E1188" s="2">
        <v>100</v>
      </c>
    </row>
    <row r="1189" spans="1:5" x14ac:dyDescent="0.25">
      <c r="A1189" s="1">
        <v>43398</v>
      </c>
      <c r="B1189">
        <v>119408</v>
      </c>
      <c r="C1189" t="s">
        <v>1253</v>
      </c>
      <c r="D1189" t="s">
        <v>773</v>
      </c>
      <c r="E1189" s="2">
        <v>250</v>
      </c>
    </row>
    <row r="1190" spans="1:5" x14ac:dyDescent="0.25">
      <c r="A1190" s="1">
        <v>43398</v>
      </c>
      <c r="B1190">
        <v>119413</v>
      </c>
      <c r="C1190" t="s">
        <v>1255</v>
      </c>
      <c r="D1190" t="s">
        <v>773</v>
      </c>
      <c r="E1190" s="2">
        <f>289*17</f>
        <v>4913</v>
      </c>
    </row>
    <row r="1191" spans="1:5" x14ac:dyDescent="0.25">
      <c r="A1191" s="1">
        <v>43398</v>
      </c>
      <c r="B1191">
        <v>119414</v>
      </c>
      <c r="C1191" t="s">
        <v>1256</v>
      </c>
      <c r="D1191" t="s">
        <v>1257</v>
      </c>
      <c r="E1191" s="2">
        <v>60</v>
      </c>
    </row>
    <row r="1192" spans="1:5" x14ac:dyDescent="0.25">
      <c r="A1192" s="1">
        <v>43398</v>
      </c>
      <c r="B1192">
        <v>119415</v>
      </c>
      <c r="C1192" t="s">
        <v>169</v>
      </c>
      <c r="D1192" t="s">
        <v>1258</v>
      </c>
      <c r="E1192" s="2">
        <v>10243.44</v>
      </c>
    </row>
    <row r="1193" spans="1:5" x14ac:dyDescent="0.25">
      <c r="A1193" s="1">
        <v>43398</v>
      </c>
      <c r="B1193">
        <v>119416</v>
      </c>
      <c r="C1193" t="s">
        <v>893</v>
      </c>
      <c r="D1193" t="s">
        <v>1259</v>
      </c>
      <c r="E1193" s="2">
        <v>50</v>
      </c>
    </row>
    <row r="1194" spans="1:5" x14ac:dyDescent="0.25">
      <c r="A1194" s="1">
        <v>43398</v>
      </c>
      <c r="B1194">
        <v>119416</v>
      </c>
      <c r="C1194" t="s">
        <v>893</v>
      </c>
      <c r="D1194" t="s">
        <v>1260</v>
      </c>
      <c r="E1194" s="2">
        <v>50</v>
      </c>
    </row>
    <row r="1195" spans="1:5" x14ac:dyDescent="0.25">
      <c r="A1195" s="1">
        <v>43398</v>
      </c>
      <c r="B1195">
        <v>119417</v>
      </c>
      <c r="C1195" t="s">
        <v>1261</v>
      </c>
      <c r="D1195" t="s">
        <v>1262</v>
      </c>
      <c r="E1195" s="2">
        <v>8000</v>
      </c>
    </row>
    <row r="1196" spans="1:5" x14ac:dyDescent="0.25">
      <c r="A1196" s="1">
        <v>43398</v>
      </c>
      <c r="B1196">
        <v>119418</v>
      </c>
      <c r="C1196" t="s">
        <v>88</v>
      </c>
      <c r="D1196" t="s">
        <v>1263</v>
      </c>
      <c r="E1196" s="2">
        <v>285</v>
      </c>
    </row>
    <row r="1197" spans="1:5" x14ac:dyDescent="0.25">
      <c r="A1197" s="1">
        <v>43398</v>
      </c>
      <c r="B1197">
        <v>119419</v>
      </c>
      <c r="C1197" t="s">
        <v>1264</v>
      </c>
      <c r="D1197" t="s">
        <v>481</v>
      </c>
      <c r="E1197" s="2">
        <v>3955</v>
      </c>
    </row>
    <row r="1198" spans="1:5" x14ac:dyDescent="0.25">
      <c r="A1198" s="1">
        <v>43398</v>
      </c>
      <c r="B1198">
        <v>119420</v>
      </c>
      <c r="C1198" t="s">
        <v>1265</v>
      </c>
      <c r="D1198" t="s">
        <v>1266</v>
      </c>
      <c r="E1198" s="2">
        <v>400</v>
      </c>
    </row>
    <row r="1199" spans="1:5" x14ac:dyDescent="0.25">
      <c r="A1199" s="1">
        <v>43398</v>
      </c>
      <c r="B1199">
        <v>119421</v>
      </c>
      <c r="C1199" t="s">
        <v>896</v>
      </c>
      <c r="D1199" t="s">
        <v>1267</v>
      </c>
      <c r="E1199" s="2">
        <v>650</v>
      </c>
    </row>
    <row r="1200" spans="1:5" x14ac:dyDescent="0.25">
      <c r="A1200" s="1">
        <v>43398</v>
      </c>
      <c r="B1200">
        <v>119422</v>
      </c>
      <c r="C1200" t="s">
        <v>1268</v>
      </c>
      <c r="D1200" t="s">
        <v>773</v>
      </c>
      <c r="E1200" s="2">
        <v>1300</v>
      </c>
    </row>
    <row r="1201" spans="1:5" x14ac:dyDescent="0.25">
      <c r="A1201" s="1">
        <v>43398</v>
      </c>
      <c r="B1201">
        <v>119423</v>
      </c>
      <c r="C1201" t="s">
        <v>1051</v>
      </c>
      <c r="D1201" t="s">
        <v>468</v>
      </c>
      <c r="E1201" s="2">
        <v>70</v>
      </c>
    </row>
    <row r="1202" spans="1:5" x14ac:dyDescent="0.25">
      <c r="A1202" s="1">
        <v>43398</v>
      </c>
      <c r="B1202">
        <v>119424</v>
      </c>
      <c r="C1202" t="s">
        <v>172</v>
      </c>
      <c r="D1202" t="s">
        <v>1269</v>
      </c>
      <c r="E1202" s="2">
        <v>60</v>
      </c>
    </row>
    <row r="1203" spans="1:5" x14ac:dyDescent="0.25">
      <c r="A1203" s="1">
        <v>43398</v>
      </c>
      <c r="B1203">
        <v>119425</v>
      </c>
      <c r="C1203" t="s">
        <v>1270</v>
      </c>
      <c r="D1203" t="s">
        <v>234</v>
      </c>
      <c r="E1203" s="2">
        <f>313.64+1133.56</f>
        <v>1447.1999999999998</v>
      </c>
    </row>
    <row r="1204" spans="1:5" x14ac:dyDescent="0.25">
      <c r="A1204" s="1">
        <v>43398</v>
      </c>
      <c r="B1204">
        <v>119426</v>
      </c>
      <c r="C1204" t="s">
        <v>1271</v>
      </c>
      <c r="D1204" t="s">
        <v>1272</v>
      </c>
      <c r="E1204" s="2">
        <v>500</v>
      </c>
    </row>
    <row r="1205" spans="1:5" x14ac:dyDescent="0.25">
      <c r="A1205" s="1">
        <v>43398</v>
      </c>
      <c r="B1205">
        <v>119427</v>
      </c>
      <c r="C1205" t="s">
        <v>1273</v>
      </c>
      <c r="D1205" t="s">
        <v>1274</v>
      </c>
      <c r="E1205" s="2">
        <v>1817.19</v>
      </c>
    </row>
    <row r="1206" spans="1:5" x14ac:dyDescent="0.25">
      <c r="A1206" s="1">
        <v>43398</v>
      </c>
      <c r="B1206">
        <v>119428</v>
      </c>
      <c r="C1206" t="s">
        <v>1275</v>
      </c>
      <c r="D1206" t="s">
        <v>1276</v>
      </c>
      <c r="E1206" s="2">
        <v>14000</v>
      </c>
    </row>
    <row r="1207" spans="1:5" x14ac:dyDescent="0.25">
      <c r="A1207" s="1">
        <v>43398</v>
      </c>
      <c r="B1207">
        <v>119429</v>
      </c>
      <c r="C1207" t="s">
        <v>780</v>
      </c>
      <c r="D1207" t="s">
        <v>1277</v>
      </c>
      <c r="E1207" s="2">
        <v>179.1</v>
      </c>
    </row>
    <row r="1208" spans="1:5" x14ac:dyDescent="0.25">
      <c r="A1208" s="1">
        <v>43398</v>
      </c>
      <c r="B1208">
        <v>119430</v>
      </c>
      <c r="C1208" t="s">
        <v>184</v>
      </c>
      <c r="D1208" t="s">
        <v>1278</v>
      </c>
      <c r="E1208" s="2">
        <v>1105.98</v>
      </c>
    </row>
    <row r="1209" spans="1:5" x14ac:dyDescent="0.25">
      <c r="A1209" s="1">
        <v>43398</v>
      </c>
      <c r="B1209">
        <v>119431</v>
      </c>
      <c r="C1209" t="s">
        <v>61</v>
      </c>
      <c r="D1209" t="s">
        <v>412</v>
      </c>
      <c r="E1209" s="2">
        <v>5000</v>
      </c>
    </row>
    <row r="1210" spans="1:5" x14ac:dyDescent="0.25">
      <c r="A1210" s="1">
        <v>43398</v>
      </c>
      <c r="B1210">
        <v>119432</v>
      </c>
      <c r="C1210" t="s">
        <v>1279</v>
      </c>
      <c r="D1210" t="s">
        <v>1280</v>
      </c>
      <c r="E1210" s="2">
        <v>86.1</v>
      </c>
    </row>
    <row r="1211" spans="1:5" x14ac:dyDescent="0.25">
      <c r="A1211" s="1">
        <v>43398</v>
      </c>
      <c r="B1211">
        <v>119434</v>
      </c>
      <c r="C1211" t="s">
        <v>1281</v>
      </c>
      <c r="D1211" t="s">
        <v>1282</v>
      </c>
      <c r="E1211" s="2">
        <v>346.32</v>
      </c>
    </row>
    <row r="1212" spans="1:5" x14ac:dyDescent="0.25">
      <c r="A1212" s="1">
        <v>43398</v>
      </c>
      <c r="B1212">
        <v>119434</v>
      </c>
      <c r="C1212" t="s">
        <v>1281</v>
      </c>
      <c r="D1212" t="s">
        <v>1283</v>
      </c>
      <c r="E1212" s="2">
        <v>581.51</v>
      </c>
    </row>
    <row r="1213" spans="1:5" x14ac:dyDescent="0.25">
      <c r="A1213" s="1">
        <v>43398</v>
      </c>
      <c r="B1213">
        <v>119434</v>
      </c>
      <c r="C1213" t="s">
        <v>1281</v>
      </c>
      <c r="D1213" t="s">
        <v>1284</v>
      </c>
      <c r="E1213" s="2">
        <v>765.25</v>
      </c>
    </row>
    <row r="1214" spans="1:5" x14ac:dyDescent="0.25">
      <c r="A1214" s="1">
        <v>43398</v>
      </c>
      <c r="B1214">
        <v>119434</v>
      </c>
      <c r="C1214" t="s">
        <v>1281</v>
      </c>
      <c r="D1214" t="s">
        <v>1285</v>
      </c>
      <c r="E1214" s="2">
        <v>321.42</v>
      </c>
    </row>
    <row r="1215" spans="1:5" x14ac:dyDescent="0.25">
      <c r="A1215" s="1">
        <v>43398</v>
      </c>
      <c r="B1215">
        <v>119434</v>
      </c>
      <c r="C1215" t="s">
        <v>1281</v>
      </c>
      <c r="D1215" t="s">
        <v>1286</v>
      </c>
      <c r="E1215" s="2">
        <v>238.09</v>
      </c>
    </row>
    <row r="1216" spans="1:5" x14ac:dyDescent="0.25">
      <c r="A1216" s="1">
        <v>43398</v>
      </c>
      <c r="B1216">
        <v>119434</v>
      </c>
      <c r="C1216" t="s">
        <v>1281</v>
      </c>
      <c r="D1216" t="s">
        <v>1287</v>
      </c>
      <c r="E1216" s="2">
        <v>297.73</v>
      </c>
    </row>
    <row r="1217" spans="1:5" x14ac:dyDescent="0.25">
      <c r="A1217" s="1">
        <v>43398</v>
      </c>
      <c r="B1217">
        <v>119434</v>
      </c>
      <c r="C1217" t="s">
        <v>1281</v>
      </c>
      <c r="D1217" t="s">
        <v>1288</v>
      </c>
      <c r="E1217" s="2">
        <v>137.59</v>
      </c>
    </row>
    <row r="1218" spans="1:5" x14ac:dyDescent="0.25">
      <c r="A1218" s="1">
        <v>43398</v>
      </c>
      <c r="B1218">
        <v>119434</v>
      </c>
      <c r="C1218" t="s">
        <v>1281</v>
      </c>
      <c r="D1218" t="s">
        <v>1289</v>
      </c>
      <c r="E1218" s="2">
        <v>386.67</v>
      </c>
    </row>
    <row r="1219" spans="1:5" x14ac:dyDescent="0.25">
      <c r="A1219" s="1">
        <v>43398</v>
      </c>
      <c r="B1219">
        <v>119435</v>
      </c>
      <c r="C1219" t="s">
        <v>1290</v>
      </c>
      <c r="D1219" t="s">
        <v>464</v>
      </c>
      <c r="E1219" s="2">
        <f>260+416+444</f>
        <v>1120</v>
      </c>
    </row>
    <row r="1220" spans="1:5" x14ac:dyDescent="0.25">
      <c r="A1220" s="1">
        <v>43398</v>
      </c>
      <c r="B1220">
        <v>119436</v>
      </c>
      <c r="C1220" t="s">
        <v>19</v>
      </c>
      <c r="D1220" t="s">
        <v>1291</v>
      </c>
      <c r="E1220" s="2">
        <v>225</v>
      </c>
    </row>
    <row r="1221" spans="1:5" x14ac:dyDescent="0.25">
      <c r="A1221" s="1">
        <v>43398</v>
      </c>
      <c r="B1221">
        <v>119436</v>
      </c>
      <c r="C1221" t="s">
        <v>19</v>
      </c>
      <c r="D1221" t="s">
        <v>1292</v>
      </c>
      <c r="E1221" s="2">
        <v>360</v>
      </c>
    </row>
    <row r="1222" spans="1:5" x14ac:dyDescent="0.25">
      <c r="A1222" s="1">
        <v>43398</v>
      </c>
      <c r="B1222">
        <v>119437</v>
      </c>
      <c r="C1222" t="s">
        <v>1293</v>
      </c>
      <c r="D1222" t="s">
        <v>864</v>
      </c>
      <c r="E1222" s="2">
        <v>118.87</v>
      </c>
    </row>
    <row r="1223" spans="1:5" x14ac:dyDescent="0.25">
      <c r="A1223" s="1">
        <v>43398</v>
      </c>
      <c r="B1223">
        <v>181900060</v>
      </c>
      <c r="C1223" t="s">
        <v>398</v>
      </c>
      <c r="D1223" t="s">
        <v>785</v>
      </c>
      <c r="E1223" s="2">
        <f>1360.17+229.38</f>
        <v>1589.5500000000002</v>
      </c>
    </row>
    <row r="1224" spans="1:5" x14ac:dyDescent="0.25">
      <c r="A1224" s="1">
        <v>43398</v>
      </c>
      <c r="B1224">
        <v>181900061</v>
      </c>
      <c r="C1224" t="s">
        <v>1294</v>
      </c>
      <c r="D1224" t="s">
        <v>880</v>
      </c>
      <c r="E1224" s="2">
        <v>54.54</v>
      </c>
    </row>
    <row r="1225" spans="1:5" x14ac:dyDescent="0.25">
      <c r="A1225" s="1">
        <v>43398</v>
      </c>
      <c r="B1225">
        <v>181900062</v>
      </c>
      <c r="C1225" t="s">
        <v>1295</v>
      </c>
      <c r="D1225" t="s">
        <v>880</v>
      </c>
      <c r="E1225" s="2">
        <v>275</v>
      </c>
    </row>
    <row r="1226" spans="1:5" x14ac:dyDescent="0.25">
      <c r="A1226" s="1">
        <v>43398</v>
      </c>
      <c r="B1226">
        <v>181900063</v>
      </c>
      <c r="C1226" t="s">
        <v>1296</v>
      </c>
      <c r="D1226" t="s">
        <v>880</v>
      </c>
      <c r="E1226" s="2">
        <v>182</v>
      </c>
    </row>
    <row r="1227" spans="1:5" x14ac:dyDescent="0.25">
      <c r="A1227" s="1">
        <v>43398</v>
      </c>
      <c r="B1227">
        <v>181900064</v>
      </c>
      <c r="C1227" t="s">
        <v>1297</v>
      </c>
      <c r="D1227" t="s">
        <v>880</v>
      </c>
      <c r="E1227" s="2">
        <v>238.82</v>
      </c>
    </row>
    <row r="1228" spans="1:5" x14ac:dyDescent="0.25">
      <c r="A1228" s="1">
        <v>43398</v>
      </c>
      <c r="B1228">
        <v>181900065</v>
      </c>
      <c r="C1228" t="s">
        <v>1298</v>
      </c>
      <c r="D1228" t="s">
        <v>880</v>
      </c>
      <c r="E1228" s="2">
        <v>275.63</v>
      </c>
    </row>
    <row r="1229" spans="1:5" x14ac:dyDescent="0.25">
      <c r="A1229" s="1">
        <v>43404</v>
      </c>
      <c r="B1229">
        <v>119444</v>
      </c>
      <c r="C1229" t="s">
        <v>222</v>
      </c>
      <c r="D1229" t="s">
        <v>1299</v>
      </c>
      <c r="E1229" s="2">
        <v>33.08</v>
      </c>
    </row>
    <row r="1230" spans="1:5" x14ac:dyDescent="0.25">
      <c r="A1230" s="1">
        <v>43404</v>
      </c>
      <c r="B1230">
        <v>119444</v>
      </c>
      <c r="C1230" t="s">
        <v>222</v>
      </c>
      <c r="D1230" t="s">
        <v>1300</v>
      </c>
      <c r="E1230" s="2">
        <v>28.24</v>
      </c>
    </row>
    <row r="1231" spans="1:5" x14ac:dyDescent="0.25">
      <c r="A1231" s="1">
        <v>43404</v>
      </c>
      <c r="B1231">
        <v>119444</v>
      </c>
      <c r="C1231" t="s">
        <v>222</v>
      </c>
      <c r="D1231" t="s">
        <v>1201</v>
      </c>
      <c r="E1231" s="2">
        <v>32.58</v>
      </c>
    </row>
    <row r="1232" spans="1:5" x14ac:dyDescent="0.25">
      <c r="A1232" s="1">
        <v>43404</v>
      </c>
      <c r="B1232">
        <v>119444</v>
      </c>
      <c r="C1232" t="s">
        <v>222</v>
      </c>
      <c r="D1232" t="s">
        <v>481</v>
      </c>
      <c r="E1232" s="2">
        <v>90.28</v>
      </c>
    </row>
    <row r="1233" spans="1:5" x14ac:dyDescent="0.25">
      <c r="A1233" s="1">
        <v>43404</v>
      </c>
      <c r="B1233">
        <v>119444</v>
      </c>
      <c r="C1233" t="s">
        <v>222</v>
      </c>
      <c r="D1233" t="s">
        <v>481</v>
      </c>
      <c r="E1233" s="2">
        <v>163.34</v>
      </c>
    </row>
    <row r="1234" spans="1:5" x14ac:dyDescent="0.25">
      <c r="A1234" s="1">
        <v>43404</v>
      </c>
      <c r="B1234">
        <v>119444</v>
      </c>
      <c r="C1234" t="s">
        <v>222</v>
      </c>
      <c r="D1234" t="s">
        <v>1301</v>
      </c>
      <c r="E1234" s="2">
        <v>344.87</v>
      </c>
    </row>
    <row r="1235" spans="1:5" x14ac:dyDescent="0.25">
      <c r="A1235" s="1">
        <v>43404</v>
      </c>
      <c r="B1235">
        <v>119444</v>
      </c>
      <c r="C1235" t="s">
        <v>222</v>
      </c>
      <c r="D1235" t="s">
        <v>1302</v>
      </c>
      <c r="E1235" s="2">
        <v>470.1</v>
      </c>
    </row>
    <row r="1236" spans="1:5" x14ac:dyDescent="0.25">
      <c r="A1236" s="1">
        <v>43404</v>
      </c>
      <c r="B1236">
        <v>119444</v>
      </c>
      <c r="C1236" t="s">
        <v>222</v>
      </c>
      <c r="D1236" t="s">
        <v>1303</v>
      </c>
      <c r="E1236" s="2">
        <v>112.41</v>
      </c>
    </row>
    <row r="1237" spans="1:5" x14ac:dyDescent="0.25">
      <c r="A1237" s="1">
        <v>43404</v>
      </c>
      <c r="B1237">
        <v>119444</v>
      </c>
      <c r="C1237" t="s">
        <v>222</v>
      </c>
      <c r="D1237" t="s">
        <v>1304</v>
      </c>
      <c r="E1237" s="2">
        <f>293.62+162.82+49.56</f>
        <v>506</v>
      </c>
    </row>
    <row r="1238" spans="1:5" x14ac:dyDescent="0.25">
      <c r="A1238" s="1">
        <v>43404</v>
      </c>
      <c r="B1238">
        <v>119444</v>
      </c>
      <c r="C1238" t="s">
        <v>222</v>
      </c>
      <c r="D1238" t="s">
        <v>1305</v>
      </c>
      <c r="E1238" s="2">
        <f>19.8+4.47+29.73+9.8</f>
        <v>63.8</v>
      </c>
    </row>
    <row r="1239" spans="1:5" x14ac:dyDescent="0.25">
      <c r="A1239" s="1">
        <v>43404</v>
      </c>
      <c r="B1239">
        <v>119444</v>
      </c>
      <c r="C1239" t="s">
        <v>222</v>
      </c>
      <c r="D1239" t="s">
        <v>1306</v>
      </c>
      <c r="E1239" s="2">
        <v>199.12</v>
      </c>
    </row>
    <row r="1240" spans="1:5" x14ac:dyDescent="0.25">
      <c r="A1240" s="1">
        <v>43404</v>
      </c>
      <c r="B1240">
        <v>119444</v>
      </c>
      <c r="C1240" t="s">
        <v>222</v>
      </c>
      <c r="D1240" t="s">
        <v>1307</v>
      </c>
      <c r="E1240" s="2">
        <v>80</v>
      </c>
    </row>
    <row r="1241" spans="1:5" x14ac:dyDescent="0.25">
      <c r="A1241" s="1">
        <v>43404</v>
      </c>
      <c r="B1241">
        <v>119444</v>
      </c>
      <c r="C1241" t="s">
        <v>222</v>
      </c>
      <c r="D1241" t="s">
        <v>1308</v>
      </c>
      <c r="E1241" s="2">
        <v>99.1</v>
      </c>
    </row>
    <row r="1242" spans="1:5" x14ac:dyDescent="0.25">
      <c r="A1242" s="1">
        <v>43404</v>
      </c>
      <c r="B1242">
        <v>119444</v>
      </c>
      <c r="C1242" t="s">
        <v>222</v>
      </c>
      <c r="D1242" t="s">
        <v>1309</v>
      </c>
      <c r="E1242" s="2">
        <f>87.51+70.46+85.39</f>
        <v>243.36</v>
      </c>
    </row>
    <row r="1243" spans="1:5" x14ac:dyDescent="0.25">
      <c r="A1243" s="1">
        <v>43404</v>
      </c>
      <c r="B1243">
        <v>119444</v>
      </c>
      <c r="C1243" t="s">
        <v>222</v>
      </c>
      <c r="D1243" t="s">
        <v>661</v>
      </c>
      <c r="E1243" s="2">
        <v>40.520000000000003</v>
      </c>
    </row>
    <row r="1244" spans="1:5" x14ac:dyDescent="0.25">
      <c r="A1244" s="1">
        <v>43404</v>
      </c>
      <c r="B1244">
        <v>119444</v>
      </c>
      <c r="C1244" t="s">
        <v>222</v>
      </c>
      <c r="D1244" t="s">
        <v>1310</v>
      </c>
      <c r="E1244" s="2">
        <v>103.6</v>
      </c>
    </row>
    <row r="1245" spans="1:5" x14ac:dyDescent="0.25">
      <c r="A1245" s="1">
        <v>43404</v>
      </c>
      <c r="B1245">
        <v>119444</v>
      </c>
      <c r="C1245" t="s">
        <v>222</v>
      </c>
      <c r="D1245" t="s">
        <v>1224</v>
      </c>
      <c r="E1245" s="2">
        <v>127.61</v>
      </c>
    </row>
    <row r="1246" spans="1:5" x14ac:dyDescent="0.25">
      <c r="A1246" s="1">
        <v>43404</v>
      </c>
      <c r="B1246">
        <v>119444</v>
      </c>
      <c r="C1246" t="s">
        <v>222</v>
      </c>
      <c r="D1246" t="s">
        <v>661</v>
      </c>
      <c r="E1246" s="2">
        <v>25.18</v>
      </c>
    </row>
    <row r="1247" spans="1:5" x14ac:dyDescent="0.25">
      <c r="A1247" s="1">
        <v>43404</v>
      </c>
      <c r="B1247">
        <v>119444</v>
      </c>
      <c r="C1247" t="s">
        <v>222</v>
      </c>
      <c r="D1247" t="s">
        <v>1311</v>
      </c>
      <c r="E1247" s="2">
        <f>7.92+56.73+19.45</f>
        <v>84.1</v>
      </c>
    </row>
    <row r="1248" spans="1:5" x14ac:dyDescent="0.25">
      <c r="A1248" s="1">
        <v>43404</v>
      </c>
      <c r="B1248">
        <v>119445</v>
      </c>
      <c r="C1248" t="s">
        <v>1312</v>
      </c>
      <c r="D1248" t="s">
        <v>1313</v>
      </c>
      <c r="E1248" s="2">
        <v>132</v>
      </c>
    </row>
    <row r="1249" spans="1:5" x14ac:dyDescent="0.25">
      <c r="A1249" s="1">
        <v>43404</v>
      </c>
      <c r="B1249">
        <v>119445</v>
      </c>
      <c r="C1249" t="s">
        <v>1312</v>
      </c>
      <c r="D1249" t="s">
        <v>1314</v>
      </c>
      <c r="E1249" s="2">
        <v>72.86</v>
      </c>
    </row>
    <row r="1250" spans="1:5" x14ac:dyDescent="0.25">
      <c r="A1250" s="1">
        <v>43404</v>
      </c>
      <c r="B1250">
        <v>119446</v>
      </c>
      <c r="C1250" t="s">
        <v>1315</v>
      </c>
      <c r="D1250" t="s">
        <v>1316</v>
      </c>
      <c r="E1250" s="2">
        <v>3095.5</v>
      </c>
    </row>
    <row r="1251" spans="1:5" x14ac:dyDescent="0.25">
      <c r="A1251" s="1">
        <v>43404</v>
      </c>
      <c r="B1251">
        <v>119447</v>
      </c>
      <c r="C1251" t="s">
        <v>67</v>
      </c>
      <c r="D1251" t="s">
        <v>1317</v>
      </c>
      <c r="E1251" s="2">
        <v>441</v>
      </c>
    </row>
    <row r="1252" spans="1:5" x14ac:dyDescent="0.25">
      <c r="A1252" s="1">
        <v>43404</v>
      </c>
      <c r="B1252">
        <v>119448</v>
      </c>
      <c r="C1252" t="s">
        <v>1318</v>
      </c>
      <c r="D1252" t="s">
        <v>1319</v>
      </c>
      <c r="E1252" s="2">
        <v>1890</v>
      </c>
    </row>
    <row r="1253" spans="1:5" x14ac:dyDescent="0.25">
      <c r="A1253" s="1">
        <v>43404</v>
      </c>
      <c r="B1253">
        <v>119449</v>
      </c>
      <c r="C1253" t="s">
        <v>7</v>
      </c>
      <c r="D1253" t="s">
        <v>1320</v>
      </c>
      <c r="E1253" s="2">
        <v>29</v>
      </c>
    </row>
    <row r="1254" spans="1:5" x14ac:dyDescent="0.25">
      <c r="A1254" s="1">
        <v>43404</v>
      </c>
      <c r="B1254">
        <v>119449</v>
      </c>
      <c r="C1254" t="s">
        <v>7</v>
      </c>
      <c r="D1254" t="s">
        <v>1321</v>
      </c>
      <c r="E1254" s="2">
        <v>40</v>
      </c>
    </row>
    <row r="1255" spans="1:5" x14ac:dyDescent="0.25">
      <c r="A1255" s="1">
        <v>43404</v>
      </c>
      <c r="B1255">
        <v>119449</v>
      </c>
      <c r="C1255" t="s">
        <v>7</v>
      </c>
      <c r="D1255" t="s">
        <v>1322</v>
      </c>
      <c r="E1255" s="2">
        <v>50</v>
      </c>
    </row>
    <row r="1256" spans="1:5" x14ac:dyDescent="0.25">
      <c r="A1256" s="1">
        <v>43404</v>
      </c>
      <c r="B1256">
        <v>119450</v>
      </c>
      <c r="C1256" t="s">
        <v>31</v>
      </c>
      <c r="D1256" t="s">
        <v>1323</v>
      </c>
      <c r="E1256" s="2">
        <v>198.36</v>
      </c>
    </row>
    <row r="1257" spans="1:5" x14ac:dyDescent="0.25">
      <c r="A1257" s="1">
        <v>43404</v>
      </c>
      <c r="B1257">
        <v>119451</v>
      </c>
      <c r="C1257" t="s">
        <v>1324</v>
      </c>
      <c r="D1257" t="s">
        <v>1325</v>
      </c>
      <c r="E1257" s="2">
        <v>388.8</v>
      </c>
    </row>
    <row r="1258" spans="1:5" x14ac:dyDescent="0.25">
      <c r="A1258" s="1">
        <v>43404</v>
      </c>
      <c r="B1258">
        <v>119452</v>
      </c>
      <c r="C1258" t="s">
        <v>1326</v>
      </c>
      <c r="D1258" t="s">
        <v>1327</v>
      </c>
      <c r="E1258" s="2">
        <v>861</v>
      </c>
    </row>
    <row r="1259" spans="1:5" x14ac:dyDescent="0.25">
      <c r="A1259" s="1">
        <v>43404</v>
      </c>
      <c r="B1259">
        <v>119453</v>
      </c>
      <c r="C1259" t="s">
        <v>1328</v>
      </c>
      <c r="D1259" t="s">
        <v>1329</v>
      </c>
      <c r="E1259" s="2">
        <v>196</v>
      </c>
    </row>
    <row r="1260" spans="1:5" x14ac:dyDescent="0.25">
      <c r="A1260" s="1">
        <v>43404</v>
      </c>
      <c r="B1260">
        <v>119454</v>
      </c>
      <c r="C1260" t="s">
        <v>1330</v>
      </c>
      <c r="D1260" t="s">
        <v>1331</v>
      </c>
      <c r="E1260" s="2">
        <v>768</v>
      </c>
    </row>
    <row r="1261" spans="1:5" x14ac:dyDescent="0.25">
      <c r="A1261" s="1">
        <v>43404</v>
      </c>
      <c r="B1261">
        <v>119455</v>
      </c>
      <c r="C1261" t="s">
        <v>1004</v>
      </c>
      <c r="D1261" t="s">
        <v>1332</v>
      </c>
      <c r="E1261" s="2">
        <v>250</v>
      </c>
    </row>
    <row r="1262" spans="1:5" x14ac:dyDescent="0.25">
      <c r="A1262" s="1">
        <v>43404</v>
      </c>
      <c r="B1262">
        <v>119456</v>
      </c>
      <c r="C1262" t="s">
        <v>1004</v>
      </c>
      <c r="D1262" t="s">
        <v>1333</v>
      </c>
      <c r="E1262" s="2">
        <v>250</v>
      </c>
    </row>
    <row r="1263" spans="1:5" x14ac:dyDescent="0.25">
      <c r="A1263" s="1">
        <v>43404</v>
      </c>
      <c r="B1263">
        <v>119457</v>
      </c>
      <c r="C1263" t="s">
        <v>199</v>
      </c>
      <c r="D1263" t="s">
        <v>1334</v>
      </c>
      <c r="E1263" s="2">
        <v>2625</v>
      </c>
    </row>
    <row r="1264" spans="1:5" x14ac:dyDescent="0.25">
      <c r="A1264" s="1">
        <v>43404</v>
      </c>
      <c r="B1264">
        <v>119458</v>
      </c>
      <c r="C1264" t="s">
        <v>72</v>
      </c>
      <c r="D1264" t="s">
        <v>1335</v>
      </c>
      <c r="E1264" s="2">
        <v>916.5</v>
      </c>
    </row>
    <row r="1265" spans="1:5" x14ac:dyDescent="0.25">
      <c r="A1265" s="1">
        <v>43404</v>
      </c>
      <c r="B1265">
        <v>119459</v>
      </c>
      <c r="C1265" t="s">
        <v>73</v>
      </c>
      <c r="D1265" t="s">
        <v>485</v>
      </c>
      <c r="E1265" s="2">
        <v>376.1</v>
      </c>
    </row>
    <row r="1266" spans="1:5" x14ac:dyDescent="0.25">
      <c r="A1266" s="1">
        <v>43404</v>
      </c>
      <c r="B1266">
        <v>119460</v>
      </c>
      <c r="C1266" t="s">
        <v>1336</v>
      </c>
      <c r="D1266" t="s">
        <v>1337</v>
      </c>
      <c r="E1266" s="2">
        <v>1050</v>
      </c>
    </row>
    <row r="1267" spans="1:5" x14ac:dyDescent="0.25">
      <c r="A1267" s="1">
        <v>43404</v>
      </c>
      <c r="B1267">
        <v>119461</v>
      </c>
      <c r="C1267" t="s">
        <v>1338</v>
      </c>
      <c r="D1267" t="s">
        <v>1339</v>
      </c>
      <c r="E1267" s="2">
        <v>2000</v>
      </c>
    </row>
    <row r="1268" spans="1:5" x14ac:dyDescent="0.25">
      <c r="A1268" s="1">
        <v>43404</v>
      </c>
      <c r="B1268">
        <v>119462</v>
      </c>
      <c r="C1268" t="s">
        <v>1340</v>
      </c>
      <c r="D1268" t="s">
        <v>270</v>
      </c>
      <c r="E1268" s="2">
        <v>1278.17</v>
      </c>
    </row>
    <row r="1269" spans="1:5" x14ac:dyDescent="0.25">
      <c r="A1269" s="1">
        <v>43404</v>
      </c>
      <c r="B1269">
        <v>119463</v>
      </c>
      <c r="C1269" t="s">
        <v>285</v>
      </c>
      <c r="D1269" t="s">
        <v>1341</v>
      </c>
      <c r="E1269" s="2">
        <v>195</v>
      </c>
    </row>
    <row r="1270" spans="1:5" x14ac:dyDescent="0.25">
      <c r="A1270" s="1">
        <v>43404</v>
      </c>
      <c r="B1270">
        <v>119464</v>
      </c>
      <c r="C1270" t="s">
        <v>1342</v>
      </c>
      <c r="D1270" t="s">
        <v>1343</v>
      </c>
      <c r="E1270" s="2">
        <v>3718.48</v>
      </c>
    </row>
    <row r="1271" spans="1:5" x14ac:dyDescent="0.25">
      <c r="A1271" s="1">
        <v>43404</v>
      </c>
      <c r="B1271">
        <v>119465</v>
      </c>
      <c r="C1271" t="s">
        <v>12</v>
      </c>
      <c r="D1271" t="s">
        <v>1344</v>
      </c>
      <c r="E1271" s="2">
        <v>55.34</v>
      </c>
    </row>
    <row r="1272" spans="1:5" x14ac:dyDescent="0.25">
      <c r="A1272" s="1">
        <v>43404</v>
      </c>
      <c r="B1272">
        <v>119466</v>
      </c>
      <c r="C1272" t="s">
        <v>1345</v>
      </c>
      <c r="D1272" t="s">
        <v>843</v>
      </c>
      <c r="E1272" s="2">
        <v>323.36</v>
      </c>
    </row>
    <row r="1273" spans="1:5" x14ac:dyDescent="0.25">
      <c r="A1273" s="1">
        <v>43404</v>
      </c>
      <c r="B1273">
        <v>119467</v>
      </c>
      <c r="C1273" t="s">
        <v>77</v>
      </c>
      <c r="D1273" t="s">
        <v>1346</v>
      </c>
      <c r="E1273" s="2">
        <v>150</v>
      </c>
    </row>
    <row r="1274" spans="1:5" x14ac:dyDescent="0.25">
      <c r="A1274" s="1">
        <v>43404</v>
      </c>
      <c r="B1274">
        <v>119468</v>
      </c>
      <c r="C1274" t="s">
        <v>597</v>
      </c>
      <c r="D1274" t="s">
        <v>598</v>
      </c>
      <c r="E1274" s="2">
        <v>0</v>
      </c>
    </row>
    <row r="1275" spans="1:5" x14ac:dyDescent="0.25">
      <c r="A1275" s="1">
        <v>43404</v>
      </c>
      <c r="B1275">
        <v>119469</v>
      </c>
      <c r="C1275" t="s">
        <v>80</v>
      </c>
      <c r="D1275" t="s">
        <v>1347</v>
      </c>
      <c r="E1275" s="2">
        <v>74.83</v>
      </c>
    </row>
    <row r="1276" spans="1:5" x14ac:dyDescent="0.25">
      <c r="A1276" s="1">
        <v>43404</v>
      </c>
      <c r="B1276">
        <v>119470</v>
      </c>
      <c r="C1276" t="s">
        <v>80</v>
      </c>
      <c r="D1276" t="s">
        <v>1348</v>
      </c>
      <c r="E1276" s="2">
        <v>146.79</v>
      </c>
    </row>
    <row r="1277" spans="1:5" x14ac:dyDescent="0.25">
      <c r="A1277" s="1">
        <v>43404</v>
      </c>
      <c r="B1277">
        <v>119474</v>
      </c>
      <c r="C1277" t="s">
        <v>631</v>
      </c>
      <c r="D1277" t="s">
        <v>1349</v>
      </c>
      <c r="E1277" s="2">
        <v>113.44</v>
      </c>
    </row>
    <row r="1278" spans="1:5" x14ac:dyDescent="0.25">
      <c r="A1278" s="1">
        <v>43404</v>
      </c>
      <c r="B1278">
        <v>119474</v>
      </c>
      <c r="C1278" t="s">
        <v>631</v>
      </c>
      <c r="D1278" t="s">
        <v>1350</v>
      </c>
      <c r="E1278" s="2">
        <v>53.36</v>
      </c>
    </row>
    <row r="1279" spans="1:5" x14ac:dyDescent="0.25">
      <c r="A1279" s="1">
        <v>43404</v>
      </c>
      <c r="B1279">
        <v>119474</v>
      </c>
      <c r="C1279" t="s">
        <v>631</v>
      </c>
      <c r="D1279" t="s">
        <v>481</v>
      </c>
      <c r="E1279" s="2">
        <v>206.51</v>
      </c>
    </row>
    <row r="1280" spans="1:5" x14ac:dyDescent="0.25">
      <c r="A1280" s="1">
        <v>43404</v>
      </c>
      <c r="B1280">
        <v>119474</v>
      </c>
      <c r="C1280" t="s">
        <v>631</v>
      </c>
      <c r="D1280" t="s">
        <v>1349</v>
      </c>
      <c r="E1280" s="2">
        <v>638.66999999999996</v>
      </c>
    </row>
    <row r="1281" spans="1:5" x14ac:dyDescent="0.25">
      <c r="A1281" s="1">
        <v>43404</v>
      </c>
      <c r="B1281">
        <v>119474</v>
      </c>
      <c r="C1281" t="s">
        <v>631</v>
      </c>
      <c r="D1281" t="s">
        <v>1351</v>
      </c>
      <c r="E1281" s="2">
        <v>165.32</v>
      </c>
    </row>
    <row r="1282" spans="1:5" x14ac:dyDescent="0.25">
      <c r="A1282" s="1">
        <v>43404</v>
      </c>
      <c r="B1282">
        <v>119474</v>
      </c>
      <c r="C1282" t="s">
        <v>631</v>
      </c>
      <c r="D1282" t="s">
        <v>485</v>
      </c>
      <c r="E1282" s="2">
        <v>170.36</v>
      </c>
    </row>
    <row r="1283" spans="1:5" x14ac:dyDescent="0.25">
      <c r="A1283" s="1">
        <v>43404</v>
      </c>
      <c r="B1283">
        <v>119474</v>
      </c>
      <c r="C1283" t="s">
        <v>631</v>
      </c>
      <c r="D1283" t="s">
        <v>1352</v>
      </c>
      <c r="E1283" s="2">
        <v>286.48</v>
      </c>
    </row>
    <row r="1284" spans="1:5" x14ac:dyDescent="0.25">
      <c r="A1284" s="1">
        <v>43404</v>
      </c>
      <c r="B1284">
        <v>119474</v>
      </c>
      <c r="C1284" t="s">
        <v>631</v>
      </c>
      <c r="D1284" t="s">
        <v>1353</v>
      </c>
      <c r="E1284" s="2">
        <v>237.07</v>
      </c>
    </row>
    <row r="1285" spans="1:5" x14ac:dyDescent="0.25">
      <c r="A1285" s="1">
        <v>43404</v>
      </c>
      <c r="B1285">
        <v>119474</v>
      </c>
      <c r="C1285" t="s">
        <v>631</v>
      </c>
      <c r="D1285" t="s">
        <v>1354</v>
      </c>
      <c r="E1285" s="2">
        <v>197.08</v>
      </c>
    </row>
    <row r="1286" spans="1:5" x14ac:dyDescent="0.25">
      <c r="A1286" s="1">
        <v>43404</v>
      </c>
      <c r="B1286">
        <v>119474</v>
      </c>
      <c r="C1286" t="s">
        <v>631</v>
      </c>
      <c r="D1286" t="s">
        <v>481</v>
      </c>
      <c r="E1286" s="2">
        <v>97.12</v>
      </c>
    </row>
    <row r="1287" spans="1:5" x14ac:dyDescent="0.25">
      <c r="A1287" s="1">
        <v>43404</v>
      </c>
      <c r="B1287">
        <v>119474</v>
      </c>
      <c r="C1287" t="s">
        <v>631</v>
      </c>
      <c r="D1287" t="s">
        <v>194</v>
      </c>
      <c r="E1287" s="2">
        <v>62.5</v>
      </c>
    </row>
    <row r="1288" spans="1:5" x14ac:dyDescent="0.25">
      <c r="A1288" s="1">
        <v>43404</v>
      </c>
      <c r="B1288">
        <v>119474</v>
      </c>
      <c r="C1288" t="s">
        <v>631</v>
      </c>
      <c r="D1288" t="s">
        <v>415</v>
      </c>
      <c r="E1288" s="2">
        <v>428.32</v>
      </c>
    </row>
    <row r="1289" spans="1:5" x14ac:dyDescent="0.25">
      <c r="A1289" s="1">
        <v>43404</v>
      </c>
      <c r="B1289">
        <v>119474</v>
      </c>
      <c r="C1289" t="s">
        <v>631</v>
      </c>
      <c r="D1289" t="s">
        <v>1355</v>
      </c>
      <c r="E1289" s="2">
        <v>40.29</v>
      </c>
    </row>
    <row r="1290" spans="1:5" x14ac:dyDescent="0.25">
      <c r="A1290" s="1">
        <v>43404</v>
      </c>
      <c r="B1290">
        <v>119474</v>
      </c>
      <c r="C1290" t="s">
        <v>631</v>
      </c>
      <c r="D1290" t="s">
        <v>194</v>
      </c>
      <c r="E1290" s="2">
        <v>116.35</v>
      </c>
    </row>
    <row r="1291" spans="1:5" x14ac:dyDescent="0.25">
      <c r="A1291" s="1">
        <v>43404</v>
      </c>
      <c r="B1291">
        <v>119474</v>
      </c>
      <c r="C1291" t="s">
        <v>631</v>
      </c>
      <c r="D1291" t="s">
        <v>1356</v>
      </c>
      <c r="E1291" s="2">
        <v>78.38</v>
      </c>
    </row>
    <row r="1292" spans="1:5" x14ac:dyDescent="0.25">
      <c r="A1292" s="1">
        <v>43404</v>
      </c>
      <c r="B1292">
        <v>119474</v>
      </c>
      <c r="C1292" t="s">
        <v>631</v>
      </c>
      <c r="D1292" t="s">
        <v>415</v>
      </c>
      <c r="E1292" s="2">
        <v>133.07</v>
      </c>
    </row>
    <row r="1293" spans="1:5" x14ac:dyDescent="0.25">
      <c r="A1293" s="1">
        <v>43404</v>
      </c>
      <c r="B1293">
        <v>119475</v>
      </c>
      <c r="C1293" t="s">
        <v>16</v>
      </c>
      <c r="D1293" t="s">
        <v>1357</v>
      </c>
      <c r="E1293" s="2">
        <v>4984.2700000000004</v>
      </c>
    </row>
    <row r="1294" spans="1:5" x14ac:dyDescent="0.25">
      <c r="A1294" s="1">
        <v>43404</v>
      </c>
      <c r="B1294">
        <v>119476</v>
      </c>
      <c r="C1294" t="s">
        <v>16</v>
      </c>
      <c r="D1294" t="s">
        <v>1357</v>
      </c>
      <c r="E1294" s="2">
        <v>3693.99</v>
      </c>
    </row>
    <row r="1295" spans="1:5" x14ac:dyDescent="0.25">
      <c r="A1295" s="1">
        <v>43404</v>
      </c>
      <c r="B1295">
        <v>119477</v>
      </c>
      <c r="C1295" t="s">
        <v>760</v>
      </c>
      <c r="D1295" t="s">
        <v>1358</v>
      </c>
      <c r="E1295" s="2">
        <v>199.94</v>
      </c>
    </row>
    <row r="1296" spans="1:5" x14ac:dyDescent="0.25">
      <c r="A1296" s="1">
        <v>43404</v>
      </c>
      <c r="B1296">
        <v>119478</v>
      </c>
      <c r="C1296" t="s">
        <v>1359</v>
      </c>
      <c r="D1296" t="s">
        <v>1360</v>
      </c>
      <c r="E1296" s="2">
        <v>365.99</v>
      </c>
    </row>
    <row r="1297" spans="1:6" x14ac:dyDescent="0.25">
      <c r="A1297" s="1">
        <v>43404</v>
      </c>
      <c r="B1297">
        <v>119478</v>
      </c>
      <c r="C1297" t="s">
        <v>1359</v>
      </c>
      <c r="D1297" t="s">
        <v>1361</v>
      </c>
      <c r="E1297" s="2">
        <v>2215</v>
      </c>
    </row>
    <row r="1298" spans="1:6" x14ac:dyDescent="0.25">
      <c r="A1298" s="1">
        <v>43404</v>
      </c>
      <c r="B1298">
        <v>119479</v>
      </c>
      <c r="C1298" t="s">
        <v>642</v>
      </c>
      <c r="D1298" t="s">
        <v>1362</v>
      </c>
      <c r="E1298" s="2">
        <v>660</v>
      </c>
    </row>
    <row r="1299" spans="1:6" x14ac:dyDescent="0.25">
      <c r="A1299" s="1">
        <v>43404</v>
      </c>
      <c r="B1299">
        <v>119480</v>
      </c>
      <c r="C1299" t="s">
        <v>1363</v>
      </c>
      <c r="D1299" t="s">
        <v>690</v>
      </c>
      <c r="E1299" s="2">
        <v>236</v>
      </c>
    </row>
    <row r="1300" spans="1:6" x14ac:dyDescent="0.25">
      <c r="A1300" s="1">
        <v>43404</v>
      </c>
      <c r="B1300">
        <v>119481</v>
      </c>
      <c r="C1300" t="s">
        <v>1364</v>
      </c>
      <c r="D1300" t="s">
        <v>1365</v>
      </c>
      <c r="E1300" s="2">
        <v>11780</v>
      </c>
    </row>
    <row r="1301" spans="1:6" x14ac:dyDescent="0.25">
      <c r="A1301" s="1">
        <v>43404</v>
      </c>
      <c r="B1301">
        <v>119482</v>
      </c>
      <c r="C1301" t="s">
        <v>90</v>
      </c>
      <c r="D1301" t="s">
        <v>1366</v>
      </c>
      <c r="E1301" s="2">
        <v>493</v>
      </c>
    </row>
    <row r="1302" spans="1:6" x14ac:dyDescent="0.25">
      <c r="A1302" s="1">
        <v>43404</v>
      </c>
      <c r="B1302">
        <v>119484</v>
      </c>
      <c r="C1302" t="s">
        <v>807</v>
      </c>
      <c r="D1302" t="s">
        <v>1367</v>
      </c>
      <c r="E1302" s="2">
        <f>8.5+784.4+588+73.5+36.75+44.4</f>
        <v>1535.5500000000002</v>
      </c>
    </row>
    <row r="1303" spans="1:6" x14ac:dyDescent="0.25">
      <c r="A1303" s="1">
        <v>43404</v>
      </c>
      <c r="B1303">
        <v>119485</v>
      </c>
      <c r="C1303" t="s">
        <v>92</v>
      </c>
      <c r="D1303" t="s">
        <v>1368</v>
      </c>
      <c r="E1303" s="2">
        <v>2250</v>
      </c>
    </row>
    <row r="1304" spans="1:6" x14ac:dyDescent="0.25">
      <c r="A1304" s="1">
        <v>43404</v>
      </c>
      <c r="B1304">
        <v>119486</v>
      </c>
      <c r="C1304" t="s">
        <v>1369</v>
      </c>
      <c r="D1304" t="s">
        <v>1370</v>
      </c>
      <c r="E1304" s="2">
        <v>1662</v>
      </c>
    </row>
    <row r="1305" spans="1:6" x14ac:dyDescent="0.25">
      <c r="A1305" s="1">
        <v>43404</v>
      </c>
      <c r="B1305">
        <v>119487</v>
      </c>
      <c r="C1305" t="s">
        <v>1371</v>
      </c>
      <c r="D1305" t="s">
        <v>1372</v>
      </c>
      <c r="E1305" s="2">
        <v>15</v>
      </c>
    </row>
    <row r="1306" spans="1:6" x14ac:dyDescent="0.25">
      <c r="F1306" s="9">
        <f>SUM(E485:E1305)</f>
        <v>1690769.370000002</v>
      </c>
    </row>
    <row r="1308" spans="1:6" x14ac:dyDescent="0.25">
      <c r="A1308" s="1">
        <v>43405</v>
      </c>
      <c r="B1308">
        <v>119502</v>
      </c>
      <c r="C1308" t="s">
        <v>189</v>
      </c>
      <c r="D1308" t="s">
        <v>229</v>
      </c>
      <c r="E1308" s="2">
        <f>1577.72+67.24</f>
        <v>1644.96</v>
      </c>
    </row>
    <row r="1309" spans="1:6" x14ac:dyDescent="0.25">
      <c r="A1309" s="1">
        <v>43405</v>
      </c>
      <c r="B1309">
        <v>119502</v>
      </c>
      <c r="C1309" t="s">
        <v>189</v>
      </c>
      <c r="D1309" t="s">
        <v>416</v>
      </c>
      <c r="E1309" s="3">
        <f>-67.24-60.8-8.27-75.96</f>
        <v>-212.26999999999998</v>
      </c>
    </row>
    <row r="1310" spans="1:6" x14ac:dyDescent="0.25">
      <c r="A1310" s="1">
        <v>43405</v>
      </c>
      <c r="B1310">
        <v>119502</v>
      </c>
      <c r="C1310" t="s">
        <v>189</v>
      </c>
      <c r="D1310" t="s">
        <v>1375</v>
      </c>
      <c r="E1310" s="2">
        <v>59.33</v>
      </c>
    </row>
    <row r="1311" spans="1:6" x14ac:dyDescent="0.25">
      <c r="A1311" s="1">
        <v>43405</v>
      </c>
      <c r="B1311">
        <v>119502</v>
      </c>
      <c r="C1311" t="s">
        <v>189</v>
      </c>
      <c r="D1311" t="s">
        <v>1376</v>
      </c>
      <c r="E1311" s="2">
        <v>108.78</v>
      </c>
    </row>
    <row r="1312" spans="1:6" x14ac:dyDescent="0.25">
      <c r="A1312" s="1">
        <v>43405</v>
      </c>
      <c r="B1312">
        <v>119502</v>
      </c>
      <c r="C1312" t="s">
        <v>189</v>
      </c>
      <c r="D1312" t="s">
        <v>428</v>
      </c>
      <c r="E1312" s="2">
        <v>138.97999999999999</v>
      </c>
    </row>
    <row r="1313" spans="1:5" x14ac:dyDescent="0.25">
      <c r="A1313" s="1">
        <v>43405</v>
      </c>
      <c r="B1313">
        <v>119502</v>
      </c>
      <c r="C1313" t="s">
        <v>189</v>
      </c>
      <c r="D1313" t="s">
        <v>443</v>
      </c>
      <c r="E1313" s="2">
        <v>143.30000000000001</v>
      </c>
    </row>
    <row r="1314" spans="1:5" x14ac:dyDescent="0.25">
      <c r="A1314" s="1">
        <v>43405</v>
      </c>
      <c r="B1314">
        <v>119502</v>
      </c>
      <c r="C1314" t="s">
        <v>189</v>
      </c>
      <c r="D1314" t="s">
        <v>1377</v>
      </c>
      <c r="E1314" s="2">
        <v>170.4</v>
      </c>
    </row>
    <row r="1315" spans="1:5" x14ac:dyDescent="0.25">
      <c r="A1315" s="1">
        <v>43405</v>
      </c>
      <c r="B1315">
        <v>119502</v>
      </c>
      <c r="C1315" t="s">
        <v>189</v>
      </c>
      <c r="D1315" t="s">
        <v>434</v>
      </c>
      <c r="E1315" s="2">
        <v>15.58</v>
      </c>
    </row>
    <row r="1316" spans="1:5" x14ac:dyDescent="0.25">
      <c r="A1316" s="1">
        <v>43405</v>
      </c>
      <c r="B1316">
        <v>119502</v>
      </c>
      <c r="C1316" t="s">
        <v>189</v>
      </c>
      <c r="D1316" t="s">
        <v>434</v>
      </c>
      <c r="E1316" s="2">
        <v>29.87</v>
      </c>
    </row>
    <row r="1317" spans="1:5" x14ac:dyDescent="0.25">
      <c r="A1317" s="1">
        <v>43405</v>
      </c>
      <c r="B1317">
        <v>119502</v>
      </c>
      <c r="C1317" t="s">
        <v>189</v>
      </c>
      <c r="D1317" t="s">
        <v>1378</v>
      </c>
      <c r="E1317" s="2">
        <v>23.87</v>
      </c>
    </row>
    <row r="1318" spans="1:5" x14ac:dyDescent="0.25">
      <c r="A1318" s="1">
        <v>43405</v>
      </c>
      <c r="B1318">
        <v>119502</v>
      </c>
      <c r="C1318" t="s">
        <v>189</v>
      </c>
      <c r="D1318" t="s">
        <v>1379</v>
      </c>
      <c r="E1318" s="2">
        <v>20.62</v>
      </c>
    </row>
    <row r="1319" spans="1:5" x14ac:dyDescent="0.25">
      <c r="A1319" s="1">
        <v>43405</v>
      </c>
      <c r="B1319">
        <v>119502</v>
      </c>
      <c r="C1319" t="s">
        <v>189</v>
      </c>
      <c r="D1319" t="s">
        <v>1380</v>
      </c>
      <c r="E1319" s="2">
        <v>13.98</v>
      </c>
    </row>
    <row r="1320" spans="1:5" x14ac:dyDescent="0.25">
      <c r="A1320" s="1">
        <v>43405</v>
      </c>
      <c r="B1320">
        <v>119502</v>
      </c>
      <c r="C1320" t="s">
        <v>189</v>
      </c>
      <c r="D1320" t="s">
        <v>1381</v>
      </c>
      <c r="E1320" s="2">
        <v>14.89</v>
      </c>
    </row>
    <row r="1321" spans="1:5" x14ac:dyDescent="0.25">
      <c r="A1321" s="1">
        <v>43405</v>
      </c>
      <c r="B1321">
        <v>119502</v>
      </c>
      <c r="C1321" t="s">
        <v>189</v>
      </c>
      <c r="D1321" t="s">
        <v>428</v>
      </c>
      <c r="E1321" s="2">
        <v>150.66999999999999</v>
      </c>
    </row>
    <row r="1322" spans="1:5" x14ac:dyDescent="0.25">
      <c r="A1322" s="1">
        <v>43405</v>
      </c>
      <c r="B1322">
        <v>119502</v>
      </c>
      <c r="C1322" t="s">
        <v>189</v>
      </c>
      <c r="D1322" t="s">
        <v>690</v>
      </c>
      <c r="E1322" s="2">
        <f>1057.98+465.79</f>
        <v>1523.77</v>
      </c>
    </row>
    <row r="1323" spans="1:5" x14ac:dyDescent="0.25">
      <c r="A1323" s="1">
        <v>43405</v>
      </c>
      <c r="B1323">
        <v>119502</v>
      </c>
      <c r="C1323" t="s">
        <v>189</v>
      </c>
      <c r="D1323" t="s">
        <v>1382</v>
      </c>
      <c r="E1323" s="2">
        <v>172.03</v>
      </c>
    </row>
    <row r="1324" spans="1:5" x14ac:dyDescent="0.25">
      <c r="A1324" s="1">
        <v>43405</v>
      </c>
      <c r="B1324">
        <v>119502</v>
      </c>
      <c r="C1324" t="s">
        <v>189</v>
      </c>
      <c r="D1324" t="s">
        <v>1383</v>
      </c>
      <c r="E1324" s="2">
        <v>184.99</v>
      </c>
    </row>
    <row r="1325" spans="1:5" x14ac:dyDescent="0.25">
      <c r="A1325" s="1">
        <v>43405</v>
      </c>
      <c r="B1325">
        <v>119502</v>
      </c>
      <c r="C1325" t="s">
        <v>189</v>
      </c>
      <c r="D1325" t="s">
        <v>1384</v>
      </c>
      <c r="E1325" s="2">
        <v>519.95000000000005</v>
      </c>
    </row>
    <row r="1326" spans="1:5" x14ac:dyDescent="0.25">
      <c r="A1326" s="1">
        <v>43405</v>
      </c>
      <c r="B1326">
        <v>119502</v>
      </c>
      <c r="C1326" t="s">
        <v>189</v>
      </c>
      <c r="D1326" t="s">
        <v>1385</v>
      </c>
      <c r="E1326" s="2">
        <f>25.77+399.95</f>
        <v>425.71999999999997</v>
      </c>
    </row>
    <row r="1327" spans="1:5" x14ac:dyDescent="0.25">
      <c r="A1327" s="1">
        <v>43405</v>
      </c>
      <c r="B1327">
        <v>119502</v>
      </c>
      <c r="C1327" t="s">
        <v>189</v>
      </c>
      <c r="D1327" t="s">
        <v>1386</v>
      </c>
      <c r="E1327" s="2">
        <v>76.930000000000007</v>
      </c>
    </row>
    <row r="1328" spans="1:5" x14ac:dyDescent="0.25">
      <c r="A1328" s="1">
        <v>43405</v>
      </c>
      <c r="B1328">
        <v>119502</v>
      </c>
      <c r="C1328" t="s">
        <v>189</v>
      </c>
      <c r="D1328" t="s">
        <v>1387</v>
      </c>
      <c r="E1328" s="2">
        <v>34.99</v>
      </c>
    </row>
    <row r="1329" spans="1:5" x14ac:dyDescent="0.25">
      <c r="A1329" s="1">
        <v>43405</v>
      </c>
      <c r="B1329">
        <v>119502</v>
      </c>
      <c r="C1329" t="s">
        <v>189</v>
      </c>
      <c r="D1329" t="s">
        <v>1388</v>
      </c>
      <c r="E1329" s="2">
        <v>74.069999999999993</v>
      </c>
    </row>
    <row r="1330" spans="1:5" x14ac:dyDescent="0.25">
      <c r="A1330" s="1">
        <v>43405</v>
      </c>
      <c r="B1330">
        <v>119502</v>
      </c>
      <c r="C1330" t="s">
        <v>189</v>
      </c>
      <c r="D1330" t="s">
        <v>1389</v>
      </c>
      <c r="E1330" s="2">
        <v>23.98</v>
      </c>
    </row>
    <row r="1331" spans="1:5" x14ac:dyDescent="0.25">
      <c r="A1331" s="1">
        <v>43405</v>
      </c>
      <c r="B1331">
        <v>119502</v>
      </c>
      <c r="C1331" t="s">
        <v>189</v>
      </c>
      <c r="D1331" t="s">
        <v>1390</v>
      </c>
      <c r="E1331" s="2">
        <v>193.86</v>
      </c>
    </row>
    <row r="1332" spans="1:5" x14ac:dyDescent="0.25">
      <c r="A1332" s="1">
        <v>43405</v>
      </c>
      <c r="B1332">
        <v>119502</v>
      </c>
      <c r="C1332" t="s">
        <v>189</v>
      </c>
      <c r="D1332" t="s">
        <v>1391</v>
      </c>
      <c r="E1332" s="2">
        <v>115.96</v>
      </c>
    </row>
    <row r="1333" spans="1:5" x14ac:dyDescent="0.25">
      <c r="A1333" s="1">
        <v>43405</v>
      </c>
      <c r="B1333">
        <v>119502</v>
      </c>
      <c r="C1333" t="s">
        <v>189</v>
      </c>
      <c r="D1333" t="s">
        <v>1392</v>
      </c>
      <c r="E1333" s="2">
        <v>219.2</v>
      </c>
    </row>
    <row r="1334" spans="1:5" x14ac:dyDescent="0.25">
      <c r="A1334" s="1">
        <v>43405</v>
      </c>
      <c r="B1334">
        <v>119502</v>
      </c>
      <c r="C1334" t="s">
        <v>189</v>
      </c>
      <c r="D1334" t="s">
        <v>1393</v>
      </c>
      <c r="E1334" s="2">
        <v>75.959999999999994</v>
      </c>
    </row>
    <row r="1335" spans="1:5" x14ac:dyDescent="0.25">
      <c r="A1335" s="1">
        <v>43405</v>
      </c>
      <c r="B1335">
        <v>119502</v>
      </c>
      <c r="C1335" t="s">
        <v>189</v>
      </c>
      <c r="D1335" t="s">
        <v>1394</v>
      </c>
      <c r="E1335" s="2">
        <v>34.93</v>
      </c>
    </row>
    <row r="1336" spans="1:5" x14ac:dyDescent="0.25">
      <c r="A1336" s="1">
        <v>43405</v>
      </c>
      <c r="B1336">
        <v>119502</v>
      </c>
      <c r="C1336" t="s">
        <v>189</v>
      </c>
      <c r="D1336" t="s">
        <v>1395</v>
      </c>
      <c r="E1336" s="2">
        <v>26.35</v>
      </c>
    </row>
    <row r="1337" spans="1:5" x14ac:dyDescent="0.25">
      <c r="A1337" s="1">
        <v>43405</v>
      </c>
      <c r="B1337">
        <v>119502</v>
      </c>
      <c r="C1337" t="s">
        <v>189</v>
      </c>
      <c r="D1337" t="s">
        <v>428</v>
      </c>
      <c r="E1337" s="2">
        <v>201.63</v>
      </c>
    </row>
    <row r="1338" spans="1:5" x14ac:dyDescent="0.25">
      <c r="A1338" s="1">
        <v>43405</v>
      </c>
      <c r="B1338">
        <v>119502</v>
      </c>
      <c r="C1338" t="s">
        <v>189</v>
      </c>
      <c r="D1338" t="s">
        <v>1396</v>
      </c>
      <c r="E1338" s="2">
        <v>287.33999999999997</v>
      </c>
    </row>
    <row r="1339" spans="1:5" x14ac:dyDescent="0.25">
      <c r="A1339" s="1">
        <v>43405</v>
      </c>
      <c r="B1339">
        <v>119502</v>
      </c>
      <c r="C1339" t="s">
        <v>189</v>
      </c>
      <c r="D1339" t="s">
        <v>1224</v>
      </c>
      <c r="E1339" s="2">
        <v>298.55</v>
      </c>
    </row>
    <row r="1340" spans="1:5" x14ac:dyDescent="0.25">
      <c r="A1340" s="1">
        <v>43405</v>
      </c>
      <c r="B1340">
        <v>119502</v>
      </c>
      <c r="C1340" t="s">
        <v>189</v>
      </c>
      <c r="D1340" t="s">
        <v>1397</v>
      </c>
      <c r="E1340" s="2">
        <v>44.99</v>
      </c>
    </row>
    <row r="1341" spans="1:5" x14ac:dyDescent="0.25">
      <c r="A1341" s="1">
        <v>43405</v>
      </c>
      <c r="B1341">
        <v>119502</v>
      </c>
      <c r="C1341" t="s">
        <v>189</v>
      </c>
      <c r="D1341" t="s">
        <v>1398</v>
      </c>
      <c r="E1341" s="2">
        <v>1358.19</v>
      </c>
    </row>
    <row r="1342" spans="1:5" x14ac:dyDescent="0.25">
      <c r="A1342" s="1">
        <v>43405</v>
      </c>
      <c r="B1342">
        <v>119502</v>
      </c>
      <c r="C1342" t="s">
        <v>189</v>
      </c>
      <c r="D1342" t="s">
        <v>1399</v>
      </c>
      <c r="E1342" s="2">
        <v>17.239999999999998</v>
      </c>
    </row>
    <row r="1343" spans="1:5" x14ac:dyDescent="0.25">
      <c r="A1343" s="1">
        <v>43405</v>
      </c>
      <c r="B1343">
        <v>119502</v>
      </c>
      <c r="C1343" t="s">
        <v>189</v>
      </c>
      <c r="D1343" t="s">
        <v>1400</v>
      </c>
      <c r="E1343" s="2">
        <f>35.95+11.71</f>
        <v>47.660000000000004</v>
      </c>
    </row>
    <row r="1344" spans="1:5" x14ac:dyDescent="0.25">
      <c r="A1344" s="1">
        <v>43405</v>
      </c>
      <c r="B1344">
        <v>119502</v>
      </c>
      <c r="C1344" t="s">
        <v>189</v>
      </c>
      <c r="D1344" t="s">
        <v>1401</v>
      </c>
      <c r="E1344" s="2">
        <v>49.04</v>
      </c>
    </row>
    <row r="1345" spans="1:5" x14ac:dyDescent="0.25">
      <c r="A1345" s="1">
        <v>43405</v>
      </c>
      <c r="B1345">
        <v>119502</v>
      </c>
      <c r="C1345" t="s">
        <v>189</v>
      </c>
      <c r="D1345" t="s">
        <v>1402</v>
      </c>
      <c r="E1345" s="2">
        <v>25.94</v>
      </c>
    </row>
    <row r="1346" spans="1:5" x14ac:dyDescent="0.25">
      <c r="A1346" s="1">
        <v>43405</v>
      </c>
      <c r="B1346">
        <v>119502</v>
      </c>
      <c r="C1346" t="s">
        <v>189</v>
      </c>
      <c r="D1346" t="s">
        <v>1403</v>
      </c>
      <c r="E1346" s="2">
        <f>23.95+80.65+78.63</f>
        <v>183.23000000000002</v>
      </c>
    </row>
    <row r="1347" spans="1:5" x14ac:dyDescent="0.25">
      <c r="A1347" s="1">
        <v>43405</v>
      </c>
      <c r="B1347">
        <v>119502</v>
      </c>
      <c r="C1347" t="s">
        <v>189</v>
      </c>
      <c r="D1347" t="s">
        <v>1404</v>
      </c>
      <c r="E1347" s="2">
        <v>22.18</v>
      </c>
    </row>
    <row r="1348" spans="1:5" x14ac:dyDescent="0.25">
      <c r="A1348" s="1">
        <v>43405</v>
      </c>
      <c r="B1348">
        <v>119502</v>
      </c>
      <c r="C1348" t="s">
        <v>189</v>
      </c>
      <c r="D1348" t="s">
        <v>1405</v>
      </c>
      <c r="E1348" s="2">
        <f>23.68+34.95+67.51+42.44</f>
        <v>168.58</v>
      </c>
    </row>
    <row r="1349" spans="1:5" x14ac:dyDescent="0.25">
      <c r="A1349" s="1">
        <v>43405</v>
      </c>
      <c r="B1349">
        <v>119502</v>
      </c>
      <c r="C1349" t="s">
        <v>189</v>
      </c>
      <c r="D1349" t="s">
        <v>1406</v>
      </c>
      <c r="E1349" s="2">
        <v>30.9</v>
      </c>
    </row>
    <row r="1350" spans="1:5" x14ac:dyDescent="0.25">
      <c r="A1350" s="1">
        <v>43405</v>
      </c>
      <c r="B1350">
        <v>119502</v>
      </c>
      <c r="C1350" t="s">
        <v>189</v>
      </c>
      <c r="D1350" t="s">
        <v>1407</v>
      </c>
      <c r="E1350" s="2">
        <f>1279+14+754.29</f>
        <v>2047.29</v>
      </c>
    </row>
    <row r="1351" spans="1:5" x14ac:dyDescent="0.25">
      <c r="A1351" s="1">
        <v>43405</v>
      </c>
      <c r="B1351">
        <v>119502</v>
      </c>
      <c r="C1351" t="s">
        <v>189</v>
      </c>
      <c r="D1351" t="s">
        <v>1408</v>
      </c>
      <c r="E1351" s="2">
        <f>14.94+230.47</f>
        <v>245.41</v>
      </c>
    </row>
    <row r="1352" spans="1:5" x14ac:dyDescent="0.25">
      <c r="A1352" s="1">
        <v>43405</v>
      </c>
      <c r="B1352">
        <v>119502</v>
      </c>
      <c r="C1352" t="s">
        <v>189</v>
      </c>
      <c r="D1352" t="s">
        <v>1409</v>
      </c>
      <c r="E1352" s="2">
        <f>350.98+35.98</f>
        <v>386.96000000000004</v>
      </c>
    </row>
    <row r="1353" spans="1:5" x14ac:dyDescent="0.25">
      <c r="A1353" s="1">
        <v>43405</v>
      </c>
      <c r="B1353">
        <v>119502</v>
      </c>
      <c r="C1353" t="s">
        <v>189</v>
      </c>
      <c r="D1353" t="s">
        <v>1410</v>
      </c>
      <c r="E1353" s="2">
        <v>153.83000000000001</v>
      </c>
    </row>
    <row r="1354" spans="1:5" x14ac:dyDescent="0.25">
      <c r="A1354" s="1">
        <v>43405</v>
      </c>
      <c r="B1354">
        <v>119502</v>
      </c>
      <c r="C1354" t="s">
        <v>189</v>
      </c>
      <c r="D1354" t="s">
        <v>1411</v>
      </c>
      <c r="E1354" s="2">
        <f>280.56+919.96+3437.99</f>
        <v>4638.51</v>
      </c>
    </row>
    <row r="1355" spans="1:5" x14ac:dyDescent="0.25">
      <c r="A1355" s="1">
        <v>43405</v>
      </c>
      <c r="B1355">
        <v>119502</v>
      </c>
      <c r="C1355" t="s">
        <v>189</v>
      </c>
      <c r="D1355" t="s">
        <v>1412</v>
      </c>
      <c r="E1355" s="2">
        <v>25.98</v>
      </c>
    </row>
    <row r="1356" spans="1:5" x14ac:dyDescent="0.25">
      <c r="A1356" s="1">
        <v>43405</v>
      </c>
      <c r="B1356">
        <v>119502</v>
      </c>
      <c r="C1356" t="s">
        <v>189</v>
      </c>
      <c r="D1356" t="s">
        <v>1413</v>
      </c>
      <c r="E1356" s="2">
        <v>99.95</v>
      </c>
    </row>
    <row r="1357" spans="1:5" x14ac:dyDescent="0.25">
      <c r="A1357" s="1">
        <v>43405</v>
      </c>
      <c r="B1357">
        <v>119502</v>
      </c>
      <c r="C1357" t="s">
        <v>189</v>
      </c>
      <c r="D1357" t="s">
        <v>1414</v>
      </c>
      <c r="E1357" s="2">
        <v>52.65</v>
      </c>
    </row>
    <row r="1358" spans="1:5" x14ac:dyDescent="0.25">
      <c r="A1358" s="1">
        <v>43405</v>
      </c>
      <c r="B1358">
        <v>119502</v>
      </c>
      <c r="C1358" t="s">
        <v>189</v>
      </c>
      <c r="D1358" t="s">
        <v>1415</v>
      </c>
      <c r="E1358" s="2">
        <v>15.94</v>
      </c>
    </row>
    <row r="1359" spans="1:5" x14ac:dyDescent="0.25">
      <c r="A1359" s="1">
        <v>43405</v>
      </c>
      <c r="B1359">
        <v>119502</v>
      </c>
      <c r="C1359" t="s">
        <v>189</v>
      </c>
      <c r="D1359" t="s">
        <v>1416</v>
      </c>
      <c r="E1359" s="2">
        <f>170.97+455.94+48.45</f>
        <v>675.36</v>
      </c>
    </row>
    <row r="1360" spans="1:5" x14ac:dyDescent="0.25">
      <c r="A1360" s="1">
        <v>43405</v>
      </c>
      <c r="B1360">
        <v>119502</v>
      </c>
      <c r="C1360" t="s">
        <v>189</v>
      </c>
      <c r="D1360" t="s">
        <v>1417</v>
      </c>
      <c r="E1360" s="2">
        <v>568.5</v>
      </c>
    </row>
    <row r="1361" spans="1:5" x14ac:dyDescent="0.25">
      <c r="A1361" s="1">
        <v>43405</v>
      </c>
      <c r="B1361">
        <v>119502</v>
      </c>
      <c r="C1361" t="s">
        <v>189</v>
      </c>
      <c r="D1361" t="s">
        <v>1418</v>
      </c>
      <c r="E1361" s="2">
        <v>327.25</v>
      </c>
    </row>
    <row r="1362" spans="1:5" x14ac:dyDescent="0.25">
      <c r="A1362" s="1">
        <v>43405</v>
      </c>
      <c r="B1362">
        <v>119503</v>
      </c>
      <c r="C1362" t="s">
        <v>226</v>
      </c>
      <c r="D1362" t="s">
        <v>1419</v>
      </c>
      <c r="E1362" s="2">
        <v>50</v>
      </c>
    </row>
    <row r="1363" spans="1:5" x14ac:dyDescent="0.25">
      <c r="A1363" s="1">
        <v>43405</v>
      </c>
      <c r="B1363">
        <v>119503</v>
      </c>
      <c r="C1363" t="s">
        <v>226</v>
      </c>
      <c r="D1363" t="s">
        <v>1420</v>
      </c>
      <c r="E1363" s="2">
        <v>107.37</v>
      </c>
    </row>
    <row r="1364" spans="1:5" x14ac:dyDescent="0.25">
      <c r="A1364" s="1">
        <v>43405</v>
      </c>
      <c r="B1364">
        <v>119504</v>
      </c>
      <c r="C1364" t="s">
        <v>22</v>
      </c>
      <c r="D1364" t="s">
        <v>529</v>
      </c>
      <c r="E1364" s="2">
        <v>35.6</v>
      </c>
    </row>
    <row r="1365" spans="1:5" x14ac:dyDescent="0.25">
      <c r="A1365" s="1">
        <v>43405</v>
      </c>
      <c r="B1365">
        <v>119505</v>
      </c>
      <c r="C1365" t="s">
        <v>1421</v>
      </c>
      <c r="D1365" t="s">
        <v>1422</v>
      </c>
      <c r="E1365" s="2">
        <v>775.05</v>
      </c>
    </row>
    <row r="1366" spans="1:5" x14ac:dyDescent="0.25">
      <c r="A1366" s="1">
        <v>43405</v>
      </c>
      <c r="B1366">
        <v>119506</v>
      </c>
      <c r="C1366" t="s">
        <v>67</v>
      </c>
      <c r="D1366" t="s">
        <v>1423</v>
      </c>
      <c r="E1366" s="2">
        <v>1438.5</v>
      </c>
    </row>
    <row r="1367" spans="1:5" x14ac:dyDescent="0.25">
      <c r="A1367" s="1">
        <v>43405</v>
      </c>
      <c r="B1367">
        <v>119507</v>
      </c>
      <c r="C1367" t="s">
        <v>660</v>
      </c>
      <c r="D1367" t="s">
        <v>1424</v>
      </c>
      <c r="E1367" s="2">
        <v>1331.68</v>
      </c>
    </row>
    <row r="1368" spans="1:5" x14ac:dyDescent="0.25">
      <c r="A1368" s="1">
        <v>43405</v>
      </c>
      <c r="B1368">
        <v>119508</v>
      </c>
      <c r="C1368" t="s">
        <v>1156</v>
      </c>
      <c r="D1368" t="s">
        <v>1157</v>
      </c>
      <c r="E1368" s="2">
        <v>1465.42</v>
      </c>
    </row>
    <row r="1369" spans="1:5" x14ac:dyDescent="0.25">
      <c r="A1369" s="1">
        <v>43405</v>
      </c>
      <c r="B1369">
        <v>119510</v>
      </c>
      <c r="C1369" t="s">
        <v>662</v>
      </c>
      <c r="D1369" t="s">
        <v>481</v>
      </c>
      <c r="E1369" s="2">
        <v>311</v>
      </c>
    </row>
    <row r="1370" spans="1:5" x14ac:dyDescent="0.25">
      <c r="A1370" s="1">
        <v>43405</v>
      </c>
      <c r="B1370">
        <v>119510</v>
      </c>
      <c r="C1370" t="s">
        <v>662</v>
      </c>
      <c r="D1370" t="s">
        <v>1425</v>
      </c>
      <c r="E1370" s="2">
        <v>1097.51</v>
      </c>
    </row>
    <row r="1371" spans="1:5" x14ac:dyDescent="0.25">
      <c r="A1371" s="1">
        <v>43405</v>
      </c>
      <c r="B1371">
        <v>119510</v>
      </c>
      <c r="C1371" t="s">
        <v>662</v>
      </c>
      <c r="D1371" t="s">
        <v>1426</v>
      </c>
      <c r="E1371" s="2">
        <v>407.55</v>
      </c>
    </row>
    <row r="1372" spans="1:5" x14ac:dyDescent="0.25">
      <c r="A1372" s="1">
        <v>43405</v>
      </c>
      <c r="B1372">
        <v>119510</v>
      </c>
      <c r="C1372" t="s">
        <v>662</v>
      </c>
      <c r="D1372" t="s">
        <v>1427</v>
      </c>
      <c r="E1372" s="2">
        <v>707.96</v>
      </c>
    </row>
    <row r="1373" spans="1:5" x14ac:dyDescent="0.25">
      <c r="A1373" s="1">
        <v>43405</v>
      </c>
      <c r="B1373">
        <v>119510</v>
      </c>
      <c r="C1373" t="s">
        <v>662</v>
      </c>
      <c r="D1373" t="s">
        <v>1428</v>
      </c>
      <c r="E1373" s="2">
        <v>122.55</v>
      </c>
    </row>
    <row r="1374" spans="1:5" x14ac:dyDescent="0.25">
      <c r="A1374" s="1">
        <v>43405</v>
      </c>
      <c r="B1374">
        <v>119510</v>
      </c>
      <c r="C1374" t="s">
        <v>662</v>
      </c>
      <c r="D1374" t="s">
        <v>1429</v>
      </c>
      <c r="E1374" s="2">
        <v>529.88</v>
      </c>
    </row>
    <row r="1375" spans="1:5" x14ac:dyDescent="0.25">
      <c r="A1375" s="1">
        <v>43405</v>
      </c>
      <c r="B1375">
        <v>119510</v>
      </c>
      <c r="C1375" t="s">
        <v>662</v>
      </c>
      <c r="D1375" t="s">
        <v>1427</v>
      </c>
      <c r="E1375" s="2">
        <v>89.01</v>
      </c>
    </row>
    <row r="1376" spans="1:5" x14ac:dyDescent="0.25">
      <c r="A1376" s="1">
        <v>43405</v>
      </c>
      <c r="B1376">
        <v>119511</v>
      </c>
      <c r="C1376" t="s">
        <v>243</v>
      </c>
      <c r="D1376" t="s">
        <v>1430</v>
      </c>
      <c r="E1376" s="2">
        <f>53.43+26.44+2115.61</f>
        <v>2195.48</v>
      </c>
    </row>
    <row r="1377" spans="1:5" x14ac:dyDescent="0.25">
      <c r="A1377" s="1">
        <v>43405</v>
      </c>
      <c r="B1377">
        <v>119511</v>
      </c>
      <c r="C1377" t="s">
        <v>243</v>
      </c>
      <c r="D1377" t="s">
        <v>1431</v>
      </c>
      <c r="E1377" s="2">
        <v>557</v>
      </c>
    </row>
    <row r="1378" spans="1:5" x14ac:dyDescent="0.25">
      <c r="A1378" s="1">
        <v>43405</v>
      </c>
      <c r="B1378">
        <v>119512</v>
      </c>
      <c r="C1378" t="s">
        <v>1432</v>
      </c>
      <c r="D1378" t="s">
        <v>1433</v>
      </c>
      <c r="E1378" s="2">
        <v>8325</v>
      </c>
    </row>
    <row r="1379" spans="1:5" x14ac:dyDescent="0.25">
      <c r="A1379" s="1">
        <v>43405</v>
      </c>
      <c r="B1379">
        <v>119513</v>
      </c>
      <c r="C1379" t="s">
        <v>1434</v>
      </c>
      <c r="D1379" t="s">
        <v>1435</v>
      </c>
      <c r="E1379" s="2">
        <v>3054</v>
      </c>
    </row>
    <row r="1380" spans="1:5" x14ac:dyDescent="0.25">
      <c r="A1380" s="1">
        <v>43405</v>
      </c>
      <c r="B1380">
        <v>119514</v>
      </c>
      <c r="C1380" t="s">
        <v>1436</v>
      </c>
      <c r="D1380" t="s">
        <v>1437</v>
      </c>
      <c r="E1380" s="2">
        <v>20</v>
      </c>
    </row>
    <row r="1381" spans="1:5" x14ac:dyDescent="0.25">
      <c r="A1381" s="1">
        <v>43405</v>
      </c>
      <c r="B1381">
        <v>119515</v>
      </c>
      <c r="C1381" t="s">
        <v>109</v>
      </c>
      <c r="D1381" t="s">
        <v>1438</v>
      </c>
      <c r="E1381" s="2">
        <v>100</v>
      </c>
    </row>
    <row r="1382" spans="1:5" x14ac:dyDescent="0.25">
      <c r="A1382" s="1">
        <v>43405</v>
      </c>
      <c r="B1382">
        <v>119516</v>
      </c>
      <c r="C1382" t="s">
        <v>352</v>
      </c>
      <c r="D1382" t="s">
        <v>1439</v>
      </c>
      <c r="E1382" s="2">
        <v>1198</v>
      </c>
    </row>
    <row r="1383" spans="1:5" x14ac:dyDescent="0.25">
      <c r="A1383" s="1">
        <v>43405</v>
      </c>
      <c r="B1383">
        <v>119518</v>
      </c>
      <c r="C1383" t="s">
        <v>68</v>
      </c>
      <c r="D1383" t="s">
        <v>1440</v>
      </c>
      <c r="E1383" s="2">
        <v>1196</v>
      </c>
    </row>
    <row r="1384" spans="1:5" x14ac:dyDescent="0.25">
      <c r="A1384" s="1">
        <v>43405</v>
      </c>
      <c r="B1384">
        <v>119518</v>
      </c>
      <c r="C1384" t="s">
        <v>68</v>
      </c>
      <c r="D1384" t="s">
        <v>1441</v>
      </c>
      <c r="E1384" s="2">
        <v>3015.95</v>
      </c>
    </row>
    <row r="1385" spans="1:5" x14ac:dyDescent="0.25">
      <c r="A1385" s="1">
        <v>43405</v>
      </c>
      <c r="B1385">
        <v>119518</v>
      </c>
      <c r="C1385" t="s">
        <v>68</v>
      </c>
      <c r="D1385" t="s">
        <v>1442</v>
      </c>
      <c r="E1385" s="2">
        <v>446.46</v>
      </c>
    </row>
    <row r="1386" spans="1:5" x14ac:dyDescent="0.25">
      <c r="A1386" s="1">
        <v>43405</v>
      </c>
      <c r="B1386">
        <v>119518</v>
      </c>
      <c r="C1386" t="s">
        <v>68</v>
      </c>
      <c r="D1386" t="s">
        <v>1443</v>
      </c>
      <c r="E1386" s="2">
        <v>123.49</v>
      </c>
    </row>
    <row r="1387" spans="1:5" x14ac:dyDescent="0.25">
      <c r="A1387" s="1">
        <v>43405</v>
      </c>
      <c r="B1387">
        <v>119518</v>
      </c>
      <c r="C1387" t="s">
        <v>68</v>
      </c>
      <c r="D1387" t="s">
        <v>1175</v>
      </c>
      <c r="E1387" s="2">
        <v>789.18</v>
      </c>
    </row>
    <row r="1388" spans="1:5" x14ac:dyDescent="0.25">
      <c r="A1388" s="1">
        <v>43405</v>
      </c>
      <c r="B1388">
        <v>119518</v>
      </c>
      <c r="C1388" t="s">
        <v>68</v>
      </c>
      <c r="D1388" t="s">
        <v>1444</v>
      </c>
      <c r="E1388" s="2">
        <v>155.78</v>
      </c>
    </row>
    <row r="1389" spans="1:5" x14ac:dyDescent="0.25">
      <c r="A1389" s="1">
        <v>43405</v>
      </c>
      <c r="B1389">
        <v>119518</v>
      </c>
      <c r="C1389" t="s">
        <v>68</v>
      </c>
      <c r="D1389" t="s">
        <v>1176</v>
      </c>
      <c r="E1389" s="2">
        <v>569.45000000000005</v>
      </c>
    </row>
    <row r="1390" spans="1:5" x14ac:dyDescent="0.25">
      <c r="A1390" s="1">
        <v>43405</v>
      </c>
      <c r="B1390">
        <v>119518</v>
      </c>
      <c r="C1390" t="s">
        <v>68</v>
      </c>
      <c r="D1390" t="s">
        <v>1445</v>
      </c>
      <c r="E1390" s="2">
        <v>873.96</v>
      </c>
    </row>
    <row r="1391" spans="1:5" x14ac:dyDescent="0.25">
      <c r="A1391" s="1">
        <v>43405</v>
      </c>
      <c r="B1391">
        <v>119518</v>
      </c>
      <c r="C1391" t="s">
        <v>68</v>
      </c>
      <c r="D1391" t="s">
        <v>1427</v>
      </c>
      <c r="E1391" s="2">
        <v>531.01</v>
      </c>
    </row>
    <row r="1392" spans="1:5" x14ac:dyDescent="0.25">
      <c r="A1392" s="1">
        <v>43405</v>
      </c>
      <c r="B1392">
        <v>119519</v>
      </c>
      <c r="C1392" t="s">
        <v>842</v>
      </c>
      <c r="D1392" t="s">
        <v>1446</v>
      </c>
      <c r="E1392" s="2">
        <v>239.74</v>
      </c>
    </row>
    <row r="1393" spans="1:5" x14ac:dyDescent="0.25">
      <c r="A1393" s="1">
        <v>43405</v>
      </c>
      <c r="B1393">
        <v>119519</v>
      </c>
      <c r="C1393" t="s">
        <v>842</v>
      </c>
      <c r="D1393" t="s">
        <v>1447</v>
      </c>
      <c r="E1393" s="2">
        <v>343.32</v>
      </c>
    </row>
    <row r="1394" spans="1:5" x14ac:dyDescent="0.25">
      <c r="A1394" s="1">
        <v>43405</v>
      </c>
      <c r="B1394">
        <v>119521</v>
      </c>
      <c r="C1394" t="s">
        <v>1177</v>
      </c>
      <c r="D1394" t="s">
        <v>1448</v>
      </c>
      <c r="E1394" s="2">
        <f>35*3</f>
        <v>105</v>
      </c>
    </row>
    <row r="1395" spans="1:5" x14ac:dyDescent="0.25">
      <c r="A1395" s="1">
        <v>43405</v>
      </c>
      <c r="B1395">
        <v>119521</v>
      </c>
      <c r="C1395" t="s">
        <v>1177</v>
      </c>
      <c r="D1395" t="s">
        <v>1449</v>
      </c>
      <c r="E1395" s="2">
        <v>148</v>
      </c>
    </row>
    <row r="1396" spans="1:5" x14ac:dyDescent="0.25">
      <c r="A1396" s="1">
        <v>43405</v>
      </c>
      <c r="B1396">
        <v>119522</v>
      </c>
      <c r="C1396" t="s">
        <v>111</v>
      </c>
      <c r="D1396" t="s">
        <v>1438</v>
      </c>
      <c r="E1396" s="2">
        <v>95</v>
      </c>
    </row>
    <row r="1397" spans="1:5" x14ac:dyDescent="0.25">
      <c r="A1397" s="1">
        <v>43405</v>
      </c>
      <c r="B1397">
        <v>119523</v>
      </c>
      <c r="C1397" t="s">
        <v>849</v>
      </c>
      <c r="D1397" t="s">
        <v>1450</v>
      </c>
      <c r="E1397" s="2">
        <v>699.71</v>
      </c>
    </row>
    <row r="1398" spans="1:5" x14ac:dyDescent="0.25">
      <c r="A1398" s="1">
        <v>43405</v>
      </c>
      <c r="B1398">
        <v>119523</v>
      </c>
      <c r="C1398" t="s">
        <v>849</v>
      </c>
      <c r="D1398" t="s">
        <v>1451</v>
      </c>
      <c r="E1398" s="2">
        <v>185.89</v>
      </c>
    </row>
    <row r="1399" spans="1:5" x14ac:dyDescent="0.25">
      <c r="A1399" s="1">
        <v>43405</v>
      </c>
      <c r="B1399">
        <v>119524</v>
      </c>
      <c r="C1399" t="s">
        <v>115</v>
      </c>
      <c r="D1399" t="s">
        <v>1438</v>
      </c>
      <c r="E1399" s="2">
        <v>85</v>
      </c>
    </row>
    <row r="1400" spans="1:5" x14ac:dyDescent="0.25">
      <c r="A1400" s="1">
        <v>43405</v>
      </c>
      <c r="B1400">
        <v>119525</v>
      </c>
      <c r="C1400" t="s">
        <v>1452</v>
      </c>
      <c r="D1400" t="s">
        <v>1453</v>
      </c>
      <c r="E1400" s="2">
        <v>299.85000000000002</v>
      </c>
    </row>
    <row r="1401" spans="1:5" x14ac:dyDescent="0.25">
      <c r="A1401" s="1">
        <v>43405</v>
      </c>
      <c r="B1401">
        <v>119526</v>
      </c>
      <c r="C1401" t="s">
        <v>264</v>
      </c>
      <c r="D1401" t="s">
        <v>1454</v>
      </c>
      <c r="E1401" s="2">
        <v>100.1</v>
      </c>
    </row>
    <row r="1402" spans="1:5" x14ac:dyDescent="0.25">
      <c r="A1402" s="1">
        <v>43405</v>
      </c>
      <c r="B1402">
        <v>119527</v>
      </c>
      <c r="C1402" t="s">
        <v>1455</v>
      </c>
      <c r="D1402" t="s">
        <v>1456</v>
      </c>
      <c r="E1402" s="2">
        <v>1260</v>
      </c>
    </row>
    <row r="1403" spans="1:5" x14ac:dyDescent="0.25">
      <c r="A1403" s="1">
        <v>43405</v>
      </c>
      <c r="B1403">
        <v>119528</v>
      </c>
      <c r="C1403" t="s">
        <v>274</v>
      </c>
      <c r="D1403" t="s">
        <v>1457</v>
      </c>
      <c r="E1403" s="2">
        <v>2688</v>
      </c>
    </row>
    <row r="1404" spans="1:5" x14ac:dyDescent="0.25">
      <c r="A1404" s="1">
        <v>43405</v>
      </c>
      <c r="B1404">
        <v>119529</v>
      </c>
      <c r="C1404" t="s">
        <v>706</v>
      </c>
      <c r="D1404" t="s">
        <v>1458</v>
      </c>
      <c r="E1404" s="2">
        <v>511.16</v>
      </c>
    </row>
    <row r="1405" spans="1:5" x14ac:dyDescent="0.25">
      <c r="A1405" s="1">
        <v>43405</v>
      </c>
      <c r="B1405">
        <v>119530</v>
      </c>
      <c r="C1405" t="s">
        <v>133</v>
      </c>
      <c r="D1405" t="s">
        <v>1459</v>
      </c>
      <c r="E1405" s="2">
        <v>195</v>
      </c>
    </row>
    <row r="1406" spans="1:5" x14ac:dyDescent="0.25">
      <c r="A1406" s="1">
        <v>43405</v>
      </c>
      <c r="B1406">
        <v>119531</v>
      </c>
      <c r="C1406" t="s">
        <v>1460</v>
      </c>
      <c r="D1406" t="s">
        <v>1461</v>
      </c>
      <c r="E1406" s="2">
        <v>900</v>
      </c>
    </row>
    <row r="1407" spans="1:5" x14ac:dyDescent="0.25">
      <c r="A1407" s="1">
        <v>43405</v>
      </c>
      <c r="B1407">
        <v>119532</v>
      </c>
      <c r="C1407" t="s">
        <v>1462</v>
      </c>
      <c r="D1407" t="s">
        <v>1463</v>
      </c>
      <c r="E1407" s="2">
        <v>1500</v>
      </c>
    </row>
    <row r="1408" spans="1:5" x14ac:dyDescent="0.25">
      <c r="A1408" s="1">
        <v>43405</v>
      </c>
      <c r="B1408">
        <v>119534</v>
      </c>
      <c r="C1408" t="s">
        <v>74</v>
      </c>
      <c r="D1408" t="s">
        <v>1464</v>
      </c>
      <c r="E1408" s="2">
        <v>924.8</v>
      </c>
    </row>
    <row r="1409" spans="1:5" x14ac:dyDescent="0.25">
      <c r="A1409" s="1">
        <v>43405</v>
      </c>
      <c r="B1409">
        <v>119534</v>
      </c>
      <c r="C1409" t="s">
        <v>74</v>
      </c>
      <c r="D1409" t="s">
        <v>279</v>
      </c>
      <c r="E1409" s="2">
        <v>119.95</v>
      </c>
    </row>
    <row r="1410" spans="1:5" x14ac:dyDescent="0.25">
      <c r="A1410" s="1">
        <v>43405</v>
      </c>
      <c r="B1410">
        <v>119534</v>
      </c>
      <c r="C1410" t="s">
        <v>74</v>
      </c>
      <c r="D1410" t="s">
        <v>1465</v>
      </c>
      <c r="E1410" s="2">
        <v>19.95</v>
      </c>
    </row>
    <row r="1411" spans="1:5" x14ac:dyDescent="0.25">
      <c r="A1411" s="1">
        <v>43405</v>
      </c>
      <c r="B1411">
        <v>119534</v>
      </c>
      <c r="C1411" t="s">
        <v>74</v>
      </c>
      <c r="D1411" t="s">
        <v>1466</v>
      </c>
      <c r="E1411" s="2">
        <v>1531.7</v>
      </c>
    </row>
    <row r="1412" spans="1:5" x14ac:dyDescent="0.25">
      <c r="A1412" s="1">
        <v>43405</v>
      </c>
      <c r="B1412">
        <v>119534</v>
      </c>
      <c r="C1412" t="s">
        <v>74</v>
      </c>
      <c r="D1412" t="s">
        <v>1467</v>
      </c>
      <c r="E1412" s="2">
        <v>1833</v>
      </c>
    </row>
    <row r="1413" spans="1:5" x14ac:dyDescent="0.25">
      <c r="A1413" s="1">
        <v>43405</v>
      </c>
      <c r="B1413">
        <v>119534</v>
      </c>
      <c r="C1413" t="s">
        <v>74</v>
      </c>
      <c r="D1413" t="s">
        <v>1468</v>
      </c>
      <c r="E1413" s="2">
        <v>124.9</v>
      </c>
    </row>
    <row r="1414" spans="1:5" x14ac:dyDescent="0.25">
      <c r="A1414" s="1">
        <v>43405</v>
      </c>
      <c r="B1414">
        <v>119534</v>
      </c>
      <c r="C1414" t="s">
        <v>74</v>
      </c>
      <c r="D1414" t="s">
        <v>1469</v>
      </c>
      <c r="E1414" s="2">
        <v>162.47999999999999</v>
      </c>
    </row>
    <row r="1415" spans="1:5" x14ac:dyDescent="0.25">
      <c r="A1415" s="1">
        <v>43405</v>
      </c>
      <c r="B1415">
        <v>119534</v>
      </c>
      <c r="C1415" t="s">
        <v>74</v>
      </c>
      <c r="D1415" t="s">
        <v>1470</v>
      </c>
      <c r="E1415" s="2">
        <v>25.99</v>
      </c>
    </row>
    <row r="1416" spans="1:5" x14ac:dyDescent="0.25">
      <c r="A1416" s="1">
        <v>43405</v>
      </c>
      <c r="B1416">
        <v>119534</v>
      </c>
      <c r="C1416" t="s">
        <v>74</v>
      </c>
      <c r="D1416" t="s">
        <v>1471</v>
      </c>
      <c r="E1416" s="2">
        <v>119.6</v>
      </c>
    </row>
    <row r="1417" spans="1:5" x14ac:dyDescent="0.25">
      <c r="A1417" s="1">
        <v>43405</v>
      </c>
      <c r="B1417">
        <v>119534</v>
      </c>
      <c r="C1417" t="s">
        <v>74</v>
      </c>
      <c r="D1417" t="s">
        <v>279</v>
      </c>
      <c r="E1417" s="2">
        <v>64.900000000000006</v>
      </c>
    </row>
    <row r="1418" spans="1:5" x14ac:dyDescent="0.25">
      <c r="A1418" s="1">
        <v>43405</v>
      </c>
      <c r="B1418">
        <v>119535</v>
      </c>
      <c r="C1418" t="s">
        <v>1340</v>
      </c>
      <c r="D1418" t="s">
        <v>1472</v>
      </c>
      <c r="E1418" s="2">
        <v>1200</v>
      </c>
    </row>
    <row r="1419" spans="1:5" x14ac:dyDescent="0.25">
      <c r="A1419" s="1">
        <v>43405</v>
      </c>
      <c r="B1419">
        <v>119536</v>
      </c>
      <c r="C1419" t="s">
        <v>142</v>
      </c>
      <c r="D1419" t="s">
        <v>1473</v>
      </c>
      <c r="E1419" s="2">
        <v>60.26</v>
      </c>
    </row>
    <row r="1420" spans="1:5" x14ac:dyDescent="0.25">
      <c r="A1420" s="1">
        <v>43405</v>
      </c>
      <c r="B1420">
        <v>119537</v>
      </c>
      <c r="C1420" t="s">
        <v>146</v>
      </c>
      <c r="D1420" t="s">
        <v>1474</v>
      </c>
      <c r="E1420" s="2">
        <f>131.66+20.56</f>
        <v>152.22</v>
      </c>
    </row>
    <row r="1421" spans="1:5" x14ac:dyDescent="0.25">
      <c r="A1421" s="1">
        <v>43405</v>
      </c>
      <c r="B1421">
        <v>119537</v>
      </c>
      <c r="C1421" t="s">
        <v>146</v>
      </c>
      <c r="D1421" t="s">
        <v>1475</v>
      </c>
      <c r="E1421" s="3">
        <v>-20.56</v>
      </c>
    </row>
    <row r="1422" spans="1:5" x14ac:dyDescent="0.25">
      <c r="A1422" s="1">
        <v>43405</v>
      </c>
      <c r="B1422">
        <v>119537</v>
      </c>
      <c r="C1422" t="s">
        <v>146</v>
      </c>
      <c r="D1422" t="s">
        <v>1476</v>
      </c>
      <c r="E1422" s="2">
        <v>913.27</v>
      </c>
    </row>
    <row r="1423" spans="1:5" x14ac:dyDescent="0.25">
      <c r="A1423" s="1">
        <v>43405</v>
      </c>
      <c r="B1423">
        <v>119538</v>
      </c>
      <c r="C1423" t="s">
        <v>734</v>
      </c>
      <c r="D1423" t="s">
        <v>1477</v>
      </c>
      <c r="E1423" s="2">
        <v>700</v>
      </c>
    </row>
    <row r="1424" spans="1:5" x14ac:dyDescent="0.25">
      <c r="A1424" s="1">
        <v>43405</v>
      </c>
      <c r="B1424">
        <v>119539</v>
      </c>
      <c r="C1424" t="s">
        <v>1478</v>
      </c>
      <c r="D1424" t="s">
        <v>1479</v>
      </c>
      <c r="E1424" s="2">
        <v>6480</v>
      </c>
    </row>
    <row r="1425" spans="1:5" x14ac:dyDescent="0.25">
      <c r="A1425" s="1">
        <v>43405</v>
      </c>
      <c r="B1425">
        <v>119540</v>
      </c>
      <c r="C1425" t="s">
        <v>336</v>
      </c>
      <c r="D1425" t="s">
        <v>1480</v>
      </c>
      <c r="E1425" s="2">
        <v>21</v>
      </c>
    </row>
    <row r="1426" spans="1:5" x14ac:dyDescent="0.25">
      <c r="A1426" s="1">
        <v>43405</v>
      </c>
      <c r="B1426">
        <v>119541</v>
      </c>
      <c r="C1426" t="s">
        <v>75</v>
      </c>
      <c r="D1426" t="s">
        <v>1481</v>
      </c>
      <c r="E1426" s="2">
        <v>7.24</v>
      </c>
    </row>
    <row r="1427" spans="1:5" x14ac:dyDescent="0.25">
      <c r="A1427" s="1">
        <v>43405</v>
      </c>
      <c r="B1427">
        <v>119547</v>
      </c>
      <c r="C1427" t="s">
        <v>11</v>
      </c>
      <c r="D1427" t="s">
        <v>1016</v>
      </c>
      <c r="E1427" s="3">
        <v>-483.95</v>
      </c>
    </row>
    <row r="1428" spans="1:5" x14ac:dyDescent="0.25">
      <c r="A1428" s="1">
        <v>43405</v>
      </c>
      <c r="B1428">
        <v>119547</v>
      </c>
      <c r="C1428" t="s">
        <v>11</v>
      </c>
      <c r="D1428" t="s">
        <v>428</v>
      </c>
      <c r="E1428" s="2">
        <v>7.19</v>
      </c>
    </row>
    <row r="1429" spans="1:5" x14ac:dyDescent="0.25">
      <c r="A1429" s="1">
        <v>43405</v>
      </c>
      <c r="B1429">
        <v>119547</v>
      </c>
      <c r="C1429" t="s">
        <v>11</v>
      </c>
      <c r="D1429" t="s">
        <v>1225</v>
      </c>
      <c r="E1429" s="2">
        <f>11.99+71.56</f>
        <v>83.55</v>
      </c>
    </row>
    <row r="1430" spans="1:5" x14ac:dyDescent="0.25">
      <c r="A1430" s="1">
        <v>43405</v>
      </c>
      <c r="B1430">
        <v>119547</v>
      </c>
      <c r="C1430" t="s">
        <v>11</v>
      </c>
      <c r="D1430" t="s">
        <v>1223</v>
      </c>
      <c r="E1430" s="2">
        <f>640.21+297.79+51.27</f>
        <v>989.27</v>
      </c>
    </row>
    <row r="1431" spans="1:5" x14ac:dyDescent="0.25">
      <c r="A1431" s="1">
        <v>43405</v>
      </c>
      <c r="B1431">
        <v>119547</v>
      </c>
      <c r="C1431" t="s">
        <v>11</v>
      </c>
      <c r="D1431" t="s">
        <v>1482</v>
      </c>
      <c r="E1431" s="2">
        <v>235.7</v>
      </c>
    </row>
    <row r="1432" spans="1:5" x14ac:dyDescent="0.25">
      <c r="A1432" s="1">
        <v>43405</v>
      </c>
      <c r="B1432">
        <v>119547</v>
      </c>
      <c r="C1432" t="s">
        <v>11</v>
      </c>
      <c r="D1432" t="s">
        <v>1483</v>
      </c>
      <c r="E1432" s="2">
        <f>60.29+7.95+18.47+93.59</f>
        <v>180.3</v>
      </c>
    </row>
    <row r="1433" spans="1:5" x14ac:dyDescent="0.25">
      <c r="A1433" s="1">
        <v>43405</v>
      </c>
      <c r="B1433">
        <v>119547</v>
      </c>
      <c r="C1433" t="s">
        <v>11</v>
      </c>
      <c r="D1433" t="s">
        <v>1224</v>
      </c>
      <c r="E1433" s="2">
        <f>533.99+19.75+6.79+100.3+101.31+61.46+312.4+402.76+13.78</f>
        <v>1552.54</v>
      </c>
    </row>
    <row r="1434" spans="1:5" x14ac:dyDescent="0.25">
      <c r="A1434" s="1">
        <v>43405</v>
      </c>
      <c r="B1434">
        <v>119547</v>
      </c>
      <c r="C1434" t="s">
        <v>11</v>
      </c>
      <c r="D1434" t="s">
        <v>1484</v>
      </c>
      <c r="E1434" s="2">
        <f>58.59+60.21</f>
        <v>118.80000000000001</v>
      </c>
    </row>
    <row r="1435" spans="1:5" x14ac:dyDescent="0.25">
      <c r="A1435" s="1">
        <v>43405</v>
      </c>
      <c r="B1435">
        <v>119547</v>
      </c>
      <c r="C1435" t="s">
        <v>11</v>
      </c>
      <c r="D1435" t="s">
        <v>1224</v>
      </c>
      <c r="E1435" s="2">
        <f>4.59+62.87+40.88</f>
        <v>108.34</v>
      </c>
    </row>
    <row r="1436" spans="1:5" x14ac:dyDescent="0.25">
      <c r="A1436" s="1">
        <v>43405</v>
      </c>
      <c r="B1436">
        <v>119547</v>
      </c>
      <c r="C1436" t="s">
        <v>11</v>
      </c>
      <c r="D1436" t="s">
        <v>1485</v>
      </c>
      <c r="E1436" s="2">
        <f>31.78+14.71</f>
        <v>46.49</v>
      </c>
    </row>
    <row r="1437" spans="1:5" x14ac:dyDescent="0.25">
      <c r="A1437" s="1">
        <v>43405</v>
      </c>
      <c r="B1437">
        <v>119547</v>
      </c>
      <c r="C1437" t="s">
        <v>11</v>
      </c>
      <c r="D1437" t="s">
        <v>1486</v>
      </c>
      <c r="E1437" s="2">
        <v>116.69</v>
      </c>
    </row>
    <row r="1438" spans="1:5" x14ac:dyDescent="0.25">
      <c r="A1438" s="1">
        <v>43405</v>
      </c>
      <c r="B1438">
        <v>119547</v>
      </c>
      <c r="C1438" t="s">
        <v>11</v>
      </c>
      <c r="D1438" t="s">
        <v>1487</v>
      </c>
      <c r="E1438" s="2">
        <v>146.19</v>
      </c>
    </row>
    <row r="1439" spans="1:5" x14ac:dyDescent="0.25">
      <c r="A1439" s="1">
        <v>43405</v>
      </c>
      <c r="B1439">
        <v>119548</v>
      </c>
      <c r="C1439" t="s">
        <v>12</v>
      </c>
      <c r="D1439" t="s">
        <v>1488</v>
      </c>
      <c r="E1439" s="2">
        <v>41.4</v>
      </c>
    </row>
    <row r="1440" spans="1:5" x14ac:dyDescent="0.25">
      <c r="A1440" s="1">
        <v>43405</v>
      </c>
      <c r="B1440">
        <v>119549</v>
      </c>
      <c r="C1440" t="s">
        <v>1489</v>
      </c>
      <c r="D1440" t="s">
        <v>1490</v>
      </c>
      <c r="E1440" s="2">
        <v>225</v>
      </c>
    </row>
    <row r="1441" spans="1:5" x14ac:dyDescent="0.25">
      <c r="A1441" s="1">
        <v>43405</v>
      </c>
      <c r="B1441">
        <v>119550</v>
      </c>
      <c r="C1441" t="s">
        <v>1491</v>
      </c>
      <c r="D1441" t="s">
        <v>1492</v>
      </c>
      <c r="E1441" s="2">
        <v>173</v>
      </c>
    </row>
    <row r="1442" spans="1:5" x14ac:dyDescent="0.25">
      <c r="A1442" s="1">
        <v>43405</v>
      </c>
      <c r="B1442">
        <v>119550</v>
      </c>
      <c r="C1442" t="s">
        <v>1491</v>
      </c>
      <c r="D1442" t="s">
        <v>1493</v>
      </c>
      <c r="E1442" s="2">
        <v>8536.1299999999992</v>
      </c>
    </row>
    <row r="1443" spans="1:5" x14ac:dyDescent="0.25">
      <c r="A1443" s="1">
        <v>43405</v>
      </c>
      <c r="B1443">
        <v>119554</v>
      </c>
      <c r="C1443" t="s">
        <v>1228</v>
      </c>
      <c r="D1443" t="s">
        <v>1229</v>
      </c>
      <c r="E1443" s="2">
        <f>53.38+884.7+870+957.45+1069+1069+1024.78+72+1025+1069</f>
        <v>8094.3099999999995</v>
      </c>
    </row>
    <row r="1444" spans="1:5" x14ac:dyDescent="0.25">
      <c r="A1444" s="1">
        <v>43405</v>
      </c>
      <c r="B1444">
        <v>119555</v>
      </c>
      <c r="C1444" t="s">
        <v>1494</v>
      </c>
      <c r="D1444" t="s">
        <v>1495</v>
      </c>
      <c r="E1444" s="2">
        <v>138.6</v>
      </c>
    </row>
    <row r="1445" spans="1:5" x14ac:dyDescent="0.25">
      <c r="A1445" s="1">
        <v>43405</v>
      </c>
      <c r="B1445">
        <v>119556</v>
      </c>
      <c r="C1445" t="s">
        <v>50</v>
      </c>
      <c r="D1445" t="s">
        <v>1496</v>
      </c>
      <c r="E1445" s="2">
        <v>4450</v>
      </c>
    </row>
    <row r="1446" spans="1:5" x14ac:dyDescent="0.25">
      <c r="A1446" s="1">
        <v>43405</v>
      </c>
      <c r="B1446">
        <v>119557</v>
      </c>
      <c r="C1446" t="s">
        <v>51</v>
      </c>
      <c r="D1446" t="s">
        <v>52</v>
      </c>
      <c r="E1446" s="2">
        <v>105.87</v>
      </c>
    </row>
    <row r="1447" spans="1:5" x14ac:dyDescent="0.25">
      <c r="A1447" s="1">
        <v>43405</v>
      </c>
      <c r="B1447">
        <v>119557</v>
      </c>
      <c r="C1447" t="s">
        <v>51</v>
      </c>
      <c r="D1447" t="s">
        <v>1035</v>
      </c>
      <c r="E1447" s="2">
        <v>18.95</v>
      </c>
    </row>
    <row r="1448" spans="1:5" x14ac:dyDescent="0.25">
      <c r="A1448" s="1">
        <v>43405</v>
      </c>
      <c r="B1448">
        <v>119557</v>
      </c>
      <c r="C1448" t="s">
        <v>51</v>
      </c>
      <c r="D1448" t="s">
        <v>1497</v>
      </c>
      <c r="E1448" s="2">
        <v>292.58999999999997</v>
      </c>
    </row>
    <row r="1449" spans="1:5" x14ac:dyDescent="0.25">
      <c r="A1449" s="1">
        <v>43405</v>
      </c>
      <c r="B1449">
        <v>119558</v>
      </c>
      <c r="C1449" t="s">
        <v>302</v>
      </c>
      <c r="D1449" t="s">
        <v>1498</v>
      </c>
      <c r="E1449" s="2">
        <v>348</v>
      </c>
    </row>
    <row r="1450" spans="1:5" x14ac:dyDescent="0.25">
      <c r="A1450" s="1">
        <v>43405</v>
      </c>
      <c r="B1450">
        <v>119558</v>
      </c>
      <c r="C1450" t="s">
        <v>302</v>
      </c>
      <c r="D1450" t="s">
        <v>1499</v>
      </c>
      <c r="E1450" s="2">
        <v>76.7</v>
      </c>
    </row>
    <row r="1451" spans="1:5" x14ac:dyDescent="0.25">
      <c r="A1451" s="1">
        <v>43405</v>
      </c>
      <c r="B1451">
        <v>119559</v>
      </c>
      <c r="C1451" t="s">
        <v>760</v>
      </c>
      <c r="D1451" t="s">
        <v>1239</v>
      </c>
      <c r="E1451" s="2">
        <v>39.64</v>
      </c>
    </row>
    <row r="1452" spans="1:5" x14ac:dyDescent="0.25">
      <c r="A1452" s="1">
        <v>43405</v>
      </c>
      <c r="B1452">
        <v>119559</v>
      </c>
      <c r="C1452" t="s">
        <v>760</v>
      </c>
      <c r="D1452" t="s">
        <v>1500</v>
      </c>
      <c r="E1452" s="2">
        <v>259.7</v>
      </c>
    </row>
    <row r="1453" spans="1:5" x14ac:dyDescent="0.25">
      <c r="A1453" s="1">
        <v>43405</v>
      </c>
      <c r="B1453">
        <v>119560</v>
      </c>
      <c r="C1453" t="s">
        <v>211</v>
      </c>
      <c r="D1453" t="s">
        <v>1501</v>
      </c>
      <c r="E1453" s="2">
        <v>167.5</v>
      </c>
    </row>
    <row r="1454" spans="1:5" x14ac:dyDescent="0.25">
      <c r="A1454" s="1">
        <v>43405</v>
      </c>
      <c r="B1454">
        <v>119560</v>
      </c>
      <c r="C1454" t="s">
        <v>211</v>
      </c>
      <c r="D1454" t="s">
        <v>1502</v>
      </c>
      <c r="E1454" s="2">
        <v>167.5</v>
      </c>
    </row>
    <row r="1455" spans="1:5" x14ac:dyDescent="0.25">
      <c r="A1455" s="1">
        <v>43405</v>
      </c>
      <c r="B1455">
        <v>119561</v>
      </c>
      <c r="C1455" t="s">
        <v>158</v>
      </c>
      <c r="D1455" t="s">
        <v>1503</v>
      </c>
      <c r="E1455" s="2">
        <v>488.8</v>
      </c>
    </row>
    <row r="1456" spans="1:5" x14ac:dyDescent="0.25">
      <c r="A1456" s="1">
        <v>43405</v>
      </c>
      <c r="B1456">
        <v>119561</v>
      </c>
      <c r="C1456" t="s">
        <v>158</v>
      </c>
      <c r="D1456" t="s">
        <v>1504</v>
      </c>
      <c r="E1456" s="2">
        <v>1404.73</v>
      </c>
    </row>
    <row r="1457" spans="1:5" x14ac:dyDescent="0.25">
      <c r="A1457" s="1">
        <v>43405</v>
      </c>
      <c r="B1457">
        <v>119561</v>
      </c>
      <c r="C1457" t="s">
        <v>158</v>
      </c>
      <c r="D1457" t="s">
        <v>1505</v>
      </c>
      <c r="E1457" s="2">
        <v>51.54</v>
      </c>
    </row>
    <row r="1458" spans="1:5" x14ac:dyDescent="0.25">
      <c r="A1458" s="1">
        <v>43405</v>
      </c>
      <c r="B1458">
        <v>119561</v>
      </c>
      <c r="C1458" t="s">
        <v>158</v>
      </c>
      <c r="D1458" t="s">
        <v>1506</v>
      </c>
      <c r="E1458" s="2">
        <v>310.26</v>
      </c>
    </row>
    <row r="1459" spans="1:5" x14ac:dyDescent="0.25">
      <c r="A1459" s="1">
        <v>43405</v>
      </c>
      <c r="B1459">
        <v>119562</v>
      </c>
      <c r="C1459" t="s">
        <v>765</v>
      </c>
      <c r="D1459" t="s">
        <v>1507</v>
      </c>
      <c r="E1459" s="2">
        <v>2425.1999999999998</v>
      </c>
    </row>
    <row r="1460" spans="1:5" x14ac:dyDescent="0.25">
      <c r="A1460" s="1">
        <v>43405</v>
      </c>
      <c r="B1460">
        <v>119563</v>
      </c>
      <c r="C1460" t="s">
        <v>308</v>
      </c>
      <c r="D1460" t="s">
        <v>1508</v>
      </c>
      <c r="E1460" s="2">
        <v>49995</v>
      </c>
    </row>
    <row r="1461" spans="1:5" x14ac:dyDescent="0.25">
      <c r="A1461" s="1">
        <v>43405</v>
      </c>
      <c r="B1461">
        <v>119565</v>
      </c>
      <c r="C1461" t="s">
        <v>309</v>
      </c>
      <c r="D1461" t="s">
        <v>1509</v>
      </c>
      <c r="E1461" s="2">
        <f>3235.88+1138.3</f>
        <v>4374.18</v>
      </c>
    </row>
    <row r="1462" spans="1:5" x14ac:dyDescent="0.25">
      <c r="A1462" s="1">
        <v>43405</v>
      </c>
      <c r="B1462">
        <v>119565</v>
      </c>
      <c r="C1462" t="s">
        <v>309</v>
      </c>
      <c r="D1462" t="s">
        <v>1510</v>
      </c>
      <c r="E1462" s="2">
        <v>144.5</v>
      </c>
    </row>
    <row r="1463" spans="1:5" x14ac:dyDescent="0.25">
      <c r="A1463" s="1">
        <v>43405</v>
      </c>
      <c r="B1463">
        <v>119565</v>
      </c>
      <c r="C1463" t="s">
        <v>309</v>
      </c>
      <c r="D1463" t="s">
        <v>1247</v>
      </c>
      <c r="E1463" s="2">
        <f>592.5+3254.5+1840</f>
        <v>5687</v>
      </c>
    </row>
    <row r="1464" spans="1:5" x14ac:dyDescent="0.25">
      <c r="A1464" s="1">
        <v>43405</v>
      </c>
      <c r="B1464">
        <v>119566</v>
      </c>
      <c r="C1464" t="s">
        <v>161</v>
      </c>
      <c r="D1464" t="s">
        <v>773</v>
      </c>
      <c r="E1464" s="2">
        <v>2007</v>
      </c>
    </row>
    <row r="1465" spans="1:5" x14ac:dyDescent="0.25">
      <c r="A1465" s="1">
        <v>43405</v>
      </c>
      <c r="B1465">
        <v>119567</v>
      </c>
      <c r="C1465" t="s">
        <v>1251</v>
      </c>
      <c r="D1465" t="s">
        <v>1511</v>
      </c>
      <c r="E1465" s="2">
        <v>214.1</v>
      </c>
    </row>
    <row r="1466" spans="1:5" x14ac:dyDescent="0.25">
      <c r="A1466" s="1">
        <v>43405</v>
      </c>
      <c r="B1466">
        <v>119568</v>
      </c>
      <c r="C1466" t="s">
        <v>1512</v>
      </c>
      <c r="D1466" t="s">
        <v>1513</v>
      </c>
      <c r="E1466" s="2">
        <v>42561.85</v>
      </c>
    </row>
    <row r="1467" spans="1:5" x14ac:dyDescent="0.25">
      <c r="A1467" s="1">
        <v>43405</v>
      </c>
      <c r="B1467">
        <v>119568</v>
      </c>
      <c r="C1467" t="s">
        <v>1512</v>
      </c>
      <c r="D1467" t="s">
        <v>1514</v>
      </c>
      <c r="E1467" s="2">
        <v>500</v>
      </c>
    </row>
    <row r="1468" spans="1:5" x14ac:dyDescent="0.25">
      <c r="A1468" s="1">
        <v>43405</v>
      </c>
      <c r="B1468">
        <v>119569</v>
      </c>
      <c r="C1468" t="s">
        <v>770</v>
      </c>
      <c r="D1468" t="s">
        <v>1515</v>
      </c>
      <c r="E1468" s="2">
        <v>270</v>
      </c>
    </row>
    <row r="1469" spans="1:5" x14ac:dyDescent="0.25">
      <c r="A1469" s="1">
        <v>43405</v>
      </c>
      <c r="B1469">
        <v>119570</v>
      </c>
      <c r="C1469" t="s">
        <v>1516</v>
      </c>
      <c r="D1469" t="s">
        <v>1517</v>
      </c>
      <c r="E1469" s="2">
        <v>72</v>
      </c>
    </row>
    <row r="1470" spans="1:5" x14ac:dyDescent="0.25">
      <c r="A1470" s="1">
        <v>43405</v>
      </c>
      <c r="B1470">
        <v>119571</v>
      </c>
      <c r="C1470" t="s">
        <v>314</v>
      </c>
      <c r="D1470" t="s">
        <v>885</v>
      </c>
      <c r="E1470" s="2">
        <v>252</v>
      </c>
    </row>
    <row r="1471" spans="1:5" x14ac:dyDescent="0.25">
      <c r="A1471" s="1">
        <v>43405</v>
      </c>
      <c r="B1471">
        <v>119573</v>
      </c>
      <c r="C1471" t="s">
        <v>1518</v>
      </c>
      <c r="D1471" t="s">
        <v>1519</v>
      </c>
      <c r="E1471" s="2">
        <f>160+160+160+305</f>
        <v>785</v>
      </c>
    </row>
    <row r="1472" spans="1:5" x14ac:dyDescent="0.25">
      <c r="A1472" s="1">
        <v>43405</v>
      </c>
      <c r="B1472">
        <v>119574</v>
      </c>
      <c r="C1472" t="s">
        <v>322</v>
      </c>
      <c r="D1472" t="s">
        <v>1520</v>
      </c>
      <c r="E1472" s="2">
        <v>525</v>
      </c>
    </row>
    <row r="1473" spans="1:5" x14ac:dyDescent="0.25">
      <c r="A1473" s="1">
        <v>43405</v>
      </c>
      <c r="B1473">
        <v>119575</v>
      </c>
      <c r="C1473" t="s">
        <v>1521</v>
      </c>
      <c r="D1473" t="s">
        <v>1522</v>
      </c>
      <c r="E1473" s="2">
        <v>10000</v>
      </c>
    </row>
    <row r="1474" spans="1:5" x14ac:dyDescent="0.25">
      <c r="A1474" s="1">
        <v>43405</v>
      </c>
      <c r="B1474">
        <v>119576</v>
      </c>
      <c r="C1474" t="s">
        <v>774</v>
      </c>
      <c r="D1474" t="s">
        <v>773</v>
      </c>
      <c r="E1474" s="2">
        <f>240+240+240</f>
        <v>720</v>
      </c>
    </row>
    <row r="1475" spans="1:5" x14ac:dyDescent="0.25">
      <c r="A1475" s="1">
        <v>43405</v>
      </c>
      <c r="B1475">
        <v>119577</v>
      </c>
      <c r="C1475" t="s">
        <v>1523</v>
      </c>
      <c r="D1475" t="s">
        <v>1524</v>
      </c>
      <c r="E1475" s="2">
        <v>215</v>
      </c>
    </row>
    <row r="1476" spans="1:5" x14ac:dyDescent="0.25">
      <c r="A1476" s="1">
        <v>43405</v>
      </c>
      <c r="B1476">
        <v>119578</v>
      </c>
      <c r="C1476" t="s">
        <v>88</v>
      </c>
      <c r="D1476" t="s">
        <v>1525</v>
      </c>
      <c r="E1476" s="2">
        <v>573.75</v>
      </c>
    </row>
    <row r="1477" spans="1:5" x14ac:dyDescent="0.25">
      <c r="A1477" s="1">
        <v>43405</v>
      </c>
      <c r="B1477">
        <v>119578</v>
      </c>
      <c r="C1477" t="s">
        <v>88</v>
      </c>
      <c r="D1477" t="s">
        <v>1526</v>
      </c>
      <c r="E1477" s="2">
        <v>382.5</v>
      </c>
    </row>
    <row r="1478" spans="1:5" x14ac:dyDescent="0.25">
      <c r="A1478" s="1">
        <v>43405</v>
      </c>
      <c r="B1478">
        <v>119579</v>
      </c>
      <c r="C1478" t="s">
        <v>1527</v>
      </c>
      <c r="D1478" t="s">
        <v>1528</v>
      </c>
      <c r="E1478" s="2">
        <v>1520</v>
      </c>
    </row>
    <row r="1479" spans="1:5" x14ac:dyDescent="0.25">
      <c r="A1479" s="1">
        <v>43405</v>
      </c>
      <c r="B1479">
        <v>119580</v>
      </c>
      <c r="C1479" t="s">
        <v>896</v>
      </c>
      <c r="D1479" t="s">
        <v>1529</v>
      </c>
      <c r="E1479" s="2">
        <v>2600</v>
      </c>
    </row>
    <row r="1480" spans="1:5" x14ac:dyDescent="0.25">
      <c r="A1480" s="1">
        <v>43405</v>
      </c>
      <c r="B1480">
        <v>119581</v>
      </c>
      <c r="C1480" t="s">
        <v>1270</v>
      </c>
      <c r="D1480" t="s">
        <v>234</v>
      </c>
      <c r="E1480" s="2">
        <f>843.8+70</f>
        <v>913.8</v>
      </c>
    </row>
    <row r="1481" spans="1:5" x14ac:dyDescent="0.25">
      <c r="A1481" s="1">
        <v>43405</v>
      </c>
      <c r="B1481">
        <v>119582</v>
      </c>
      <c r="C1481" t="s">
        <v>1273</v>
      </c>
      <c r="D1481" t="s">
        <v>1530</v>
      </c>
      <c r="E1481" s="2">
        <v>535.97</v>
      </c>
    </row>
    <row r="1482" spans="1:5" x14ac:dyDescent="0.25">
      <c r="A1482" s="1">
        <v>43405</v>
      </c>
      <c r="B1482">
        <v>119583</v>
      </c>
      <c r="C1482" t="s">
        <v>1531</v>
      </c>
      <c r="D1482" t="s">
        <v>1532</v>
      </c>
      <c r="E1482" s="2">
        <v>575</v>
      </c>
    </row>
    <row r="1483" spans="1:5" x14ac:dyDescent="0.25">
      <c r="A1483" s="1">
        <v>43405</v>
      </c>
      <c r="B1483">
        <v>119584</v>
      </c>
      <c r="C1483" t="s">
        <v>92</v>
      </c>
      <c r="D1483" t="s">
        <v>1533</v>
      </c>
      <c r="E1483" s="2">
        <v>225.01</v>
      </c>
    </row>
    <row r="1484" spans="1:5" x14ac:dyDescent="0.25">
      <c r="A1484" s="1">
        <v>43405</v>
      </c>
      <c r="B1484">
        <v>119585</v>
      </c>
      <c r="C1484" t="s">
        <v>1534</v>
      </c>
      <c r="D1484" t="s">
        <v>1535</v>
      </c>
      <c r="E1484" s="2">
        <v>11.2</v>
      </c>
    </row>
    <row r="1485" spans="1:5" x14ac:dyDescent="0.25">
      <c r="A1485" s="1">
        <v>43405</v>
      </c>
      <c r="B1485">
        <v>119586</v>
      </c>
      <c r="C1485" t="s">
        <v>1369</v>
      </c>
      <c r="D1485" t="s">
        <v>773</v>
      </c>
      <c r="E1485" s="2">
        <v>554</v>
      </c>
    </row>
    <row r="1486" spans="1:5" x14ac:dyDescent="0.25">
      <c r="A1486" s="1">
        <v>43405</v>
      </c>
      <c r="B1486">
        <v>119587</v>
      </c>
      <c r="C1486" t="s">
        <v>19</v>
      </c>
      <c r="D1486" t="s">
        <v>1536</v>
      </c>
      <c r="E1486" s="2">
        <v>340</v>
      </c>
    </row>
    <row r="1487" spans="1:5" x14ac:dyDescent="0.25">
      <c r="A1487" s="1">
        <v>43405</v>
      </c>
      <c r="B1487">
        <v>119588</v>
      </c>
      <c r="C1487" t="s">
        <v>1537</v>
      </c>
      <c r="D1487" t="s">
        <v>1538</v>
      </c>
      <c r="E1487" s="2">
        <v>945</v>
      </c>
    </row>
    <row r="1488" spans="1:5" x14ac:dyDescent="0.25">
      <c r="A1488" s="1">
        <v>43405</v>
      </c>
      <c r="B1488">
        <v>119589</v>
      </c>
      <c r="C1488" t="s">
        <v>1539</v>
      </c>
      <c r="D1488" t="s">
        <v>1540</v>
      </c>
      <c r="E1488" s="2">
        <v>462</v>
      </c>
    </row>
    <row r="1489" spans="1:5" x14ac:dyDescent="0.25">
      <c r="A1489" s="1">
        <v>43405</v>
      </c>
      <c r="B1489">
        <v>181900066</v>
      </c>
      <c r="C1489" t="s">
        <v>1541</v>
      </c>
      <c r="D1489" t="s">
        <v>1542</v>
      </c>
      <c r="E1489" s="2">
        <v>30.36</v>
      </c>
    </row>
    <row r="1490" spans="1:5" x14ac:dyDescent="0.25">
      <c r="A1490" s="1">
        <v>43405</v>
      </c>
      <c r="B1490">
        <v>181900067</v>
      </c>
      <c r="C1490" t="s">
        <v>1543</v>
      </c>
      <c r="D1490" t="s">
        <v>1544</v>
      </c>
      <c r="E1490" s="2">
        <v>305.12</v>
      </c>
    </row>
    <row r="1491" spans="1:5" x14ac:dyDescent="0.25">
      <c r="A1491" s="1">
        <v>43405</v>
      </c>
      <c r="B1491">
        <v>181900068</v>
      </c>
      <c r="C1491" t="s">
        <v>394</v>
      </c>
      <c r="D1491" t="s">
        <v>1545</v>
      </c>
      <c r="E1491" s="2">
        <v>41.61</v>
      </c>
    </row>
    <row r="1492" spans="1:5" x14ac:dyDescent="0.25">
      <c r="A1492" s="1">
        <v>43405</v>
      </c>
      <c r="B1492">
        <v>181900069</v>
      </c>
      <c r="C1492" t="s">
        <v>1546</v>
      </c>
      <c r="D1492" t="s">
        <v>1545</v>
      </c>
      <c r="E1492" s="2">
        <v>41.72</v>
      </c>
    </row>
    <row r="1493" spans="1:5" x14ac:dyDescent="0.25">
      <c r="A1493" s="1">
        <v>43405</v>
      </c>
      <c r="B1493">
        <v>181900070</v>
      </c>
      <c r="C1493" t="s">
        <v>1547</v>
      </c>
      <c r="D1493" t="s">
        <v>1548</v>
      </c>
      <c r="E1493" s="2">
        <v>78.849999999999994</v>
      </c>
    </row>
    <row r="1494" spans="1:5" x14ac:dyDescent="0.25">
      <c r="A1494" s="1">
        <v>43405</v>
      </c>
      <c r="B1494">
        <v>181900071</v>
      </c>
      <c r="C1494" t="s">
        <v>1549</v>
      </c>
      <c r="D1494" t="s">
        <v>1548</v>
      </c>
      <c r="E1494" s="2">
        <v>160.68</v>
      </c>
    </row>
    <row r="1495" spans="1:5" x14ac:dyDescent="0.25">
      <c r="A1495" s="1">
        <v>43405</v>
      </c>
      <c r="B1495">
        <v>181900072</v>
      </c>
      <c r="C1495" t="s">
        <v>1550</v>
      </c>
      <c r="D1495" s="10" t="s">
        <v>1548</v>
      </c>
      <c r="E1495" s="2">
        <v>58.52</v>
      </c>
    </row>
    <row r="1496" spans="1:5" x14ac:dyDescent="0.25">
      <c r="A1496" s="1">
        <v>43410</v>
      </c>
      <c r="B1496">
        <v>201800067</v>
      </c>
      <c r="C1496" t="s">
        <v>938</v>
      </c>
      <c r="D1496" t="s">
        <v>1551</v>
      </c>
      <c r="E1496" s="2">
        <v>68.11</v>
      </c>
    </row>
    <row r="1497" spans="1:5" x14ac:dyDescent="0.25">
      <c r="A1497" s="1">
        <v>43410</v>
      </c>
      <c r="B1497">
        <v>201800068</v>
      </c>
      <c r="C1497" t="s">
        <v>1552</v>
      </c>
      <c r="D1497" t="s">
        <v>1553</v>
      </c>
      <c r="E1497" s="2">
        <v>695</v>
      </c>
    </row>
    <row r="1498" spans="1:5" x14ac:dyDescent="0.25">
      <c r="A1498" s="1">
        <v>43410</v>
      </c>
      <c r="B1498">
        <v>201800068</v>
      </c>
      <c r="C1498" t="s">
        <v>1552</v>
      </c>
      <c r="D1498" t="s">
        <v>1554</v>
      </c>
      <c r="E1498" s="2">
        <f>3330+8415</f>
        <v>11745</v>
      </c>
    </row>
    <row r="1499" spans="1:5" x14ac:dyDescent="0.25">
      <c r="A1499" s="1">
        <v>43410</v>
      </c>
      <c r="B1499">
        <v>201800069</v>
      </c>
      <c r="C1499" t="s">
        <v>75</v>
      </c>
      <c r="D1499" t="s">
        <v>1555</v>
      </c>
      <c r="E1499" s="2">
        <v>120</v>
      </c>
    </row>
    <row r="1500" spans="1:5" x14ac:dyDescent="0.25">
      <c r="A1500" s="1">
        <v>43410</v>
      </c>
      <c r="B1500">
        <v>201800071</v>
      </c>
      <c r="C1500" t="s">
        <v>1556</v>
      </c>
      <c r="D1500" t="s">
        <v>528</v>
      </c>
      <c r="E1500" s="2">
        <v>120</v>
      </c>
    </row>
    <row r="1501" spans="1:5" x14ac:dyDescent="0.25">
      <c r="A1501" s="1">
        <v>43410</v>
      </c>
      <c r="B1501">
        <v>201800072</v>
      </c>
      <c r="C1501" t="s">
        <v>932</v>
      </c>
      <c r="D1501" t="s">
        <v>1557</v>
      </c>
      <c r="E1501" s="2">
        <v>26</v>
      </c>
    </row>
    <row r="1502" spans="1:5" x14ac:dyDescent="0.25">
      <c r="A1502" s="1">
        <v>43410</v>
      </c>
      <c r="B1502">
        <v>201800073</v>
      </c>
      <c r="C1502" t="s">
        <v>1200</v>
      </c>
      <c r="D1502" t="s">
        <v>1558</v>
      </c>
      <c r="E1502" s="2">
        <v>47.31</v>
      </c>
    </row>
    <row r="1503" spans="1:5" x14ac:dyDescent="0.25">
      <c r="A1503" s="1">
        <v>43410</v>
      </c>
      <c r="B1503">
        <v>201800074</v>
      </c>
      <c r="C1503" t="s">
        <v>787</v>
      </c>
      <c r="D1503" t="s">
        <v>1559</v>
      </c>
      <c r="E1503" s="2">
        <v>57.33</v>
      </c>
    </row>
    <row r="1504" spans="1:5" x14ac:dyDescent="0.25">
      <c r="A1504" s="1">
        <v>43410</v>
      </c>
      <c r="B1504">
        <v>201800075</v>
      </c>
      <c r="C1504" t="s">
        <v>940</v>
      </c>
      <c r="D1504" t="s">
        <v>1560</v>
      </c>
      <c r="E1504" s="2">
        <v>63.99</v>
      </c>
    </row>
    <row r="1505" spans="1:5" x14ac:dyDescent="0.25">
      <c r="A1505" s="1">
        <v>43410</v>
      </c>
      <c r="B1505">
        <v>201800076</v>
      </c>
      <c r="C1505" t="s">
        <v>1561</v>
      </c>
      <c r="D1505" t="s">
        <v>1562</v>
      </c>
      <c r="E1505" s="2">
        <f>41.01+41.01</f>
        <v>82.02</v>
      </c>
    </row>
    <row r="1506" spans="1:5" x14ac:dyDescent="0.25">
      <c r="A1506" s="1">
        <v>43410</v>
      </c>
      <c r="B1506">
        <v>201800078</v>
      </c>
      <c r="C1506" t="s">
        <v>1563</v>
      </c>
      <c r="D1506" t="s">
        <v>1564</v>
      </c>
      <c r="E1506" s="2">
        <v>56.3</v>
      </c>
    </row>
    <row r="1507" spans="1:5" x14ac:dyDescent="0.25">
      <c r="A1507" s="1">
        <v>43410</v>
      </c>
      <c r="B1507">
        <v>201800079</v>
      </c>
      <c r="C1507" t="s">
        <v>1256</v>
      </c>
      <c r="D1507" t="s">
        <v>1565</v>
      </c>
      <c r="E1507" s="2">
        <v>62.5</v>
      </c>
    </row>
    <row r="1508" spans="1:5" x14ac:dyDescent="0.25">
      <c r="A1508" s="1">
        <v>43411</v>
      </c>
      <c r="B1508">
        <v>119590</v>
      </c>
      <c r="C1508" t="s">
        <v>1566</v>
      </c>
      <c r="D1508" t="s">
        <v>1567</v>
      </c>
      <c r="E1508" s="2">
        <v>10187.5</v>
      </c>
    </row>
    <row r="1509" spans="1:5" x14ac:dyDescent="0.25">
      <c r="A1509" s="1">
        <v>43411</v>
      </c>
      <c r="B1509">
        <v>119591</v>
      </c>
      <c r="C1509" t="s">
        <v>1312</v>
      </c>
      <c r="D1509" t="s">
        <v>1568</v>
      </c>
      <c r="E1509" s="2">
        <v>51.99</v>
      </c>
    </row>
    <row r="1510" spans="1:5" x14ac:dyDescent="0.25">
      <c r="A1510" s="1">
        <v>43411</v>
      </c>
      <c r="B1510">
        <v>119592</v>
      </c>
      <c r="C1510" t="s">
        <v>233</v>
      </c>
      <c r="D1510" t="s">
        <v>234</v>
      </c>
      <c r="E1510" s="2">
        <v>360</v>
      </c>
    </row>
    <row r="1511" spans="1:5" x14ac:dyDescent="0.25">
      <c r="A1511" s="1">
        <v>43411</v>
      </c>
      <c r="B1511">
        <v>119593</v>
      </c>
      <c r="C1511" t="s">
        <v>942</v>
      </c>
      <c r="D1511" t="s">
        <v>1569</v>
      </c>
      <c r="E1511" s="2">
        <v>1400</v>
      </c>
    </row>
    <row r="1512" spans="1:5" x14ac:dyDescent="0.25">
      <c r="A1512" s="1">
        <v>43411</v>
      </c>
      <c r="B1512">
        <v>119594</v>
      </c>
      <c r="C1512" t="s">
        <v>1570</v>
      </c>
      <c r="D1512" t="s">
        <v>1571</v>
      </c>
      <c r="E1512" s="2">
        <v>562.91999999999996</v>
      </c>
    </row>
    <row r="1513" spans="1:5" x14ac:dyDescent="0.25">
      <c r="A1513" s="1">
        <v>43411</v>
      </c>
      <c r="B1513">
        <v>119595</v>
      </c>
      <c r="C1513" t="s">
        <v>244</v>
      </c>
      <c r="D1513" t="s">
        <v>1572</v>
      </c>
      <c r="E1513" s="2">
        <v>144.02000000000001</v>
      </c>
    </row>
    <row r="1514" spans="1:5" x14ac:dyDescent="0.25">
      <c r="A1514" s="1">
        <v>43411</v>
      </c>
      <c r="B1514">
        <v>119596</v>
      </c>
      <c r="C1514" t="s">
        <v>31</v>
      </c>
      <c r="D1514" t="s">
        <v>1573</v>
      </c>
      <c r="E1514" s="2">
        <v>174.7</v>
      </c>
    </row>
    <row r="1515" spans="1:5" x14ac:dyDescent="0.25">
      <c r="A1515" s="1">
        <v>43411</v>
      </c>
      <c r="B1515">
        <v>119597</v>
      </c>
      <c r="C1515" t="s">
        <v>1574</v>
      </c>
      <c r="D1515" t="s">
        <v>1575</v>
      </c>
      <c r="E1515" s="2">
        <v>1650</v>
      </c>
    </row>
    <row r="1516" spans="1:5" x14ac:dyDescent="0.25">
      <c r="A1516" s="1">
        <v>43411</v>
      </c>
      <c r="B1516">
        <v>119597</v>
      </c>
      <c r="C1516" t="s">
        <v>1574</v>
      </c>
      <c r="D1516" t="s">
        <v>1576</v>
      </c>
      <c r="E1516" s="2">
        <v>1500</v>
      </c>
    </row>
    <row r="1517" spans="1:5" x14ac:dyDescent="0.25">
      <c r="A1517" s="1">
        <v>43411</v>
      </c>
      <c r="B1517">
        <v>119598</v>
      </c>
      <c r="C1517" t="s">
        <v>1577</v>
      </c>
      <c r="D1517" t="s">
        <v>1578</v>
      </c>
      <c r="E1517" s="2">
        <v>160</v>
      </c>
    </row>
    <row r="1518" spans="1:5" x14ac:dyDescent="0.25">
      <c r="A1518" s="1">
        <v>43411</v>
      </c>
      <c r="B1518">
        <v>119599</v>
      </c>
      <c r="C1518" t="s">
        <v>1092</v>
      </c>
      <c r="D1518" t="s">
        <v>1579</v>
      </c>
      <c r="E1518" s="2">
        <v>58</v>
      </c>
    </row>
    <row r="1519" spans="1:5" x14ac:dyDescent="0.25">
      <c r="A1519" s="1">
        <v>43411</v>
      </c>
      <c r="B1519">
        <v>119600</v>
      </c>
      <c r="C1519" t="s">
        <v>1580</v>
      </c>
      <c r="D1519" t="s">
        <v>1581</v>
      </c>
      <c r="E1519" s="2">
        <v>75.95</v>
      </c>
    </row>
    <row r="1520" spans="1:5" x14ac:dyDescent="0.25">
      <c r="A1520" s="1">
        <v>43411</v>
      </c>
      <c r="B1520">
        <v>119601</v>
      </c>
      <c r="C1520" t="s">
        <v>1582</v>
      </c>
      <c r="D1520" t="s">
        <v>1583</v>
      </c>
      <c r="E1520" s="2">
        <v>50</v>
      </c>
    </row>
    <row r="1521" spans="1:5" x14ac:dyDescent="0.25">
      <c r="A1521" s="1">
        <v>43411</v>
      </c>
      <c r="B1521">
        <v>119602</v>
      </c>
      <c r="C1521" t="s">
        <v>869</v>
      </c>
      <c r="D1521" t="s">
        <v>1584</v>
      </c>
      <c r="E1521" s="2">
        <v>301.57</v>
      </c>
    </row>
    <row r="1522" spans="1:5" x14ac:dyDescent="0.25">
      <c r="A1522" s="1">
        <v>43411</v>
      </c>
      <c r="B1522">
        <v>119603</v>
      </c>
      <c r="C1522" t="s">
        <v>618</v>
      </c>
      <c r="D1522" t="s">
        <v>1585</v>
      </c>
      <c r="E1522" s="2">
        <v>81</v>
      </c>
    </row>
    <row r="1523" spans="1:5" x14ac:dyDescent="0.25">
      <c r="A1523" s="1">
        <v>43411</v>
      </c>
      <c r="B1523">
        <v>119604</v>
      </c>
      <c r="C1523" t="s">
        <v>74</v>
      </c>
      <c r="D1523" t="s">
        <v>1467</v>
      </c>
      <c r="E1523" s="2">
        <v>28.9</v>
      </c>
    </row>
    <row r="1524" spans="1:5" x14ac:dyDescent="0.25">
      <c r="A1524" s="1">
        <v>43411</v>
      </c>
      <c r="B1524">
        <v>119604</v>
      </c>
      <c r="C1524" t="s">
        <v>74</v>
      </c>
      <c r="D1524" t="s">
        <v>1586</v>
      </c>
      <c r="E1524" s="2">
        <v>149.99</v>
      </c>
    </row>
    <row r="1525" spans="1:5" x14ac:dyDescent="0.25">
      <c r="A1525" s="1">
        <v>43411</v>
      </c>
      <c r="B1525">
        <v>119605</v>
      </c>
      <c r="C1525" t="s">
        <v>1587</v>
      </c>
      <c r="D1525" t="s">
        <v>1588</v>
      </c>
      <c r="E1525" s="2">
        <v>40</v>
      </c>
    </row>
    <row r="1526" spans="1:5" x14ac:dyDescent="0.25">
      <c r="A1526" s="1">
        <v>43411</v>
      </c>
      <c r="B1526">
        <v>119606</v>
      </c>
      <c r="C1526" t="s">
        <v>1589</v>
      </c>
      <c r="D1526" t="s">
        <v>1590</v>
      </c>
      <c r="E1526" s="2">
        <v>321.74</v>
      </c>
    </row>
    <row r="1527" spans="1:5" x14ac:dyDescent="0.25">
      <c r="A1527" s="1">
        <v>43411</v>
      </c>
      <c r="B1527">
        <v>119607</v>
      </c>
      <c r="C1527" t="s">
        <v>336</v>
      </c>
      <c r="D1527" t="s">
        <v>1591</v>
      </c>
      <c r="E1527" s="2">
        <v>18.850000000000001</v>
      </c>
    </row>
    <row r="1528" spans="1:5" x14ac:dyDescent="0.25">
      <c r="A1528" s="1">
        <v>43411</v>
      </c>
      <c r="B1528">
        <v>119608</v>
      </c>
      <c r="C1528" t="s">
        <v>1592</v>
      </c>
      <c r="D1528" t="s">
        <v>1593</v>
      </c>
      <c r="E1528" s="2">
        <v>172.54</v>
      </c>
    </row>
    <row r="1529" spans="1:5" x14ac:dyDescent="0.25">
      <c r="A1529" s="1">
        <v>43411</v>
      </c>
      <c r="B1529">
        <v>119609</v>
      </c>
      <c r="C1529" t="s">
        <v>12</v>
      </c>
      <c r="D1529" t="s">
        <v>717</v>
      </c>
      <c r="E1529" s="2">
        <v>235.02</v>
      </c>
    </row>
    <row r="1530" spans="1:5" x14ac:dyDescent="0.25">
      <c r="A1530" s="1">
        <v>43411</v>
      </c>
      <c r="B1530">
        <v>119610</v>
      </c>
      <c r="C1530" t="s">
        <v>1594</v>
      </c>
      <c r="D1530" t="s">
        <v>1595</v>
      </c>
      <c r="E1530" s="2">
        <v>249.75</v>
      </c>
    </row>
    <row r="1531" spans="1:5" x14ac:dyDescent="0.25">
      <c r="A1531" s="1">
        <v>43411</v>
      </c>
      <c r="B1531">
        <v>119611</v>
      </c>
      <c r="C1531" t="s">
        <v>1596</v>
      </c>
      <c r="D1531" t="s">
        <v>1597</v>
      </c>
      <c r="E1531" s="2">
        <v>1128</v>
      </c>
    </row>
    <row r="1532" spans="1:5" x14ac:dyDescent="0.25">
      <c r="A1532" s="1">
        <v>43411</v>
      </c>
      <c r="B1532">
        <v>119612</v>
      </c>
      <c r="C1532" t="s">
        <v>16</v>
      </c>
      <c r="D1532" t="s">
        <v>1598</v>
      </c>
      <c r="E1532" s="2">
        <v>4393.88</v>
      </c>
    </row>
    <row r="1533" spans="1:5" x14ac:dyDescent="0.25">
      <c r="A1533" s="1">
        <v>43411</v>
      </c>
      <c r="B1533">
        <v>119613</v>
      </c>
      <c r="C1533" t="s">
        <v>16</v>
      </c>
      <c r="D1533" t="s">
        <v>1599</v>
      </c>
      <c r="E1533" s="2">
        <v>2449.63</v>
      </c>
    </row>
    <row r="1534" spans="1:5" x14ac:dyDescent="0.25">
      <c r="A1534" s="1">
        <v>43411</v>
      </c>
      <c r="B1534">
        <v>119614</v>
      </c>
      <c r="C1534" t="s">
        <v>1600</v>
      </c>
      <c r="D1534" t="s">
        <v>1601</v>
      </c>
      <c r="E1534" s="2">
        <v>475</v>
      </c>
    </row>
    <row r="1535" spans="1:5" x14ac:dyDescent="0.25">
      <c r="A1535" s="1">
        <v>43411</v>
      </c>
      <c r="B1535">
        <v>119615</v>
      </c>
      <c r="C1535" t="s">
        <v>1359</v>
      </c>
      <c r="D1535" t="s">
        <v>1602</v>
      </c>
      <c r="E1535" s="2">
        <v>875.75</v>
      </c>
    </row>
    <row r="1536" spans="1:5" x14ac:dyDescent="0.25">
      <c r="A1536" s="1">
        <v>43411</v>
      </c>
      <c r="B1536">
        <v>119616</v>
      </c>
      <c r="C1536" t="s">
        <v>1603</v>
      </c>
      <c r="D1536" t="s">
        <v>1604</v>
      </c>
      <c r="E1536" s="2">
        <v>85</v>
      </c>
    </row>
    <row r="1537" spans="1:5" x14ac:dyDescent="0.25">
      <c r="A1537" s="1">
        <v>43411</v>
      </c>
      <c r="B1537">
        <v>119617</v>
      </c>
      <c r="C1537" t="s">
        <v>1605</v>
      </c>
      <c r="D1537" t="s">
        <v>1606</v>
      </c>
      <c r="E1537" s="2">
        <v>630</v>
      </c>
    </row>
    <row r="1538" spans="1:5" x14ac:dyDescent="0.25">
      <c r="A1538" s="1">
        <v>43411</v>
      </c>
      <c r="B1538">
        <v>119618</v>
      </c>
      <c r="C1538" t="s">
        <v>92</v>
      </c>
      <c r="D1538" t="s">
        <v>1607</v>
      </c>
      <c r="E1538" s="2">
        <v>500</v>
      </c>
    </row>
    <row r="1539" spans="1:5" x14ac:dyDescent="0.25">
      <c r="A1539" s="1">
        <v>43411</v>
      </c>
      <c r="B1539">
        <v>119619</v>
      </c>
      <c r="C1539" t="s">
        <v>222</v>
      </c>
      <c r="D1539" t="s">
        <v>1608</v>
      </c>
      <c r="E1539" s="2">
        <v>500</v>
      </c>
    </row>
    <row r="1540" spans="1:5" x14ac:dyDescent="0.25">
      <c r="A1540" s="1">
        <v>43411</v>
      </c>
      <c r="B1540">
        <v>119620</v>
      </c>
      <c r="C1540" t="s">
        <v>222</v>
      </c>
      <c r="D1540" t="s">
        <v>1609</v>
      </c>
      <c r="E1540" s="2">
        <v>500</v>
      </c>
    </row>
    <row r="1541" spans="1:5" x14ac:dyDescent="0.25">
      <c r="A1541" s="1">
        <v>43411</v>
      </c>
      <c r="B1541">
        <v>119621</v>
      </c>
      <c r="C1541" t="s">
        <v>19</v>
      </c>
      <c r="D1541" t="s">
        <v>1610</v>
      </c>
      <c r="E1541" s="2">
        <v>3632</v>
      </c>
    </row>
    <row r="1542" spans="1:5" x14ac:dyDescent="0.25">
      <c r="A1542" s="1">
        <v>43411</v>
      </c>
      <c r="B1542">
        <v>201800051</v>
      </c>
      <c r="C1542" t="s">
        <v>405</v>
      </c>
      <c r="D1542" t="s">
        <v>1611</v>
      </c>
      <c r="E1542" s="2">
        <v>80</v>
      </c>
    </row>
    <row r="1543" spans="1:5" x14ac:dyDescent="0.25">
      <c r="A1543" s="1">
        <v>43411</v>
      </c>
      <c r="B1543">
        <v>201800052</v>
      </c>
      <c r="C1543" t="s">
        <v>1612</v>
      </c>
      <c r="D1543" t="s">
        <v>1613</v>
      </c>
      <c r="E1543" s="2">
        <v>480</v>
      </c>
    </row>
    <row r="1544" spans="1:5" x14ac:dyDescent="0.25">
      <c r="A1544" s="1">
        <v>43411</v>
      </c>
      <c r="B1544">
        <v>201800053</v>
      </c>
      <c r="C1544" t="s">
        <v>400</v>
      </c>
      <c r="D1544" t="s">
        <v>1614</v>
      </c>
      <c r="E1544" s="2">
        <v>175</v>
      </c>
    </row>
    <row r="1545" spans="1:5" x14ac:dyDescent="0.25">
      <c r="A1545" s="1">
        <v>43411</v>
      </c>
      <c r="B1545">
        <v>201800054</v>
      </c>
      <c r="C1545" t="s">
        <v>1615</v>
      </c>
      <c r="D1545" t="s">
        <v>1616</v>
      </c>
      <c r="E1545" s="2">
        <v>890.56</v>
      </c>
    </row>
    <row r="1546" spans="1:5" x14ac:dyDescent="0.25">
      <c r="A1546" s="1">
        <v>43412</v>
      </c>
      <c r="B1546">
        <v>119626</v>
      </c>
      <c r="C1546" t="s">
        <v>631</v>
      </c>
      <c r="D1546" t="s">
        <v>1201</v>
      </c>
      <c r="E1546" s="2">
        <v>122.75</v>
      </c>
    </row>
    <row r="1547" spans="1:5" x14ac:dyDescent="0.25">
      <c r="A1547" s="1">
        <v>43412</v>
      </c>
      <c r="B1547">
        <v>119626</v>
      </c>
      <c r="C1547" t="s">
        <v>631</v>
      </c>
      <c r="D1547" t="s">
        <v>1306</v>
      </c>
      <c r="E1547" s="2">
        <v>277.73</v>
      </c>
    </row>
    <row r="1548" spans="1:5" x14ac:dyDescent="0.25">
      <c r="A1548" s="1">
        <v>43412</v>
      </c>
      <c r="B1548">
        <v>119626</v>
      </c>
      <c r="C1548" t="s">
        <v>631</v>
      </c>
      <c r="D1548" t="s">
        <v>1617</v>
      </c>
      <c r="E1548" s="2">
        <v>57.92</v>
      </c>
    </row>
    <row r="1549" spans="1:5" x14ac:dyDescent="0.25">
      <c r="A1549" s="1">
        <v>43412</v>
      </c>
      <c r="B1549">
        <v>119626</v>
      </c>
      <c r="C1549" t="s">
        <v>631</v>
      </c>
      <c r="D1549" t="s">
        <v>1618</v>
      </c>
      <c r="E1549" s="2">
        <v>100.64</v>
      </c>
    </row>
    <row r="1550" spans="1:5" x14ac:dyDescent="0.25">
      <c r="A1550" s="1">
        <v>43412</v>
      </c>
      <c r="B1550">
        <v>119626</v>
      </c>
      <c r="C1550" t="s">
        <v>631</v>
      </c>
      <c r="D1550" t="s">
        <v>1619</v>
      </c>
      <c r="E1550" s="2">
        <v>65.540000000000006</v>
      </c>
    </row>
    <row r="1551" spans="1:5" x14ac:dyDescent="0.25">
      <c r="A1551" s="1">
        <v>43412</v>
      </c>
      <c r="B1551">
        <v>119626</v>
      </c>
      <c r="C1551" t="s">
        <v>631</v>
      </c>
      <c r="D1551" t="s">
        <v>1620</v>
      </c>
      <c r="E1551" s="2">
        <v>168.14</v>
      </c>
    </row>
    <row r="1552" spans="1:5" x14ac:dyDescent="0.25">
      <c r="A1552" s="1">
        <v>43412</v>
      </c>
      <c r="B1552">
        <v>119626</v>
      </c>
      <c r="C1552" t="s">
        <v>631</v>
      </c>
      <c r="D1552" t="s">
        <v>1621</v>
      </c>
      <c r="E1552" s="2">
        <v>22.96</v>
      </c>
    </row>
    <row r="1553" spans="1:5" x14ac:dyDescent="0.25">
      <c r="A1553" s="1">
        <v>43412</v>
      </c>
      <c r="B1553">
        <v>119626</v>
      </c>
      <c r="C1553" t="s">
        <v>631</v>
      </c>
      <c r="D1553" t="s">
        <v>1622</v>
      </c>
      <c r="E1553" s="2">
        <v>192.45</v>
      </c>
    </row>
    <row r="1554" spans="1:5" x14ac:dyDescent="0.25">
      <c r="A1554" s="1">
        <v>43412</v>
      </c>
      <c r="B1554">
        <v>119626</v>
      </c>
      <c r="C1554" t="s">
        <v>631</v>
      </c>
      <c r="D1554" t="s">
        <v>1623</v>
      </c>
      <c r="E1554" s="2">
        <v>290.95999999999998</v>
      </c>
    </row>
    <row r="1555" spans="1:5" x14ac:dyDescent="0.25">
      <c r="A1555" s="1">
        <v>43412</v>
      </c>
      <c r="B1555">
        <v>119626</v>
      </c>
      <c r="C1555" t="s">
        <v>631</v>
      </c>
      <c r="D1555" t="s">
        <v>1624</v>
      </c>
      <c r="E1555" s="2">
        <v>281.94</v>
      </c>
    </row>
    <row r="1556" spans="1:5" x14ac:dyDescent="0.25">
      <c r="A1556" s="1">
        <v>43412</v>
      </c>
      <c r="B1556">
        <v>119626</v>
      </c>
      <c r="C1556" t="s">
        <v>631</v>
      </c>
      <c r="D1556" t="s">
        <v>1625</v>
      </c>
      <c r="E1556" s="2">
        <v>321.49</v>
      </c>
    </row>
    <row r="1557" spans="1:5" x14ac:dyDescent="0.25">
      <c r="A1557" s="1">
        <v>43412</v>
      </c>
      <c r="B1557">
        <v>119626</v>
      </c>
      <c r="C1557" t="s">
        <v>631</v>
      </c>
      <c r="D1557" t="s">
        <v>1626</v>
      </c>
      <c r="E1557" s="2">
        <v>569.83000000000004</v>
      </c>
    </row>
    <row r="1558" spans="1:5" x14ac:dyDescent="0.25">
      <c r="A1558" s="1">
        <v>43412</v>
      </c>
      <c r="B1558">
        <v>119626</v>
      </c>
      <c r="C1558" t="s">
        <v>631</v>
      </c>
      <c r="D1558" t="s">
        <v>1627</v>
      </c>
      <c r="E1558" s="2">
        <v>289.95999999999998</v>
      </c>
    </row>
    <row r="1559" spans="1:5" x14ac:dyDescent="0.25">
      <c r="A1559" s="1">
        <v>43412</v>
      </c>
      <c r="B1559">
        <v>119626</v>
      </c>
      <c r="C1559" t="s">
        <v>631</v>
      </c>
      <c r="D1559" t="s">
        <v>1628</v>
      </c>
      <c r="E1559" s="2">
        <v>47.36</v>
      </c>
    </row>
    <row r="1560" spans="1:5" x14ac:dyDescent="0.25">
      <c r="A1560" s="1">
        <v>43412</v>
      </c>
      <c r="B1560">
        <v>119626</v>
      </c>
      <c r="C1560" t="s">
        <v>631</v>
      </c>
      <c r="D1560" t="s">
        <v>1629</v>
      </c>
      <c r="E1560" s="2">
        <v>146.91999999999999</v>
      </c>
    </row>
    <row r="1561" spans="1:5" x14ac:dyDescent="0.25">
      <c r="A1561" s="1">
        <v>43412</v>
      </c>
      <c r="B1561">
        <v>119626</v>
      </c>
      <c r="C1561" t="s">
        <v>631</v>
      </c>
      <c r="D1561" t="s">
        <v>1630</v>
      </c>
      <c r="E1561" s="2">
        <v>143.84</v>
      </c>
    </row>
    <row r="1562" spans="1:5" x14ac:dyDescent="0.25">
      <c r="A1562" s="1">
        <v>43412</v>
      </c>
      <c r="B1562">
        <v>119626</v>
      </c>
      <c r="C1562" t="s">
        <v>631</v>
      </c>
      <c r="D1562" t="s">
        <v>1631</v>
      </c>
      <c r="E1562" s="2">
        <v>237.4</v>
      </c>
    </row>
    <row r="1563" spans="1:5" x14ac:dyDescent="0.25">
      <c r="A1563" s="1">
        <v>43412</v>
      </c>
      <c r="B1563">
        <v>119626</v>
      </c>
      <c r="C1563" t="s">
        <v>631</v>
      </c>
      <c r="D1563" t="s">
        <v>1632</v>
      </c>
      <c r="E1563" s="2">
        <v>80.03</v>
      </c>
    </row>
    <row r="1564" spans="1:5" x14ac:dyDescent="0.25">
      <c r="A1564" s="1">
        <v>43412</v>
      </c>
      <c r="B1564">
        <v>119626</v>
      </c>
      <c r="C1564" t="s">
        <v>631</v>
      </c>
      <c r="D1564" t="s">
        <v>1633</v>
      </c>
      <c r="E1564" s="2">
        <v>54.98</v>
      </c>
    </row>
    <row r="1565" spans="1:5" x14ac:dyDescent="0.25">
      <c r="A1565" s="1">
        <v>43412</v>
      </c>
      <c r="B1565">
        <v>119627</v>
      </c>
      <c r="C1565" t="s">
        <v>235</v>
      </c>
      <c r="D1565" t="s">
        <v>1634</v>
      </c>
      <c r="E1565" s="2">
        <v>1956</v>
      </c>
    </row>
    <row r="1566" spans="1:5" x14ac:dyDescent="0.25">
      <c r="A1566" s="1">
        <v>43412</v>
      </c>
      <c r="B1566">
        <v>119629</v>
      </c>
      <c r="C1566" t="s">
        <v>22</v>
      </c>
      <c r="D1566" t="s">
        <v>1635</v>
      </c>
      <c r="E1566" s="2">
        <v>3985.44</v>
      </c>
    </row>
    <row r="1567" spans="1:5" x14ac:dyDescent="0.25">
      <c r="A1567" s="1">
        <v>43412</v>
      </c>
      <c r="B1567">
        <v>119629</v>
      </c>
      <c r="C1567" t="s">
        <v>22</v>
      </c>
      <c r="D1567" t="s">
        <v>1636</v>
      </c>
      <c r="E1567" s="2">
        <v>1758.12</v>
      </c>
    </row>
    <row r="1568" spans="1:5" x14ac:dyDescent="0.25">
      <c r="A1568" s="1">
        <v>43412</v>
      </c>
      <c r="B1568">
        <v>119632</v>
      </c>
      <c r="C1568" t="s">
        <v>238</v>
      </c>
      <c r="D1568" t="s">
        <v>437</v>
      </c>
      <c r="E1568" s="2">
        <v>154.54</v>
      </c>
    </row>
    <row r="1569" spans="1:5" x14ac:dyDescent="0.25">
      <c r="A1569" s="1">
        <v>43412</v>
      </c>
      <c r="B1569">
        <v>119632</v>
      </c>
      <c r="C1569" t="s">
        <v>238</v>
      </c>
      <c r="D1569" t="s">
        <v>437</v>
      </c>
      <c r="E1569" s="2">
        <v>240.54</v>
      </c>
    </row>
    <row r="1570" spans="1:5" x14ac:dyDescent="0.25">
      <c r="A1570" s="1">
        <v>43412</v>
      </c>
      <c r="B1570">
        <v>119632</v>
      </c>
      <c r="C1570" t="s">
        <v>238</v>
      </c>
      <c r="D1570" t="s">
        <v>437</v>
      </c>
      <c r="E1570" s="2">
        <v>597.66999999999996</v>
      </c>
    </row>
    <row r="1571" spans="1:5" x14ac:dyDescent="0.25">
      <c r="A1571" s="1">
        <v>43412</v>
      </c>
      <c r="B1571">
        <v>119632</v>
      </c>
      <c r="C1571" t="s">
        <v>238</v>
      </c>
      <c r="D1571" t="s">
        <v>437</v>
      </c>
      <c r="E1571" s="2">
        <v>137.38</v>
      </c>
    </row>
    <row r="1572" spans="1:5" x14ac:dyDescent="0.25">
      <c r="A1572" s="1">
        <v>43412</v>
      </c>
      <c r="B1572">
        <v>119632</v>
      </c>
      <c r="C1572" t="s">
        <v>238</v>
      </c>
      <c r="D1572" t="s">
        <v>437</v>
      </c>
      <c r="E1572" s="2">
        <v>180.03</v>
      </c>
    </row>
    <row r="1573" spans="1:5" x14ac:dyDescent="0.25">
      <c r="A1573" s="1">
        <v>43412</v>
      </c>
      <c r="B1573">
        <v>119632</v>
      </c>
      <c r="C1573" t="s">
        <v>238</v>
      </c>
      <c r="D1573" t="s">
        <v>437</v>
      </c>
      <c r="E1573" s="2">
        <v>184.77</v>
      </c>
    </row>
    <row r="1574" spans="1:5" x14ac:dyDescent="0.25">
      <c r="A1574" s="1">
        <v>43412</v>
      </c>
      <c r="B1574">
        <v>119632</v>
      </c>
      <c r="C1574" t="s">
        <v>238</v>
      </c>
      <c r="D1574" t="s">
        <v>437</v>
      </c>
      <c r="E1574" s="2">
        <v>124.32</v>
      </c>
    </row>
    <row r="1575" spans="1:5" x14ac:dyDescent="0.25">
      <c r="A1575" s="1">
        <v>43412</v>
      </c>
      <c r="B1575">
        <v>119632</v>
      </c>
      <c r="C1575" t="s">
        <v>238</v>
      </c>
      <c r="D1575" t="s">
        <v>437</v>
      </c>
      <c r="E1575" s="2">
        <v>848.65</v>
      </c>
    </row>
    <row r="1576" spans="1:5" x14ac:dyDescent="0.25">
      <c r="A1576" s="1">
        <v>43412</v>
      </c>
      <c r="B1576">
        <v>119632</v>
      </c>
      <c r="C1576" t="s">
        <v>238</v>
      </c>
      <c r="D1576" t="s">
        <v>437</v>
      </c>
      <c r="E1576" s="2">
        <v>72.11</v>
      </c>
    </row>
    <row r="1577" spans="1:5" x14ac:dyDescent="0.25">
      <c r="A1577" s="1">
        <v>43412</v>
      </c>
      <c r="B1577">
        <v>119632</v>
      </c>
      <c r="C1577" t="s">
        <v>238</v>
      </c>
      <c r="D1577" t="s">
        <v>437</v>
      </c>
      <c r="E1577" s="2">
        <v>758.29</v>
      </c>
    </row>
    <row r="1578" spans="1:5" x14ac:dyDescent="0.25">
      <c r="A1578" s="1">
        <v>43412</v>
      </c>
      <c r="B1578">
        <v>119633</v>
      </c>
      <c r="C1578" t="s">
        <v>239</v>
      </c>
      <c r="D1578" t="s">
        <v>240</v>
      </c>
      <c r="E1578" s="2">
        <v>1100</v>
      </c>
    </row>
    <row r="1579" spans="1:5" x14ac:dyDescent="0.25">
      <c r="A1579" s="1">
        <v>43412</v>
      </c>
      <c r="B1579">
        <v>119634</v>
      </c>
      <c r="C1579" t="s">
        <v>823</v>
      </c>
      <c r="D1579" t="s">
        <v>1637</v>
      </c>
      <c r="E1579" s="2">
        <v>500</v>
      </c>
    </row>
    <row r="1580" spans="1:5" x14ac:dyDescent="0.25">
      <c r="A1580" s="1">
        <v>43412</v>
      </c>
      <c r="B1580">
        <v>119635</v>
      </c>
      <c r="C1580" t="s">
        <v>1638</v>
      </c>
      <c r="D1580" t="s">
        <v>1639</v>
      </c>
      <c r="E1580" s="2">
        <v>2160</v>
      </c>
    </row>
    <row r="1581" spans="1:5" x14ac:dyDescent="0.25">
      <c r="A1581" s="1">
        <v>43412</v>
      </c>
      <c r="B1581">
        <v>119636</v>
      </c>
      <c r="C1581" t="s">
        <v>829</v>
      </c>
      <c r="D1581" t="s">
        <v>1640</v>
      </c>
      <c r="E1581" s="2">
        <v>250</v>
      </c>
    </row>
    <row r="1582" spans="1:5" x14ac:dyDescent="0.25">
      <c r="A1582" s="1">
        <v>43412</v>
      </c>
      <c r="B1582">
        <v>119637</v>
      </c>
      <c r="C1582" t="s">
        <v>67</v>
      </c>
      <c r="D1582" t="s">
        <v>1641</v>
      </c>
      <c r="E1582" s="2">
        <v>1646.11</v>
      </c>
    </row>
    <row r="1583" spans="1:5" x14ac:dyDescent="0.25">
      <c r="A1583" s="1">
        <v>43412</v>
      </c>
      <c r="B1583">
        <v>119638</v>
      </c>
      <c r="C1583" t="s">
        <v>241</v>
      </c>
      <c r="D1583" t="s">
        <v>1642</v>
      </c>
      <c r="E1583" s="2">
        <v>2100</v>
      </c>
    </row>
    <row r="1584" spans="1:5" x14ac:dyDescent="0.25">
      <c r="A1584" s="1">
        <v>43412</v>
      </c>
      <c r="B1584">
        <v>119639</v>
      </c>
      <c r="C1584" t="s">
        <v>662</v>
      </c>
      <c r="D1584" t="s">
        <v>1643</v>
      </c>
      <c r="E1584" s="2">
        <v>455.05</v>
      </c>
    </row>
    <row r="1585" spans="1:5" x14ac:dyDescent="0.25">
      <c r="A1585" s="1">
        <v>43412</v>
      </c>
      <c r="B1585">
        <v>119639</v>
      </c>
      <c r="C1585" t="s">
        <v>662</v>
      </c>
      <c r="D1585" t="s">
        <v>1644</v>
      </c>
      <c r="E1585" s="2">
        <f>14.32+59.69</f>
        <v>74.009999999999991</v>
      </c>
    </row>
    <row r="1586" spans="1:5" x14ac:dyDescent="0.25">
      <c r="A1586" s="1">
        <v>43412</v>
      </c>
      <c r="B1586">
        <v>119639</v>
      </c>
      <c r="C1586" t="s">
        <v>662</v>
      </c>
      <c r="D1586" t="s">
        <v>1645</v>
      </c>
      <c r="E1586" s="2">
        <v>2244</v>
      </c>
    </row>
    <row r="1587" spans="1:5" x14ac:dyDescent="0.25">
      <c r="A1587" s="1">
        <v>43412</v>
      </c>
      <c r="B1587">
        <v>119640</v>
      </c>
      <c r="C1587" t="s">
        <v>405</v>
      </c>
      <c r="D1587" t="s">
        <v>1646</v>
      </c>
      <c r="E1587" s="2">
        <v>103.5</v>
      </c>
    </row>
    <row r="1588" spans="1:5" x14ac:dyDescent="0.25">
      <c r="A1588" s="1">
        <v>43412</v>
      </c>
      <c r="B1588">
        <v>119641</v>
      </c>
      <c r="C1588" t="s">
        <v>244</v>
      </c>
      <c r="D1588" t="s">
        <v>1647</v>
      </c>
      <c r="E1588" s="2">
        <v>647.99</v>
      </c>
    </row>
    <row r="1589" spans="1:5" x14ac:dyDescent="0.25">
      <c r="A1589" s="1">
        <v>43412</v>
      </c>
      <c r="B1589">
        <v>119645</v>
      </c>
      <c r="C1589" t="s">
        <v>106</v>
      </c>
      <c r="D1589" t="s">
        <v>424</v>
      </c>
      <c r="E1589" s="2">
        <f>330.89+483.9+1076.4+330.89+330.89+1057.67+461.77+616.88+190.55+178.98+1436.4+388.76+46.63+1235.92+1081.61+58.24+178.98</f>
        <v>9485.3599999999988</v>
      </c>
    </row>
    <row r="1590" spans="1:5" x14ac:dyDescent="0.25">
      <c r="A1590" s="1">
        <v>43412</v>
      </c>
      <c r="B1590">
        <v>119646</v>
      </c>
      <c r="C1590" t="s">
        <v>197</v>
      </c>
      <c r="D1590" t="s">
        <v>1648</v>
      </c>
      <c r="E1590" s="2">
        <v>52.55</v>
      </c>
    </row>
    <row r="1591" spans="1:5" x14ac:dyDescent="0.25">
      <c r="A1591" s="1">
        <v>43412</v>
      </c>
      <c r="B1591">
        <v>119647</v>
      </c>
      <c r="C1591" t="s">
        <v>1649</v>
      </c>
      <c r="D1591" t="s">
        <v>1650</v>
      </c>
      <c r="E1591" s="2">
        <v>858</v>
      </c>
    </row>
    <row r="1592" spans="1:5" x14ac:dyDescent="0.25">
      <c r="A1592" s="1">
        <v>43412</v>
      </c>
      <c r="B1592">
        <v>119648</v>
      </c>
      <c r="C1592" t="s">
        <v>1651</v>
      </c>
      <c r="D1592" t="s">
        <v>1652</v>
      </c>
      <c r="E1592" s="2">
        <v>5720</v>
      </c>
    </row>
    <row r="1593" spans="1:5" x14ac:dyDescent="0.25">
      <c r="A1593" s="1">
        <v>43412</v>
      </c>
      <c r="B1593">
        <v>119649</v>
      </c>
      <c r="C1593" t="s">
        <v>1173</v>
      </c>
      <c r="D1593" t="s">
        <v>1637</v>
      </c>
      <c r="E1593" s="2">
        <v>250</v>
      </c>
    </row>
    <row r="1594" spans="1:5" x14ac:dyDescent="0.25">
      <c r="A1594" s="1">
        <v>43412</v>
      </c>
      <c r="B1594">
        <v>119650</v>
      </c>
      <c r="C1594" t="s">
        <v>1653</v>
      </c>
      <c r="D1594" t="s">
        <v>36</v>
      </c>
      <c r="E1594" s="2">
        <v>45.38</v>
      </c>
    </row>
    <row r="1595" spans="1:5" x14ac:dyDescent="0.25">
      <c r="A1595" s="1">
        <v>43412</v>
      </c>
      <c r="B1595">
        <v>119651</v>
      </c>
      <c r="C1595" t="s">
        <v>68</v>
      </c>
      <c r="D1595" t="s">
        <v>1654</v>
      </c>
      <c r="E1595" s="2">
        <v>127.28</v>
      </c>
    </row>
    <row r="1596" spans="1:5" x14ac:dyDescent="0.25">
      <c r="A1596" s="1">
        <v>43412</v>
      </c>
      <c r="B1596">
        <v>119652</v>
      </c>
      <c r="C1596" t="s">
        <v>1655</v>
      </c>
      <c r="D1596" t="s">
        <v>1656</v>
      </c>
      <c r="E1596" s="2">
        <v>1285.33</v>
      </c>
    </row>
    <row r="1597" spans="1:5" x14ac:dyDescent="0.25">
      <c r="A1597" s="1">
        <v>43412</v>
      </c>
      <c r="B1597">
        <v>119653</v>
      </c>
      <c r="C1597" t="s">
        <v>1180</v>
      </c>
      <c r="D1597" t="s">
        <v>1657</v>
      </c>
      <c r="E1597" s="2">
        <v>1115.6199999999999</v>
      </c>
    </row>
    <row r="1598" spans="1:5" x14ac:dyDescent="0.25">
      <c r="A1598" s="1">
        <v>43412</v>
      </c>
      <c r="B1598">
        <v>119654</v>
      </c>
      <c r="C1598" t="s">
        <v>1658</v>
      </c>
      <c r="D1598" t="s">
        <v>1659</v>
      </c>
      <c r="E1598" s="2">
        <v>75</v>
      </c>
    </row>
    <row r="1599" spans="1:5" x14ac:dyDescent="0.25">
      <c r="A1599" s="1">
        <v>43412</v>
      </c>
      <c r="B1599">
        <v>119655</v>
      </c>
      <c r="C1599" t="s">
        <v>114</v>
      </c>
      <c r="D1599" t="s">
        <v>1660</v>
      </c>
      <c r="E1599" s="2">
        <v>50</v>
      </c>
    </row>
    <row r="1600" spans="1:5" x14ac:dyDescent="0.25">
      <c r="A1600" s="1">
        <v>43412</v>
      </c>
      <c r="B1600">
        <v>119656</v>
      </c>
      <c r="C1600" t="s">
        <v>1661</v>
      </c>
      <c r="D1600" t="s">
        <v>1662</v>
      </c>
      <c r="E1600" s="2">
        <v>20861.16</v>
      </c>
    </row>
    <row r="1601" spans="1:5" x14ac:dyDescent="0.25">
      <c r="A1601" s="1">
        <v>43412</v>
      </c>
      <c r="B1601">
        <v>119657</v>
      </c>
      <c r="C1601" t="s">
        <v>852</v>
      </c>
      <c r="D1601" t="s">
        <v>1637</v>
      </c>
      <c r="E1601" s="2">
        <v>500</v>
      </c>
    </row>
    <row r="1602" spans="1:5" x14ac:dyDescent="0.25">
      <c r="A1602" s="1">
        <v>43412</v>
      </c>
      <c r="B1602">
        <v>119658</v>
      </c>
      <c r="C1602" t="s">
        <v>361</v>
      </c>
      <c r="D1602" t="s">
        <v>576</v>
      </c>
      <c r="E1602" s="2">
        <v>300.75</v>
      </c>
    </row>
    <row r="1603" spans="1:5" x14ac:dyDescent="0.25">
      <c r="A1603" s="1">
        <v>43412</v>
      </c>
      <c r="B1603">
        <v>119659</v>
      </c>
      <c r="C1603" t="s">
        <v>1663</v>
      </c>
      <c r="D1603" t="s">
        <v>1664</v>
      </c>
      <c r="E1603" s="2">
        <v>450</v>
      </c>
    </row>
    <row r="1604" spans="1:5" x14ac:dyDescent="0.25">
      <c r="A1604" s="1">
        <v>43412</v>
      </c>
      <c r="B1604">
        <v>119663</v>
      </c>
      <c r="C1604" t="s">
        <v>123</v>
      </c>
      <c r="D1604" t="s">
        <v>1665</v>
      </c>
      <c r="E1604" s="2">
        <f>28+105+574.2+47.05+492.93+47.62+42+118.21+1769.73+46.1+38.83+38.71+38.71+39.22</f>
        <v>3426.3099999999995</v>
      </c>
    </row>
    <row r="1605" spans="1:5" x14ac:dyDescent="0.25">
      <c r="A1605" s="1">
        <v>43412</v>
      </c>
      <c r="B1605">
        <v>119663</v>
      </c>
      <c r="C1605" t="s">
        <v>123</v>
      </c>
      <c r="D1605" t="s">
        <v>1666</v>
      </c>
      <c r="E1605" s="2">
        <v>149657.49</v>
      </c>
    </row>
    <row r="1606" spans="1:5" x14ac:dyDescent="0.25">
      <c r="A1606" s="1">
        <v>43412</v>
      </c>
      <c r="B1606">
        <v>119664</v>
      </c>
      <c r="C1606" t="s">
        <v>73</v>
      </c>
      <c r="D1606" t="s">
        <v>1667</v>
      </c>
      <c r="E1606" s="2">
        <v>156</v>
      </c>
    </row>
    <row r="1607" spans="1:5" x14ac:dyDescent="0.25">
      <c r="A1607" s="1">
        <v>43412</v>
      </c>
      <c r="B1607">
        <v>119665</v>
      </c>
      <c r="C1607" t="s">
        <v>259</v>
      </c>
      <c r="D1607" t="s">
        <v>1668</v>
      </c>
      <c r="E1607" s="2">
        <v>448.39</v>
      </c>
    </row>
    <row r="1608" spans="1:5" x14ac:dyDescent="0.25">
      <c r="A1608" s="1">
        <v>43412</v>
      </c>
      <c r="B1608">
        <v>119666</v>
      </c>
      <c r="C1608" t="s">
        <v>263</v>
      </c>
      <c r="D1608" t="s">
        <v>1669</v>
      </c>
      <c r="E1608" s="2">
        <v>300</v>
      </c>
    </row>
    <row r="1609" spans="1:5" x14ac:dyDescent="0.25">
      <c r="A1609" s="1">
        <v>43412</v>
      </c>
      <c r="B1609">
        <v>119667</v>
      </c>
      <c r="C1609" t="s">
        <v>1670</v>
      </c>
      <c r="D1609" t="s">
        <v>1671</v>
      </c>
      <c r="E1609" s="2">
        <v>870.1</v>
      </c>
    </row>
    <row r="1610" spans="1:5" x14ac:dyDescent="0.25">
      <c r="A1610" s="1">
        <v>43412</v>
      </c>
      <c r="B1610">
        <v>119668</v>
      </c>
      <c r="C1610" t="s">
        <v>129</v>
      </c>
      <c r="D1610" t="s">
        <v>1672</v>
      </c>
      <c r="E1610" s="2">
        <v>1000</v>
      </c>
    </row>
    <row r="1611" spans="1:5" x14ac:dyDescent="0.25">
      <c r="A1611" s="1">
        <v>43412</v>
      </c>
      <c r="B1611">
        <v>119669</v>
      </c>
      <c r="C1611" t="s">
        <v>269</v>
      </c>
      <c r="D1611" t="s">
        <v>1673</v>
      </c>
      <c r="E1611" s="2">
        <v>1047</v>
      </c>
    </row>
    <row r="1612" spans="1:5" x14ac:dyDescent="0.25">
      <c r="A1612" s="1">
        <v>43412</v>
      </c>
      <c r="B1612">
        <v>119670</v>
      </c>
      <c r="C1612" t="s">
        <v>1200</v>
      </c>
      <c r="D1612" t="s">
        <v>1201</v>
      </c>
      <c r="E1612" s="2">
        <v>283.2</v>
      </c>
    </row>
    <row r="1613" spans="1:5" x14ac:dyDescent="0.25">
      <c r="A1613" s="1">
        <v>43412</v>
      </c>
      <c r="B1613">
        <v>119671</v>
      </c>
      <c r="C1613" t="s">
        <v>1674</v>
      </c>
      <c r="D1613" t="s">
        <v>1675</v>
      </c>
      <c r="E1613" s="2">
        <v>250</v>
      </c>
    </row>
    <row r="1614" spans="1:5" x14ac:dyDescent="0.25">
      <c r="A1614" s="1">
        <v>43412</v>
      </c>
      <c r="B1614">
        <v>119672</v>
      </c>
      <c r="C1614" t="s">
        <v>275</v>
      </c>
      <c r="D1614" t="s">
        <v>1676</v>
      </c>
      <c r="E1614" s="2">
        <v>357.5</v>
      </c>
    </row>
    <row r="1615" spans="1:5" x14ac:dyDescent="0.25">
      <c r="A1615" s="1">
        <v>43412</v>
      </c>
      <c r="B1615">
        <v>119673</v>
      </c>
      <c r="C1615" t="s">
        <v>1677</v>
      </c>
      <c r="D1615" t="s">
        <v>36</v>
      </c>
      <c r="E1615" s="2">
        <v>17.27</v>
      </c>
    </row>
    <row r="1616" spans="1:5" x14ac:dyDescent="0.25">
      <c r="A1616" s="1">
        <v>43412</v>
      </c>
      <c r="B1616">
        <v>119674</v>
      </c>
      <c r="C1616" t="s">
        <v>276</v>
      </c>
      <c r="D1616" t="s">
        <v>464</v>
      </c>
      <c r="E1616" s="2">
        <v>294.55</v>
      </c>
    </row>
    <row r="1617" spans="1:5" x14ac:dyDescent="0.25">
      <c r="A1617" s="1">
        <v>43412</v>
      </c>
      <c r="B1617">
        <v>119675</v>
      </c>
      <c r="C1617" t="s">
        <v>133</v>
      </c>
      <c r="D1617" t="s">
        <v>1459</v>
      </c>
      <c r="E1617" s="2">
        <v>225</v>
      </c>
    </row>
    <row r="1618" spans="1:5" x14ac:dyDescent="0.25">
      <c r="A1618" s="1">
        <v>43412</v>
      </c>
      <c r="B1618">
        <v>119676</v>
      </c>
      <c r="C1618" t="s">
        <v>716</v>
      </c>
      <c r="D1618" t="s">
        <v>481</v>
      </c>
      <c r="E1618" s="2">
        <v>79.989999999999995</v>
      </c>
    </row>
    <row r="1619" spans="1:5" x14ac:dyDescent="0.25">
      <c r="A1619" s="1">
        <v>43412</v>
      </c>
      <c r="B1619">
        <v>119677</v>
      </c>
      <c r="C1619" t="s">
        <v>1460</v>
      </c>
      <c r="D1619" t="s">
        <v>1461</v>
      </c>
      <c r="E1619" s="2">
        <v>1140</v>
      </c>
    </row>
    <row r="1620" spans="1:5" x14ac:dyDescent="0.25">
      <c r="A1620" s="1">
        <v>43412</v>
      </c>
      <c r="B1620">
        <v>119678</v>
      </c>
      <c r="C1620" t="s">
        <v>48</v>
      </c>
      <c r="D1620" t="s">
        <v>465</v>
      </c>
      <c r="E1620" s="2">
        <v>8801.0400000000009</v>
      </c>
    </row>
    <row r="1621" spans="1:5" x14ac:dyDescent="0.25">
      <c r="A1621" s="1">
        <v>43412</v>
      </c>
      <c r="B1621">
        <v>119681</v>
      </c>
      <c r="C1621" t="s">
        <v>74</v>
      </c>
      <c r="D1621" t="s">
        <v>1678</v>
      </c>
      <c r="E1621" s="2">
        <v>664.7</v>
      </c>
    </row>
    <row r="1622" spans="1:5" x14ac:dyDescent="0.25">
      <c r="A1622" s="1">
        <v>43412</v>
      </c>
      <c r="B1622">
        <v>119681</v>
      </c>
      <c r="C1622" t="s">
        <v>74</v>
      </c>
      <c r="D1622" t="s">
        <v>1242</v>
      </c>
      <c r="E1622" s="2">
        <v>369.32</v>
      </c>
    </row>
    <row r="1623" spans="1:5" x14ac:dyDescent="0.25">
      <c r="A1623" s="1">
        <v>43412</v>
      </c>
      <c r="B1623">
        <v>119681</v>
      </c>
      <c r="C1623" t="s">
        <v>74</v>
      </c>
      <c r="D1623" t="s">
        <v>1679</v>
      </c>
      <c r="E1623" s="2">
        <v>32.97</v>
      </c>
    </row>
    <row r="1624" spans="1:5" x14ac:dyDescent="0.25">
      <c r="A1624" s="1">
        <v>43412</v>
      </c>
      <c r="B1624">
        <v>119681</v>
      </c>
      <c r="C1624" t="s">
        <v>74</v>
      </c>
      <c r="D1624" t="s">
        <v>1680</v>
      </c>
      <c r="E1624" s="2">
        <v>924.8</v>
      </c>
    </row>
    <row r="1625" spans="1:5" x14ac:dyDescent="0.25">
      <c r="A1625" s="1">
        <v>43412</v>
      </c>
      <c r="B1625">
        <v>119681</v>
      </c>
      <c r="C1625" t="s">
        <v>74</v>
      </c>
      <c r="D1625" t="s">
        <v>281</v>
      </c>
      <c r="E1625" s="2">
        <v>1387.2</v>
      </c>
    </row>
    <row r="1626" spans="1:5" x14ac:dyDescent="0.25">
      <c r="A1626" s="1">
        <v>43412</v>
      </c>
      <c r="B1626">
        <v>119681</v>
      </c>
      <c r="C1626" t="s">
        <v>74</v>
      </c>
      <c r="D1626" t="s">
        <v>481</v>
      </c>
      <c r="E1626" s="2">
        <v>7.78</v>
      </c>
    </row>
    <row r="1627" spans="1:5" x14ac:dyDescent="0.25">
      <c r="A1627" s="1">
        <v>43412</v>
      </c>
      <c r="B1627">
        <v>119681</v>
      </c>
      <c r="C1627" t="s">
        <v>74</v>
      </c>
      <c r="D1627" t="s">
        <v>1681</v>
      </c>
      <c r="E1627" s="2">
        <v>27.95</v>
      </c>
    </row>
    <row r="1628" spans="1:5" x14ac:dyDescent="0.25">
      <c r="A1628" s="1">
        <v>43412</v>
      </c>
      <c r="B1628">
        <v>119681</v>
      </c>
      <c r="C1628" t="s">
        <v>74</v>
      </c>
      <c r="D1628" t="s">
        <v>1682</v>
      </c>
      <c r="E1628" s="2">
        <v>478.8</v>
      </c>
    </row>
    <row r="1629" spans="1:5" x14ac:dyDescent="0.25">
      <c r="A1629" s="1">
        <v>43412</v>
      </c>
      <c r="B1629">
        <v>119681</v>
      </c>
      <c r="C1629" t="s">
        <v>74</v>
      </c>
      <c r="D1629" t="s">
        <v>1683</v>
      </c>
      <c r="E1629" s="2">
        <v>449.48</v>
      </c>
    </row>
    <row r="1630" spans="1:5" x14ac:dyDescent="0.25">
      <c r="A1630" s="1">
        <v>43412</v>
      </c>
      <c r="B1630">
        <v>119681</v>
      </c>
      <c r="C1630" t="s">
        <v>74</v>
      </c>
      <c r="D1630" t="s">
        <v>1684</v>
      </c>
      <c r="E1630" s="2">
        <v>187.78</v>
      </c>
    </row>
    <row r="1631" spans="1:5" x14ac:dyDescent="0.25">
      <c r="A1631" s="1">
        <v>43412</v>
      </c>
      <c r="B1631">
        <v>119681</v>
      </c>
      <c r="C1631" t="s">
        <v>74</v>
      </c>
      <c r="D1631" t="s">
        <v>1685</v>
      </c>
      <c r="E1631" s="2">
        <v>139.63</v>
      </c>
    </row>
    <row r="1632" spans="1:5" x14ac:dyDescent="0.25">
      <c r="A1632" s="1">
        <v>43412</v>
      </c>
      <c r="B1632">
        <v>119682</v>
      </c>
      <c r="C1632" t="s">
        <v>142</v>
      </c>
      <c r="D1632" t="s">
        <v>1686</v>
      </c>
      <c r="E1632" s="2">
        <v>25.5</v>
      </c>
    </row>
    <row r="1633" spans="1:5" x14ac:dyDescent="0.25">
      <c r="A1633" s="1">
        <v>43412</v>
      </c>
      <c r="B1633">
        <v>119683</v>
      </c>
      <c r="C1633" t="s">
        <v>873</v>
      </c>
      <c r="D1633" t="s">
        <v>1687</v>
      </c>
      <c r="E1633" s="2">
        <v>397.38</v>
      </c>
    </row>
    <row r="1634" spans="1:5" x14ac:dyDescent="0.25">
      <c r="A1634" s="1">
        <v>43412</v>
      </c>
      <c r="B1634">
        <v>119684</v>
      </c>
      <c r="C1634" t="s">
        <v>1688</v>
      </c>
      <c r="D1634" t="s">
        <v>510</v>
      </c>
      <c r="E1634" s="2">
        <v>7569</v>
      </c>
    </row>
    <row r="1635" spans="1:5" x14ac:dyDescent="0.25">
      <c r="A1635" s="1">
        <v>43412</v>
      </c>
      <c r="B1635">
        <v>119685</v>
      </c>
      <c r="C1635" t="s">
        <v>1022</v>
      </c>
      <c r="D1635" t="s">
        <v>1689</v>
      </c>
      <c r="E1635" s="2">
        <v>3040.2</v>
      </c>
    </row>
    <row r="1636" spans="1:5" x14ac:dyDescent="0.25">
      <c r="A1636" s="1">
        <v>43412</v>
      </c>
      <c r="B1636">
        <v>119686</v>
      </c>
      <c r="C1636" t="s">
        <v>1478</v>
      </c>
      <c r="D1636" t="s">
        <v>1690</v>
      </c>
      <c r="E1636" s="2">
        <v>7500</v>
      </c>
    </row>
    <row r="1637" spans="1:5" x14ac:dyDescent="0.25">
      <c r="A1637" s="1">
        <v>43412</v>
      </c>
      <c r="B1637">
        <v>119687</v>
      </c>
      <c r="C1637" t="s">
        <v>75</v>
      </c>
      <c r="D1637" t="s">
        <v>1691</v>
      </c>
      <c r="E1637" s="2">
        <v>6.96</v>
      </c>
    </row>
    <row r="1638" spans="1:5" x14ac:dyDescent="0.25">
      <c r="A1638" s="1">
        <v>43412</v>
      </c>
      <c r="B1638">
        <v>119687</v>
      </c>
      <c r="C1638" t="s">
        <v>75</v>
      </c>
      <c r="D1638" t="s">
        <v>1692</v>
      </c>
      <c r="E1638" s="2">
        <v>17.55</v>
      </c>
    </row>
    <row r="1639" spans="1:5" x14ac:dyDescent="0.25">
      <c r="A1639" s="1">
        <v>43412</v>
      </c>
      <c r="B1639">
        <v>119687</v>
      </c>
      <c r="C1639" t="s">
        <v>75</v>
      </c>
      <c r="D1639" t="s">
        <v>1693</v>
      </c>
      <c r="E1639" s="2">
        <v>63.23</v>
      </c>
    </row>
    <row r="1640" spans="1:5" x14ac:dyDescent="0.25">
      <c r="A1640" s="1">
        <v>43412</v>
      </c>
      <c r="B1640">
        <v>119688</v>
      </c>
      <c r="C1640" t="s">
        <v>875</v>
      </c>
      <c r="D1640" t="s">
        <v>1694</v>
      </c>
      <c r="E1640" s="2">
        <v>250</v>
      </c>
    </row>
    <row r="1641" spans="1:5" x14ac:dyDescent="0.25">
      <c r="A1641" s="1">
        <v>43412</v>
      </c>
      <c r="B1641">
        <v>119688</v>
      </c>
      <c r="C1641" t="s">
        <v>875</v>
      </c>
      <c r="D1641" t="s">
        <v>1694</v>
      </c>
      <c r="E1641" s="2">
        <v>250</v>
      </c>
    </row>
    <row r="1642" spans="1:5" x14ac:dyDescent="0.25">
      <c r="A1642" s="1">
        <v>43412</v>
      </c>
      <c r="B1642">
        <v>119688</v>
      </c>
      <c r="C1642" t="s">
        <v>875</v>
      </c>
      <c r="D1642" t="s">
        <v>1694</v>
      </c>
      <c r="E1642" s="2">
        <v>500</v>
      </c>
    </row>
    <row r="1643" spans="1:5" x14ac:dyDescent="0.25">
      <c r="A1643" s="1">
        <v>43412</v>
      </c>
      <c r="B1643">
        <v>119690</v>
      </c>
      <c r="C1643" t="s">
        <v>11</v>
      </c>
      <c r="D1643" t="s">
        <v>1224</v>
      </c>
      <c r="E1643" s="2">
        <f>312.4+55.66+23.41+229.12+47.74</f>
        <v>668.32999999999993</v>
      </c>
    </row>
    <row r="1644" spans="1:5" x14ac:dyDescent="0.25">
      <c r="A1644" s="1">
        <v>43412</v>
      </c>
      <c r="B1644">
        <v>119690</v>
      </c>
      <c r="C1644" t="s">
        <v>11</v>
      </c>
      <c r="D1644" t="s">
        <v>1695</v>
      </c>
      <c r="E1644" s="2">
        <v>210.55</v>
      </c>
    </row>
    <row r="1645" spans="1:5" x14ac:dyDescent="0.25">
      <c r="A1645" s="1">
        <v>43412</v>
      </c>
      <c r="B1645">
        <v>119691</v>
      </c>
      <c r="C1645" t="s">
        <v>1696</v>
      </c>
      <c r="D1645" t="s">
        <v>1697</v>
      </c>
      <c r="E1645" s="2">
        <v>644.53</v>
      </c>
    </row>
    <row r="1646" spans="1:5" x14ac:dyDescent="0.25">
      <c r="A1646" s="1">
        <v>43412</v>
      </c>
      <c r="B1646">
        <v>119692</v>
      </c>
      <c r="C1646" t="s">
        <v>12</v>
      </c>
      <c r="D1646" t="s">
        <v>1698</v>
      </c>
      <c r="E1646" s="2">
        <v>169.24</v>
      </c>
    </row>
    <row r="1647" spans="1:5" x14ac:dyDescent="0.25">
      <c r="A1647" s="1">
        <v>43412</v>
      </c>
      <c r="B1647">
        <v>119693</v>
      </c>
      <c r="C1647" t="s">
        <v>1489</v>
      </c>
      <c r="D1647" t="s">
        <v>1699</v>
      </c>
      <c r="E1647" s="2">
        <v>225</v>
      </c>
    </row>
    <row r="1648" spans="1:5" x14ac:dyDescent="0.25">
      <c r="A1648" s="1">
        <v>43412</v>
      </c>
      <c r="B1648">
        <v>119694</v>
      </c>
      <c r="C1648" t="s">
        <v>1228</v>
      </c>
      <c r="D1648" t="s">
        <v>1229</v>
      </c>
      <c r="E1648" s="2">
        <v>1069</v>
      </c>
    </row>
    <row r="1649" spans="1:5" x14ac:dyDescent="0.25">
      <c r="A1649" s="1">
        <v>43412</v>
      </c>
      <c r="B1649">
        <v>119695</v>
      </c>
      <c r="C1649" t="s">
        <v>50</v>
      </c>
      <c r="D1649" t="s">
        <v>1700</v>
      </c>
      <c r="E1649" s="2">
        <v>2792.5</v>
      </c>
    </row>
    <row r="1650" spans="1:5" x14ac:dyDescent="0.25">
      <c r="A1650" s="1">
        <v>43412</v>
      </c>
      <c r="B1650">
        <v>119696</v>
      </c>
      <c r="C1650" t="s">
        <v>1701</v>
      </c>
      <c r="D1650" t="s">
        <v>1652</v>
      </c>
      <c r="E1650" s="2">
        <v>21197.41</v>
      </c>
    </row>
    <row r="1651" spans="1:5" x14ac:dyDescent="0.25">
      <c r="A1651" s="1">
        <v>43412</v>
      </c>
      <c r="B1651">
        <v>119697</v>
      </c>
      <c r="C1651" t="s">
        <v>1702</v>
      </c>
      <c r="D1651" t="s">
        <v>1703</v>
      </c>
      <c r="E1651" s="2">
        <v>1071</v>
      </c>
    </row>
    <row r="1652" spans="1:5" x14ac:dyDescent="0.25">
      <c r="A1652" s="1">
        <v>43412</v>
      </c>
      <c r="B1652">
        <v>119698</v>
      </c>
      <c r="C1652" t="s">
        <v>149</v>
      </c>
      <c r="D1652" t="s">
        <v>1704</v>
      </c>
      <c r="E1652" s="2">
        <v>640</v>
      </c>
    </row>
    <row r="1653" spans="1:5" x14ac:dyDescent="0.25">
      <c r="A1653" s="1">
        <v>43412</v>
      </c>
      <c r="B1653">
        <v>119699</v>
      </c>
      <c r="C1653" t="s">
        <v>80</v>
      </c>
      <c r="D1653" t="s">
        <v>300</v>
      </c>
      <c r="E1653" s="2">
        <v>110.88</v>
      </c>
    </row>
    <row r="1654" spans="1:5" x14ac:dyDescent="0.25">
      <c r="A1654" s="1">
        <v>43412</v>
      </c>
      <c r="B1654">
        <v>119700</v>
      </c>
      <c r="C1654" t="s">
        <v>1110</v>
      </c>
      <c r="D1654" t="s">
        <v>1705</v>
      </c>
      <c r="E1654" s="2">
        <v>125.03</v>
      </c>
    </row>
    <row r="1655" spans="1:5" x14ac:dyDescent="0.25">
      <c r="A1655" s="1">
        <v>43412</v>
      </c>
      <c r="B1655">
        <v>119701</v>
      </c>
      <c r="C1655" t="s">
        <v>750</v>
      </c>
      <c r="D1655" t="s">
        <v>1706</v>
      </c>
      <c r="E1655" s="2">
        <v>450</v>
      </c>
    </row>
    <row r="1656" spans="1:5" x14ac:dyDescent="0.25">
      <c r="A1656" s="1">
        <v>43412</v>
      </c>
      <c r="B1656">
        <v>119702</v>
      </c>
      <c r="C1656" t="s">
        <v>1707</v>
      </c>
      <c r="D1656" t="s">
        <v>1458</v>
      </c>
      <c r="E1656" s="2">
        <v>89.5</v>
      </c>
    </row>
    <row r="1657" spans="1:5" x14ac:dyDescent="0.25">
      <c r="A1657" s="1">
        <v>43412</v>
      </c>
      <c r="B1657">
        <v>119703</v>
      </c>
      <c r="C1657" t="s">
        <v>760</v>
      </c>
      <c r="D1657" t="s">
        <v>1708</v>
      </c>
      <c r="E1657" s="2">
        <v>650.5</v>
      </c>
    </row>
    <row r="1658" spans="1:5" x14ac:dyDescent="0.25">
      <c r="A1658" s="1">
        <v>43412</v>
      </c>
      <c r="B1658">
        <v>119704</v>
      </c>
      <c r="C1658" t="s">
        <v>765</v>
      </c>
      <c r="D1658" t="s">
        <v>1709</v>
      </c>
      <c r="E1658" s="2">
        <v>2295.81</v>
      </c>
    </row>
    <row r="1659" spans="1:5" x14ac:dyDescent="0.25">
      <c r="A1659" s="1">
        <v>43412</v>
      </c>
      <c r="B1659">
        <v>119704</v>
      </c>
      <c r="C1659" t="s">
        <v>765</v>
      </c>
      <c r="D1659" t="s">
        <v>1710</v>
      </c>
      <c r="E1659" s="2">
        <v>625.30999999999995</v>
      </c>
    </row>
    <row r="1660" spans="1:5" x14ac:dyDescent="0.25">
      <c r="A1660" s="1">
        <v>43412</v>
      </c>
      <c r="B1660">
        <v>119705</v>
      </c>
      <c r="C1660" t="s">
        <v>1711</v>
      </c>
      <c r="D1660" t="s">
        <v>1712</v>
      </c>
      <c r="E1660" s="2">
        <v>25</v>
      </c>
    </row>
    <row r="1661" spans="1:5" x14ac:dyDescent="0.25">
      <c r="A1661" s="1">
        <v>43412</v>
      </c>
      <c r="B1661">
        <v>119706</v>
      </c>
      <c r="C1661" t="s">
        <v>768</v>
      </c>
      <c r="D1661" t="s">
        <v>1713</v>
      </c>
      <c r="E1661" s="2">
        <v>4624.38</v>
      </c>
    </row>
    <row r="1662" spans="1:5" x14ac:dyDescent="0.25">
      <c r="A1662" s="1">
        <v>43412</v>
      </c>
      <c r="B1662">
        <v>119708</v>
      </c>
      <c r="C1662" t="s">
        <v>55</v>
      </c>
      <c r="D1662" t="s">
        <v>773</v>
      </c>
      <c r="E1662" s="2">
        <f>195+2860</f>
        <v>3055</v>
      </c>
    </row>
    <row r="1663" spans="1:5" x14ac:dyDescent="0.25">
      <c r="A1663" s="1">
        <v>43412</v>
      </c>
      <c r="B1663">
        <v>119709</v>
      </c>
      <c r="C1663" t="s">
        <v>889</v>
      </c>
      <c r="D1663" t="s">
        <v>1694</v>
      </c>
      <c r="E1663" s="2">
        <v>250</v>
      </c>
    </row>
    <row r="1664" spans="1:5" x14ac:dyDescent="0.25">
      <c r="A1664" s="1">
        <v>43412</v>
      </c>
      <c r="B1664">
        <v>119709</v>
      </c>
      <c r="C1664" t="s">
        <v>889</v>
      </c>
      <c r="D1664" t="s">
        <v>1694</v>
      </c>
      <c r="E1664" s="2">
        <v>500</v>
      </c>
    </row>
    <row r="1665" spans="1:5" x14ac:dyDescent="0.25">
      <c r="A1665" s="1">
        <v>43412</v>
      </c>
      <c r="B1665">
        <v>119710</v>
      </c>
      <c r="C1665" t="s">
        <v>1714</v>
      </c>
      <c r="D1665" t="s">
        <v>1715</v>
      </c>
      <c r="E1665" s="2">
        <v>698.22</v>
      </c>
    </row>
    <row r="1666" spans="1:5" x14ac:dyDescent="0.25">
      <c r="A1666" s="1">
        <v>43412</v>
      </c>
      <c r="B1666">
        <v>119711</v>
      </c>
      <c r="C1666" t="s">
        <v>1716</v>
      </c>
      <c r="D1666" t="s">
        <v>773</v>
      </c>
      <c r="E1666" s="2">
        <f>260+320</f>
        <v>580</v>
      </c>
    </row>
    <row r="1667" spans="1:5" x14ac:dyDescent="0.25">
      <c r="A1667" s="1">
        <v>43412</v>
      </c>
      <c r="B1667">
        <v>119713</v>
      </c>
      <c r="C1667" t="s">
        <v>321</v>
      </c>
      <c r="D1667" t="s">
        <v>1717</v>
      </c>
      <c r="E1667" s="2">
        <f>240+240+240+240</f>
        <v>960</v>
      </c>
    </row>
    <row r="1668" spans="1:5" x14ac:dyDescent="0.25">
      <c r="A1668" s="1">
        <v>43412</v>
      </c>
      <c r="B1668">
        <v>119714</v>
      </c>
      <c r="C1668" t="s">
        <v>1718</v>
      </c>
      <c r="D1668" t="s">
        <v>1719</v>
      </c>
      <c r="E1668" s="2">
        <v>295</v>
      </c>
    </row>
    <row r="1669" spans="1:5" x14ac:dyDescent="0.25">
      <c r="A1669" s="1">
        <v>43412</v>
      </c>
      <c r="B1669">
        <v>119715</v>
      </c>
      <c r="C1669" t="s">
        <v>1364</v>
      </c>
      <c r="D1669" t="s">
        <v>1720</v>
      </c>
      <c r="E1669" s="2">
        <v>855</v>
      </c>
    </row>
    <row r="1670" spans="1:5" x14ac:dyDescent="0.25">
      <c r="A1670" s="1">
        <v>43412</v>
      </c>
      <c r="B1670">
        <v>119716</v>
      </c>
      <c r="C1670" t="s">
        <v>88</v>
      </c>
      <c r="D1670" t="s">
        <v>1721</v>
      </c>
      <c r="E1670" s="2">
        <v>341.25</v>
      </c>
    </row>
    <row r="1671" spans="1:5" x14ac:dyDescent="0.25">
      <c r="A1671" s="1">
        <v>43412</v>
      </c>
      <c r="B1671">
        <v>119717</v>
      </c>
      <c r="C1671" t="s">
        <v>1722</v>
      </c>
      <c r="D1671" t="s">
        <v>1723</v>
      </c>
      <c r="E1671" s="2">
        <v>17.489999999999998</v>
      </c>
    </row>
    <row r="1672" spans="1:5" x14ac:dyDescent="0.25">
      <c r="A1672" s="1">
        <v>43412</v>
      </c>
      <c r="B1672">
        <v>119718</v>
      </c>
      <c r="C1672" t="s">
        <v>1268</v>
      </c>
      <c r="D1672" t="s">
        <v>773</v>
      </c>
      <c r="E1672" s="2">
        <v>3600</v>
      </c>
    </row>
    <row r="1673" spans="1:5" x14ac:dyDescent="0.25">
      <c r="A1673" s="1">
        <v>43412</v>
      </c>
      <c r="B1673">
        <v>119718</v>
      </c>
      <c r="C1673" t="s">
        <v>1268</v>
      </c>
      <c r="D1673" t="s">
        <v>717</v>
      </c>
      <c r="E1673" s="2">
        <v>424</v>
      </c>
    </row>
    <row r="1674" spans="1:5" x14ac:dyDescent="0.25">
      <c r="A1674" s="1">
        <v>43412</v>
      </c>
      <c r="B1674">
        <v>119719</v>
      </c>
      <c r="C1674" t="s">
        <v>324</v>
      </c>
      <c r="D1674" t="s">
        <v>1724</v>
      </c>
      <c r="E1674" s="2">
        <v>6573.31</v>
      </c>
    </row>
    <row r="1675" spans="1:5" x14ac:dyDescent="0.25">
      <c r="A1675" s="1">
        <v>43412</v>
      </c>
      <c r="B1675">
        <v>119720</v>
      </c>
      <c r="C1675" t="s">
        <v>174</v>
      </c>
      <c r="D1675" t="s">
        <v>1725</v>
      </c>
      <c r="E1675" s="2">
        <v>1941.06</v>
      </c>
    </row>
    <row r="1676" spans="1:5" x14ac:dyDescent="0.25">
      <c r="A1676" s="1">
        <v>43412</v>
      </c>
      <c r="B1676">
        <v>119721</v>
      </c>
      <c r="C1676" t="s">
        <v>1726</v>
      </c>
      <c r="D1676" t="s">
        <v>528</v>
      </c>
      <c r="E1676" s="2">
        <v>40</v>
      </c>
    </row>
    <row r="1677" spans="1:5" x14ac:dyDescent="0.25">
      <c r="A1677" s="1">
        <v>43412</v>
      </c>
      <c r="B1677">
        <v>119722</v>
      </c>
      <c r="C1677" t="s">
        <v>1727</v>
      </c>
      <c r="D1677" t="s">
        <v>1728</v>
      </c>
      <c r="E1677" s="2">
        <v>840</v>
      </c>
    </row>
    <row r="1678" spans="1:5" x14ac:dyDescent="0.25">
      <c r="A1678" s="1">
        <v>43412</v>
      </c>
      <c r="B1678">
        <v>119723</v>
      </c>
      <c r="C1678" t="s">
        <v>1729</v>
      </c>
      <c r="D1678" t="s">
        <v>1730</v>
      </c>
      <c r="E1678" s="2">
        <v>9.64</v>
      </c>
    </row>
    <row r="1679" spans="1:5" x14ac:dyDescent="0.25">
      <c r="A1679" s="1">
        <v>43412</v>
      </c>
      <c r="B1679">
        <v>119724</v>
      </c>
      <c r="C1679" t="s">
        <v>327</v>
      </c>
      <c r="D1679" t="s">
        <v>1731</v>
      </c>
      <c r="E1679" s="2">
        <f>330+4388.25</f>
        <v>4718.25</v>
      </c>
    </row>
    <row r="1680" spans="1:5" x14ac:dyDescent="0.25">
      <c r="A1680" s="1">
        <v>43412</v>
      </c>
      <c r="B1680">
        <v>119725</v>
      </c>
      <c r="C1680" t="s">
        <v>901</v>
      </c>
      <c r="D1680" t="s">
        <v>1694</v>
      </c>
      <c r="E1680" s="2">
        <v>250</v>
      </c>
    </row>
    <row r="1681" spans="1:5" x14ac:dyDescent="0.25">
      <c r="A1681" s="1">
        <v>43412</v>
      </c>
      <c r="B1681">
        <v>119726</v>
      </c>
      <c r="C1681" t="s">
        <v>1279</v>
      </c>
      <c r="D1681" t="s">
        <v>1732</v>
      </c>
      <c r="E1681" s="2">
        <f>110+110</f>
        <v>220</v>
      </c>
    </row>
    <row r="1682" spans="1:5" x14ac:dyDescent="0.25">
      <c r="A1682" s="1">
        <v>43412</v>
      </c>
      <c r="B1682">
        <v>119727</v>
      </c>
      <c r="C1682" t="s">
        <v>1290</v>
      </c>
      <c r="D1682" t="s">
        <v>464</v>
      </c>
      <c r="E1682" s="2">
        <v>26.98</v>
      </c>
    </row>
    <row r="1683" spans="1:5" x14ac:dyDescent="0.25">
      <c r="A1683" s="1">
        <v>43412</v>
      </c>
      <c r="B1683">
        <v>119729</v>
      </c>
      <c r="C1683" t="s">
        <v>392</v>
      </c>
      <c r="D1683" t="s">
        <v>1056</v>
      </c>
      <c r="E1683" s="2">
        <v>15628.41</v>
      </c>
    </row>
    <row r="1684" spans="1:5" x14ac:dyDescent="0.25">
      <c r="A1684" s="1">
        <v>43412</v>
      </c>
      <c r="B1684">
        <v>181900078</v>
      </c>
      <c r="C1684" t="s">
        <v>597</v>
      </c>
      <c r="D1684" t="s">
        <v>598</v>
      </c>
      <c r="E1684" s="2">
        <v>0</v>
      </c>
    </row>
    <row r="1685" spans="1:5" x14ac:dyDescent="0.25">
      <c r="A1685" s="1">
        <v>43412</v>
      </c>
      <c r="B1685">
        <v>181900079</v>
      </c>
      <c r="C1685" t="s">
        <v>1733</v>
      </c>
      <c r="D1685" t="s">
        <v>1045</v>
      </c>
      <c r="E1685" s="2">
        <v>118.87</v>
      </c>
    </row>
    <row r="1686" spans="1:5" x14ac:dyDescent="0.25">
      <c r="A1686" s="1">
        <v>43412</v>
      </c>
      <c r="B1686">
        <v>181900080</v>
      </c>
      <c r="C1686" t="s">
        <v>1734</v>
      </c>
      <c r="D1686" t="s">
        <v>1548</v>
      </c>
      <c r="E1686" s="2">
        <v>31.73</v>
      </c>
    </row>
    <row r="1687" spans="1:5" x14ac:dyDescent="0.25">
      <c r="A1687" s="1">
        <v>43412</v>
      </c>
      <c r="B1687">
        <v>181900081</v>
      </c>
      <c r="C1687" t="s">
        <v>1735</v>
      </c>
      <c r="D1687" t="s">
        <v>1045</v>
      </c>
      <c r="E1687" s="2">
        <v>118.87</v>
      </c>
    </row>
    <row r="1688" spans="1:5" x14ac:dyDescent="0.25">
      <c r="A1688" s="1">
        <v>43413</v>
      </c>
      <c r="B1688">
        <v>181900082</v>
      </c>
      <c r="C1688" t="s">
        <v>398</v>
      </c>
      <c r="D1688" t="s">
        <v>1736</v>
      </c>
      <c r="E1688" s="2">
        <v>129052.8</v>
      </c>
    </row>
    <row r="1689" spans="1:5" x14ac:dyDescent="0.25">
      <c r="A1689" s="1">
        <v>43413</v>
      </c>
      <c r="B1689">
        <v>181900083</v>
      </c>
      <c r="C1689" t="s">
        <v>1733</v>
      </c>
      <c r="D1689" t="s">
        <v>1045</v>
      </c>
      <c r="E1689" s="2">
        <v>118.87</v>
      </c>
    </row>
    <row r="1690" spans="1:5" x14ac:dyDescent="0.25">
      <c r="A1690" s="1">
        <v>43416</v>
      </c>
      <c r="B1690">
        <v>119733</v>
      </c>
      <c r="C1690" t="s">
        <v>869</v>
      </c>
      <c r="D1690" t="s">
        <v>1016</v>
      </c>
      <c r="E1690" s="3">
        <v>-234.12</v>
      </c>
    </row>
    <row r="1691" spans="1:5" x14ac:dyDescent="0.25">
      <c r="A1691" s="1">
        <v>43416</v>
      </c>
      <c r="B1691">
        <v>119733</v>
      </c>
      <c r="C1691" t="s">
        <v>869</v>
      </c>
      <c r="D1691" t="s">
        <v>464</v>
      </c>
      <c r="E1691" s="2">
        <f>243.72+52.55</f>
        <v>296.27</v>
      </c>
    </row>
    <row r="1692" spans="1:5" x14ac:dyDescent="0.25">
      <c r="A1692" s="1">
        <v>43416</v>
      </c>
      <c r="B1692">
        <v>119733</v>
      </c>
      <c r="C1692" t="s">
        <v>869</v>
      </c>
      <c r="D1692" t="s">
        <v>416</v>
      </c>
      <c r="E1692" s="3">
        <f>-28.8-14.4</f>
        <v>-43.2</v>
      </c>
    </row>
    <row r="1693" spans="1:5" x14ac:dyDescent="0.25">
      <c r="A1693" s="1">
        <v>43416</v>
      </c>
      <c r="B1693">
        <v>119733</v>
      </c>
      <c r="C1693" t="s">
        <v>869</v>
      </c>
      <c r="D1693" t="s">
        <v>1737</v>
      </c>
      <c r="E1693" s="2">
        <f>2186.31+16.64+78+81.5</f>
        <v>2362.4499999999998</v>
      </c>
    </row>
    <row r="1694" spans="1:5" x14ac:dyDescent="0.25">
      <c r="A1694" s="1">
        <v>43416</v>
      </c>
      <c r="B1694">
        <v>119733</v>
      </c>
      <c r="C1694" t="s">
        <v>869</v>
      </c>
      <c r="D1694" t="s">
        <v>1738</v>
      </c>
      <c r="E1694" s="2">
        <v>6.28</v>
      </c>
    </row>
    <row r="1695" spans="1:5" x14ac:dyDescent="0.25">
      <c r="A1695" s="1">
        <v>43416</v>
      </c>
      <c r="B1695">
        <v>119733</v>
      </c>
      <c r="C1695" t="s">
        <v>869</v>
      </c>
      <c r="D1695" t="s">
        <v>1739</v>
      </c>
      <c r="E1695" s="2">
        <v>172.35</v>
      </c>
    </row>
    <row r="1696" spans="1:5" x14ac:dyDescent="0.25">
      <c r="A1696" s="1">
        <v>43416</v>
      </c>
      <c r="B1696">
        <v>119733</v>
      </c>
      <c r="C1696" t="s">
        <v>869</v>
      </c>
      <c r="D1696" t="s">
        <v>1740</v>
      </c>
      <c r="E1696" s="2">
        <v>369</v>
      </c>
    </row>
    <row r="1697" spans="1:5" x14ac:dyDescent="0.25">
      <c r="A1697" s="1">
        <v>43416</v>
      </c>
      <c r="B1697">
        <v>119733</v>
      </c>
      <c r="C1697" t="s">
        <v>869</v>
      </c>
      <c r="D1697" t="s">
        <v>464</v>
      </c>
      <c r="E1697" s="2">
        <v>39.86</v>
      </c>
    </row>
    <row r="1698" spans="1:5" x14ac:dyDescent="0.25">
      <c r="A1698" s="1">
        <v>43416</v>
      </c>
      <c r="B1698">
        <v>201800085</v>
      </c>
      <c r="C1698" t="s">
        <v>1741</v>
      </c>
      <c r="D1698" t="s">
        <v>1742</v>
      </c>
      <c r="E1698" s="2">
        <v>350</v>
      </c>
    </row>
    <row r="1699" spans="1:5" x14ac:dyDescent="0.25">
      <c r="A1699" s="1">
        <v>43416</v>
      </c>
      <c r="B1699">
        <v>201800087</v>
      </c>
      <c r="C1699" t="s">
        <v>404</v>
      </c>
      <c r="D1699" t="s">
        <v>1743</v>
      </c>
      <c r="E1699" s="2">
        <f>48*8</f>
        <v>384</v>
      </c>
    </row>
    <row r="1700" spans="1:5" x14ac:dyDescent="0.25">
      <c r="A1700" s="1">
        <v>43416</v>
      </c>
      <c r="B1700">
        <v>201800090</v>
      </c>
      <c r="C1700" t="s">
        <v>1256</v>
      </c>
      <c r="D1700" t="s">
        <v>1565</v>
      </c>
      <c r="E1700" s="2">
        <v>62.5</v>
      </c>
    </row>
    <row r="1701" spans="1:5" x14ac:dyDescent="0.25">
      <c r="A1701" s="1">
        <v>43416</v>
      </c>
      <c r="B1701">
        <v>201800091</v>
      </c>
      <c r="C1701" t="s">
        <v>1744</v>
      </c>
      <c r="D1701" t="s">
        <v>1745</v>
      </c>
      <c r="E1701" s="2">
        <v>1438.27</v>
      </c>
    </row>
    <row r="1702" spans="1:5" x14ac:dyDescent="0.25">
      <c r="A1702" s="1">
        <v>43416</v>
      </c>
      <c r="B1702">
        <v>201800092</v>
      </c>
      <c r="C1702" t="s">
        <v>1563</v>
      </c>
      <c r="D1702" t="s">
        <v>1564</v>
      </c>
      <c r="E1702" s="2">
        <v>56.3</v>
      </c>
    </row>
    <row r="1703" spans="1:5" x14ac:dyDescent="0.25">
      <c r="A1703" s="1">
        <v>43416</v>
      </c>
      <c r="B1703">
        <v>201800093</v>
      </c>
      <c r="C1703" t="s">
        <v>1746</v>
      </c>
      <c r="D1703" t="s">
        <v>1747</v>
      </c>
      <c r="E1703" s="2">
        <v>240</v>
      </c>
    </row>
    <row r="1704" spans="1:5" x14ac:dyDescent="0.25">
      <c r="A1704" s="1">
        <v>43416</v>
      </c>
      <c r="B1704">
        <v>201800094</v>
      </c>
      <c r="C1704" t="s">
        <v>787</v>
      </c>
      <c r="D1704" t="s">
        <v>1748</v>
      </c>
      <c r="E1704" s="2">
        <v>57.33</v>
      </c>
    </row>
    <row r="1705" spans="1:5" x14ac:dyDescent="0.25">
      <c r="A1705" s="1">
        <v>43417</v>
      </c>
      <c r="B1705">
        <v>119734</v>
      </c>
      <c r="C1705" t="s">
        <v>1749</v>
      </c>
      <c r="D1705" t="s">
        <v>1750</v>
      </c>
      <c r="E1705" s="2">
        <v>280</v>
      </c>
    </row>
    <row r="1706" spans="1:5" x14ac:dyDescent="0.25">
      <c r="A1706" s="1">
        <v>43417</v>
      </c>
      <c r="B1706">
        <v>119735</v>
      </c>
      <c r="C1706" t="s">
        <v>1364</v>
      </c>
      <c r="D1706" t="s">
        <v>1751</v>
      </c>
      <c r="E1706" s="2">
        <v>705</v>
      </c>
    </row>
    <row r="1707" spans="1:5" x14ac:dyDescent="0.25">
      <c r="A1707" s="1">
        <v>43417</v>
      </c>
      <c r="B1707">
        <v>201800096</v>
      </c>
      <c r="C1707" t="s">
        <v>938</v>
      </c>
      <c r="D1707" t="s">
        <v>1752</v>
      </c>
      <c r="E1707" s="2">
        <v>68.11</v>
      </c>
    </row>
    <row r="1708" spans="1:5" x14ac:dyDescent="0.25">
      <c r="A1708" s="1">
        <v>43417</v>
      </c>
      <c r="B1708">
        <v>201800097</v>
      </c>
      <c r="C1708" t="s">
        <v>940</v>
      </c>
      <c r="D1708" t="s">
        <v>1753</v>
      </c>
      <c r="E1708" s="2">
        <v>63.99</v>
      </c>
    </row>
    <row r="1709" spans="1:5" x14ac:dyDescent="0.25">
      <c r="A1709" s="1">
        <v>43418</v>
      </c>
      <c r="B1709">
        <v>119736</v>
      </c>
      <c r="C1709" t="s">
        <v>1749</v>
      </c>
      <c r="D1709" t="s">
        <v>1754</v>
      </c>
      <c r="E1709" s="2">
        <v>40</v>
      </c>
    </row>
    <row r="1710" spans="1:5" x14ac:dyDescent="0.25">
      <c r="A1710" s="1">
        <v>43418</v>
      </c>
      <c r="B1710">
        <v>119737</v>
      </c>
      <c r="C1710" t="s">
        <v>1755</v>
      </c>
      <c r="D1710" t="s">
        <v>1756</v>
      </c>
      <c r="E1710" s="2">
        <v>1000</v>
      </c>
    </row>
    <row r="1711" spans="1:5" x14ac:dyDescent="0.25">
      <c r="A1711" s="1">
        <v>43418</v>
      </c>
      <c r="B1711">
        <v>119738</v>
      </c>
      <c r="C1711" t="s">
        <v>1757</v>
      </c>
      <c r="D1711" t="s">
        <v>1756</v>
      </c>
      <c r="E1711" s="2">
        <v>1000</v>
      </c>
    </row>
    <row r="1712" spans="1:5" x14ac:dyDescent="0.25">
      <c r="A1712" s="1">
        <v>43418</v>
      </c>
      <c r="B1712">
        <v>119739</v>
      </c>
      <c r="C1712" t="s">
        <v>7</v>
      </c>
      <c r="D1712" t="s">
        <v>1758</v>
      </c>
      <c r="E1712" s="2">
        <v>24</v>
      </c>
    </row>
    <row r="1713" spans="1:5" x14ac:dyDescent="0.25">
      <c r="A1713" s="1">
        <v>43418</v>
      </c>
      <c r="B1713">
        <v>119740</v>
      </c>
      <c r="C1713" t="s">
        <v>1759</v>
      </c>
      <c r="D1713" t="s">
        <v>773</v>
      </c>
      <c r="E1713" s="2">
        <v>190</v>
      </c>
    </row>
    <row r="1714" spans="1:5" x14ac:dyDescent="0.25">
      <c r="A1714" s="1">
        <v>43418</v>
      </c>
      <c r="B1714">
        <v>119741</v>
      </c>
      <c r="C1714" t="s">
        <v>73</v>
      </c>
      <c r="D1714" t="s">
        <v>1760</v>
      </c>
      <c r="E1714" s="2">
        <v>278.25</v>
      </c>
    </row>
    <row r="1715" spans="1:5" x14ac:dyDescent="0.25">
      <c r="A1715" s="1">
        <v>43418</v>
      </c>
      <c r="B1715">
        <v>119742</v>
      </c>
      <c r="C1715" t="s">
        <v>365</v>
      </c>
      <c r="D1715" t="s">
        <v>1761</v>
      </c>
      <c r="E1715" s="2">
        <v>358.4</v>
      </c>
    </row>
    <row r="1716" spans="1:5" x14ac:dyDescent="0.25">
      <c r="A1716" s="1">
        <v>43418</v>
      </c>
      <c r="B1716">
        <v>119743</v>
      </c>
      <c r="C1716" t="s">
        <v>1762</v>
      </c>
      <c r="D1716" t="s">
        <v>1763</v>
      </c>
      <c r="E1716" s="2">
        <v>100</v>
      </c>
    </row>
    <row r="1717" spans="1:5" x14ac:dyDescent="0.25">
      <c r="A1717" s="1">
        <v>43418</v>
      </c>
      <c r="B1717">
        <v>119744</v>
      </c>
      <c r="C1717" t="s">
        <v>1764</v>
      </c>
      <c r="D1717" t="s">
        <v>588</v>
      </c>
      <c r="E1717" s="2">
        <v>180</v>
      </c>
    </row>
    <row r="1718" spans="1:5" x14ac:dyDescent="0.25">
      <c r="A1718" s="1">
        <v>43418</v>
      </c>
      <c r="B1718">
        <v>119745</v>
      </c>
      <c r="C1718" t="s">
        <v>1764</v>
      </c>
      <c r="D1718" t="s">
        <v>1765</v>
      </c>
      <c r="E1718" s="2">
        <v>65</v>
      </c>
    </row>
    <row r="1719" spans="1:5" x14ac:dyDescent="0.25">
      <c r="A1719" s="1">
        <v>43418</v>
      </c>
      <c r="B1719">
        <v>119746</v>
      </c>
      <c r="C1719" t="s">
        <v>1592</v>
      </c>
      <c r="D1719" t="s">
        <v>1766</v>
      </c>
      <c r="E1719" s="2">
        <v>22.51</v>
      </c>
    </row>
    <row r="1720" spans="1:5" x14ac:dyDescent="0.25">
      <c r="A1720" s="1">
        <v>43418</v>
      </c>
      <c r="B1720">
        <v>119747</v>
      </c>
      <c r="C1720" t="s">
        <v>1767</v>
      </c>
      <c r="D1720" t="s">
        <v>1768</v>
      </c>
      <c r="E1720" s="2">
        <v>267.89999999999998</v>
      </c>
    </row>
    <row r="1721" spans="1:5" x14ac:dyDescent="0.25">
      <c r="A1721" s="1">
        <v>43418</v>
      </c>
      <c r="B1721">
        <v>119748</v>
      </c>
      <c r="C1721" t="s">
        <v>77</v>
      </c>
      <c r="D1721" t="s">
        <v>1769</v>
      </c>
      <c r="E1721" s="2">
        <v>59.99</v>
      </c>
    </row>
    <row r="1722" spans="1:5" x14ac:dyDescent="0.25">
      <c r="A1722" s="1">
        <v>43418</v>
      </c>
      <c r="B1722">
        <v>119749</v>
      </c>
      <c r="C1722" t="s">
        <v>77</v>
      </c>
      <c r="D1722" t="s">
        <v>1770</v>
      </c>
      <c r="E1722" s="2">
        <v>27.58</v>
      </c>
    </row>
    <row r="1723" spans="1:5" x14ac:dyDescent="0.25">
      <c r="A1723" s="1">
        <v>43418</v>
      </c>
      <c r="B1723">
        <v>119750</v>
      </c>
      <c r="C1723" t="s">
        <v>760</v>
      </c>
      <c r="D1723" t="s">
        <v>1771</v>
      </c>
      <c r="E1723" s="2">
        <v>104.54</v>
      </c>
    </row>
    <row r="1724" spans="1:5" x14ac:dyDescent="0.25">
      <c r="A1724" s="1">
        <v>43418</v>
      </c>
      <c r="B1724">
        <v>119751</v>
      </c>
      <c r="C1724" t="s">
        <v>213</v>
      </c>
      <c r="D1724" t="s">
        <v>1772</v>
      </c>
      <c r="E1724" s="2">
        <v>113.06</v>
      </c>
    </row>
    <row r="1725" spans="1:5" x14ac:dyDescent="0.25">
      <c r="A1725" s="1">
        <v>43418</v>
      </c>
      <c r="B1725">
        <v>119752</v>
      </c>
      <c r="C1725" t="s">
        <v>1773</v>
      </c>
      <c r="D1725" t="s">
        <v>1756</v>
      </c>
      <c r="E1725" s="2">
        <v>1000</v>
      </c>
    </row>
    <row r="1726" spans="1:5" x14ac:dyDescent="0.25">
      <c r="A1726" s="1">
        <v>43418</v>
      </c>
      <c r="B1726">
        <v>119753</v>
      </c>
      <c r="C1726" t="s">
        <v>1774</v>
      </c>
      <c r="D1726" t="s">
        <v>1775</v>
      </c>
      <c r="E1726" s="2">
        <v>307.57</v>
      </c>
    </row>
    <row r="1727" spans="1:5" x14ac:dyDescent="0.25">
      <c r="A1727" s="1">
        <v>43418</v>
      </c>
      <c r="B1727">
        <v>119754</v>
      </c>
      <c r="C1727" t="s">
        <v>90</v>
      </c>
      <c r="D1727" t="s">
        <v>1776</v>
      </c>
      <c r="E1727" s="2">
        <v>36.5</v>
      </c>
    </row>
    <row r="1728" spans="1:5" x14ac:dyDescent="0.25">
      <c r="A1728" s="1">
        <v>43418</v>
      </c>
      <c r="B1728">
        <v>119755</v>
      </c>
      <c r="C1728" t="s">
        <v>19</v>
      </c>
      <c r="D1728" t="s">
        <v>1777</v>
      </c>
      <c r="E1728" s="2">
        <v>713</v>
      </c>
    </row>
    <row r="1729" spans="1:5" x14ac:dyDescent="0.25">
      <c r="A1729" s="1">
        <v>43418</v>
      </c>
      <c r="B1729">
        <v>119755</v>
      </c>
      <c r="C1729" t="s">
        <v>19</v>
      </c>
      <c r="D1729" t="s">
        <v>1778</v>
      </c>
      <c r="E1729" s="2">
        <v>1068</v>
      </c>
    </row>
    <row r="1730" spans="1:5" x14ac:dyDescent="0.25">
      <c r="A1730" s="1">
        <v>43418</v>
      </c>
      <c r="B1730">
        <v>119757</v>
      </c>
      <c r="C1730" t="s">
        <v>125</v>
      </c>
      <c r="D1730" t="s">
        <v>1779</v>
      </c>
      <c r="E1730" s="2">
        <v>38.08</v>
      </c>
    </row>
    <row r="1731" spans="1:5" x14ac:dyDescent="0.25">
      <c r="A1731" s="1">
        <v>43418</v>
      </c>
      <c r="B1731">
        <v>119757</v>
      </c>
      <c r="C1731" t="s">
        <v>125</v>
      </c>
      <c r="D1731" t="s">
        <v>690</v>
      </c>
      <c r="E1731" s="2">
        <v>66.14</v>
      </c>
    </row>
    <row r="1732" spans="1:5" x14ac:dyDescent="0.25">
      <c r="A1732" s="1">
        <v>43418</v>
      </c>
      <c r="B1732">
        <v>119757</v>
      </c>
      <c r="C1732" t="s">
        <v>125</v>
      </c>
      <c r="D1732" t="s">
        <v>1780</v>
      </c>
      <c r="E1732" s="2">
        <f>239.98+320.62+19.52+68.4+19.52</f>
        <v>668.04</v>
      </c>
    </row>
    <row r="1733" spans="1:5" x14ac:dyDescent="0.25">
      <c r="A1733" s="1">
        <v>43418</v>
      </c>
      <c r="B1733">
        <v>119758</v>
      </c>
      <c r="C1733" t="s">
        <v>292</v>
      </c>
      <c r="D1733" t="s">
        <v>1461</v>
      </c>
      <c r="E1733" s="2">
        <f>702+726</f>
        <v>1428</v>
      </c>
    </row>
    <row r="1734" spans="1:5" x14ac:dyDescent="0.25">
      <c r="A1734" s="1">
        <v>43418</v>
      </c>
      <c r="B1734">
        <v>119759</v>
      </c>
      <c r="C1734" t="s">
        <v>19</v>
      </c>
      <c r="D1734" t="s">
        <v>1781</v>
      </c>
      <c r="E1734" s="2">
        <v>1980.5</v>
      </c>
    </row>
    <row r="1735" spans="1:5" x14ac:dyDescent="0.25">
      <c r="A1735" s="1">
        <v>43418</v>
      </c>
      <c r="B1735">
        <v>119760</v>
      </c>
      <c r="C1735" t="s">
        <v>1200</v>
      </c>
      <c r="D1735" t="s">
        <v>1782</v>
      </c>
      <c r="E1735" s="2">
        <v>630.5</v>
      </c>
    </row>
    <row r="1736" spans="1:5" x14ac:dyDescent="0.25">
      <c r="A1736" s="1">
        <v>43418</v>
      </c>
      <c r="B1736">
        <v>119761</v>
      </c>
      <c r="C1736" t="s">
        <v>169</v>
      </c>
      <c r="D1736" t="s">
        <v>1783</v>
      </c>
      <c r="E1736" s="2">
        <v>8368.7999999999993</v>
      </c>
    </row>
    <row r="1737" spans="1:5" x14ac:dyDescent="0.25">
      <c r="A1737" s="1">
        <v>43418</v>
      </c>
      <c r="B1737">
        <v>119762</v>
      </c>
      <c r="C1737" t="s">
        <v>1784</v>
      </c>
      <c r="D1737" t="s">
        <v>1785</v>
      </c>
      <c r="E1737" s="2">
        <v>1260</v>
      </c>
    </row>
    <row r="1738" spans="1:5" x14ac:dyDescent="0.25">
      <c r="A1738" s="1">
        <v>43418</v>
      </c>
      <c r="B1738">
        <v>201800111</v>
      </c>
      <c r="C1738" t="s">
        <v>123</v>
      </c>
      <c r="D1738" t="s">
        <v>1786</v>
      </c>
      <c r="E1738" s="2">
        <f>479.87+517.31</f>
        <v>997.18</v>
      </c>
    </row>
    <row r="1739" spans="1:5" x14ac:dyDescent="0.25">
      <c r="A1739" s="1">
        <v>43418</v>
      </c>
      <c r="B1739">
        <v>201800111</v>
      </c>
      <c r="C1739" t="s">
        <v>123</v>
      </c>
      <c r="D1739" t="s">
        <v>1787</v>
      </c>
      <c r="E1739" s="2">
        <v>289.27999999999997</v>
      </c>
    </row>
    <row r="1740" spans="1:5" x14ac:dyDescent="0.25">
      <c r="A1740" s="1">
        <v>43419</v>
      </c>
      <c r="B1740">
        <v>119763</v>
      </c>
      <c r="C1740" t="s">
        <v>1788</v>
      </c>
      <c r="D1740" t="s">
        <v>1789</v>
      </c>
      <c r="E1740" s="2">
        <v>2200</v>
      </c>
    </row>
    <row r="1741" spans="1:5" x14ac:dyDescent="0.25">
      <c r="A1741" s="1">
        <v>43419</v>
      </c>
      <c r="B1741">
        <v>119764</v>
      </c>
      <c r="C1741" t="s">
        <v>1790</v>
      </c>
      <c r="D1741" t="s">
        <v>1515</v>
      </c>
      <c r="E1741" s="2">
        <v>788.2</v>
      </c>
    </row>
    <row r="1742" spans="1:5" x14ac:dyDescent="0.25">
      <c r="A1742" s="1">
        <v>43419</v>
      </c>
      <c r="B1742">
        <v>119764</v>
      </c>
      <c r="C1742" t="s">
        <v>1790</v>
      </c>
      <c r="D1742" t="s">
        <v>1791</v>
      </c>
      <c r="E1742" s="2">
        <v>688.2</v>
      </c>
    </row>
    <row r="1743" spans="1:5" x14ac:dyDescent="0.25">
      <c r="A1743" s="1">
        <v>43419</v>
      </c>
      <c r="B1743">
        <v>119765</v>
      </c>
      <c r="C1743" t="s">
        <v>66</v>
      </c>
      <c r="D1743" t="s">
        <v>1792</v>
      </c>
      <c r="E1743" s="2">
        <v>149</v>
      </c>
    </row>
    <row r="1744" spans="1:5" x14ac:dyDescent="0.25">
      <c r="A1744" s="1">
        <v>43419</v>
      </c>
      <c r="B1744">
        <v>119766</v>
      </c>
      <c r="C1744" t="s">
        <v>238</v>
      </c>
      <c r="D1744" t="s">
        <v>437</v>
      </c>
      <c r="E1744" s="2">
        <v>265.22000000000003</v>
      </c>
    </row>
    <row r="1745" spans="1:5" x14ac:dyDescent="0.25">
      <c r="A1745" s="1">
        <v>43419</v>
      </c>
      <c r="B1745">
        <v>119767</v>
      </c>
      <c r="C1745" t="s">
        <v>100</v>
      </c>
      <c r="D1745" t="s">
        <v>1793</v>
      </c>
      <c r="E1745" s="2">
        <v>599.4</v>
      </c>
    </row>
    <row r="1746" spans="1:5" x14ac:dyDescent="0.25">
      <c r="A1746" s="1">
        <v>43419</v>
      </c>
      <c r="B1746">
        <v>119768</v>
      </c>
      <c r="C1746" t="s">
        <v>1421</v>
      </c>
      <c r="D1746" t="s">
        <v>1422</v>
      </c>
      <c r="E1746" s="2">
        <v>40</v>
      </c>
    </row>
    <row r="1747" spans="1:5" x14ac:dyDescent="0.25">
      <c r="A1747" s="1">
        <v>43419</v>
      </c>
      <c r="B1747">
        <v>119769</v>
      </c>
      <c r="C1747" t="s">
        <v>942</v>
      </c>
      <c r="D1747" t="s">
        <v>1794</v>
      </c>
      <c r="E1747" s="2">
        <v>182</v>
      </c>
    </row>
    <row r="1748" spans="1:5" x14ac:dyDescent="0.25">
      <c r="A1748" s="1">
        <v>43419</v>
      </c>
      <c r="B1748">
        <v>119770</v>
      </c>
      <c r="C1748" t="s">
        <v>67</v>
      </c>
      <c r="D1748" t="s">
        <v>1795</v>
      </c>
      <c r="E1748" s="2">
        <v>147</v>
      </c>
    </row>
    <row r="1749" spans="1:5" x14ac:dyDescent="0.25">
      <c r="A1749" s="1">
        <v>43419</v>
      </c>
      <c r="B1749">
        <v>119771</v>
      </c>
      <c r="C1749" t="s">
        <v>1796</v>
      </c>
      <c r="D1749" t="s">
        <v>1797</v>
      </c>
      <c r="E1749" s="2">
        <v>450</v>
      </c>
    </row>
    <row r="1750" spans="1:5" x14ac:dyDescent="0.25">
      <c r="A1750" s="1">
        <v>43419</v>
      </c>
      <c r="B1750">
        <v>119772</v>
      </c>
      <c r="C1750" t="s">
        <v>662</v>
      </c>
      <c r="D1750" t="s">
        <v>490</v>
      </c>
      <c r="E1750" s="2">
        <v>300.16000000000003</v>
      </c>
    </row>
    <row r="1751" spans="1:5" x14ac:dyDescent="0.25">
      <c r="A1751" s="1">
        <v>43419</v>
      </c>
      <c r="B1751">
        <v>119773</v>
      </c>
      <c r="C1751" t="s">
        <v>673</v>
      </c>
      <c r="D1751" t="s">
        <v>674</v>
      </c>
      <c r="E1751" s="2">
        <v>90.94</v>
      </c>
    </row>
    <row r="1752" spans="1:5" x14ac:dyDescent="0.25">
      <c r="A1752" s="1">
        <v>43419</v>
      </c>
      <c r="B1752">
        <v>119774</v>
      </c>
      <c r="C1752" t="s">
        <v>247</v>
      </c>
      <c r="D1752" t="s">
        <v>1798</v>
      </c>
      <c r="E1752" s="2">
        <f>85+2016.42</f>
        <v>2101.42</v>
      </c>
    </row>
    <row r="1753" spans="1:5" x14ac:dyDescent="0.25">
      <c r="A1753" s="1">
        <v>43419</v>
      </c>
      <c r="B1753">
        <v>119775</v>
      </c>
      <c r="C1753" t="s">
        <v>109</v>
      </c>
      <c r="D1753" t="s">
        <v>1799</v>
      </c>
      <c r="E1753" s="2">
        <v>50</v>
      </c>
    </row>
    <row r="1754" spans="1:5" x14ac:dyDescent="0.25">
      <c r="A1754" s="1">
        <v>43419</v>
      </c>
      <c r="B1754">
        <v>119776</v>
      </c>
      <c r="C1754" t="s">
        <v>68</v>
      </c>
      <c r="D1754" t="s">
        <v>1800</v>
      </c>
      <c r="E1754" s="2">
        <v>125.38</v>
      </c>
    </row>
    <row r="1755" spans="1:5" x14ac:dyDescent="0.25">
      <c r="A1755" s="1">
        <v>43419</v>
      </c>
      <c r="B1755">
        <v>119776</v>
      </c>
      <c r="C1755" t="s">
        <v>68</v>
      </c>
      <c r="D1755" t="s">
        <v>1801</v>
      </c>
      <c r="E1755" s="2">
        <v>136.79</v>
      </c>
    </row>
    <row r="1756" spans="1:5" x14ac:dyDescent="0.25">
      <c r="A1756" s="1">
        <v>43419</v>
      </c>
      <c r="B1756">
        <v>119777</v>
      </c>
      <c r="C1756" t="s">
        <v>681</v>
      </c>
      <c r="D1756" t="s">
        <v>529</v>
      </c>
      <c r="E1756" s="2">
        <v>139.29</v>
      </c>
    </row>
    <row r="1757" spans="1:5" x14ac:dyDescent="0.25">
      <c r="A1757" s="1">
        <v>43419</v>
      </c>
      <c r="B1757">
        <v>119778</v>
      </c>
      <c r="C1757" t="s">
        <v>1177</v>
      </c>
      <c r="D1757" t="s">
        <v>1802</v>
      </c>
      <c r="E1757" s="2">
        <v>300</v>
      </c>
    </row>
    <row r="1758" spans="1:5" x14ac:dyDescent="0.25">
      <c r="A1758" s="1">
        <v>43419</v>
      </c>
      <c r="B1758">
        <v>119779</v>
      </c>
      <c r="C1758" t="s">
        <v>111</v>
      </c>
      <c r="D1758" t="s">
        <v>1803</v>
      </c>
      <c r="E1758" s="2">
        <v>50</v>
      </c>
    </row>
    <row r="1759" spans="1:5" x14ac:dyDescent="0.25">
      <c r="A1759" s="1">
        <v>43419</v>
      </c>
      <c r="B1759">
        <v>119780</v>
      </c>
      <c r="C1759" t="s">
        <v>254</v>
      </c>
      <c r="D1759" t="s">
        <v>1804</v>
      </c>
      <c r="E1759" s="2">
        <v>70</v>
      </c>
    </row>
    <row r="1760" spans="1:5" x14ac:dyDescent="0.25">
      <c r="A1760" s="1">
        <v>43419</v>
      </c>
      <c r="B1760">
        <v>119781</v>
      </c>
      <c r="C1760" t="s">
        <v>115</v>
      </c>
      <c r="D1760" t="s">
        <v>1805</v>
      </c>
      <c r="E1760" s="2">
        <v>50</v>
      </c>
    </row>
    <row r="1761" spans="1:5" x14ac:dyDescent="0.25">
      <c r="A1761" s="1">
        <v>43419</v>
      </c>
      <c r="B1761">
        <v>119782</v>
      </c>
      <c r="C1761" t="s">
        <v>116</v>
      </c>
      <c r="D1761" t="s">
        <v>1806</v>
      </c>
      <c r="E1761" s="2">
        <v>140</v>
      </c>
    </row>
    <row r="1762" spans="1:5" x14ac:dyDescent="0.25">
      <c r="A1762" s="1">
        <v>43419</v>
      </c>
      <c r="B1762">
        <v>119783</v>
      </c>
      <c r="C1762" t="s">
        <v>1807</v>
      </c>
      <c r="D1762" t="s">
        <v>1808</v>
      </c>
      <c r="E1762" s="2">
        <v>714.85</v>
      </c>
    </row>
    <row r="1763" spans="1:5" x14ac:dyDescent="0.25">
      <c r="A1763" s="1">
        <v>43419</v>
      </c>
      <c r="B1763">
        <v>119784</v>
      </c>
      <c r="C1763" t="s">
        <v>1809</v>
      </c>
      <c r="D1763" t="s">
        <v>1810</v>
      </c>
      <c r="E1763" s="2">
        <v>400</v>
      </c>
    </row>
    <row r="1764" spans="1:5" x14ac:dyDescent="0.25">
      <c r="A1764" s="1">
        <v>43419</v>
      </c>
      <c r="B1764">
        <v>119785</v>
      </c>
      <c r="C1764" t="s">
        <v>1811</v>
      </c>
      <c r="D1764" t="s">
        <v>1812</v>
      </c>
      <c r="E1764" s="2">
        <v>69.599999999999994</v>
      </c>
    </row>
    <row r="1765" spans="1:5" x14ac:dyDescent="0.25">
      <c r="A1765" s="1">
        <v>43419</v>
      </c>
      <c r="B1765">
        <v>119786</v>
      </c>
      <c r="C1765" t="s">
        <v>264</v>
      </c>
      <c r="D1765" t="s">
        <v>1813</v>
      </c>
      <c r="E1765" s="2">
        <v>1128.33</v>
      </c>
    </row>
    <row r="1766" spans="1:5" x14ac:dyDescent="0.25">
      <c r="A1766" s="1">
        <v>43419</v>
      </c>
      <c r="B1766">
        <v>119787</v>
      </c>
      <c r="C1766" t="s">
        <v>269</v>
      </c>
      <c r="D1766" t="s">
        <v>270</v>
      </c>
      <c r="E1766" s="2">
        <f>140+70+50</f>
        <v>260</v>
      </c>
    </row>
    <row r="1767" spans="1:5" x14ac:dyDescent="0.25">
      <c r="A1767" s="1">
        <v>43419</v>
      </c>
      <c r="B1767">
        <v>119787</v>
      </c>
      <c r="C1767" t="s">
        <v>269</v>
      </c>
      <c r="D1767" t="s">
        <v>1814</v>
      </c>
      <c r="E1767" s="2">
        <v>518.87</v>
      </c>
    </row>
    <row r="1768" spans="1:5" x14ac:dyDescent="0.25">
      <c r="A1768" s="1">
        <v>43419</v>
      </c>
      <c r="B1768">
        <v>119788</v>
      </c>
      <c r="C1768" t="s">
        <v>1815</v>
      </c>
      <c r="D1768" t="s">
        <v>1816</v>
      </c>
      <c r="E1768" s="2">
        <v>30</v>
      </c>
    </row>
    <row r="1769" spans="1:5" x14ac:dyDescent="0.25">
      <c r="A1769" s="1">
        <v>43419</v>
      </c>
      <c r="B1769">
        <v>119789</v>
      </c>
      <c r="C1769" t="s">
        <v>274</v>
      </c>
      <c r="D1769" t="s">
        <v>773</v>
      </c>
      <c r="E1769" s="2">
        <v>216.01</v>
      </c>
    </row>
    <row r="1770" spans="1:5" x14ac:dyDescent="0.25">
      <c r="A1770" s="1">
        <v>43419</v>
      </c>
      <c r="B1770">
        <v>119790</v>
      </c>
      <c r="C1770" t="s">
        <v>706</v>
      </c>
      <c r="D1770" t="s">
        <v>1817</v>
      </c>
      <c r="E1770" s="2">
        <v>50</v>
      </c>
    </row>
    <row r="1771" spans="1:5" x14ac:dyDescent="0.25">
      <c r="A1771" s="1">
        <v>43419</v>
      </c>
      <c r="B1771">
        <v>119791</v>
      </c>
      <c r="C1771" t="s">
        <v>1818</v>
      </c>
      <c r="D1771" t="s">
        <v>1819</v>
      </c>
      <c r="E1771" s="2">
        <v>45</v>
      </c>
    </row>
    <row r="1772" spans="1:5" x14ac:dyDescent="0.25">
      <c r="A1772" s="1">
        <v>43419</v>
      </c>
      <c r="B1772">
        <v>119792</v>
      </c>
      <c r="C1772" t="s">
        <v>614</v>
      </c>
      <c r="D1772" t="s">
        <v>1820</v>
      </c>
      <c r="E1772" s="2">
        <v>90</v>
      </c>
    </row>
    <row r="1773" spans="1:5" x14ac:dyDescent="0.25">
      <c r="A1773" s="1">
        <v>43419</v>
      </c>
      <c r="B1773">
        <v>119793</v>
      </c>
      <c r="C1773" t="s">
        <v>1821</v>
      </c>
      <c r="D1773" t="s">
        <v>1822</v>
      </c>
      <c r="E1773" s="2">
        <v>1000</v>
      </c>
    </row>
    <row r="1774" spans="1:5" x14ac:dyDescent="0.25">
      <c r="A1774" s="1">
        <v>43419</v>
      </c>
      <c r="B1774">
        <v>119794</v>
      </c>
      <c r="C1774" t="s">
        <v>1823</v>
      </c>
      <c r="D1774" t="s">
        <v>1824</v>
      </c>
      <c r="E1774" s="2">
        <v>70.260000000000005</v>
      </c>
    </row>
    <row r="1775" spans="1:5" x14ac:dyDescent="0.25">
      <c r="A1775" s="1">
        <v>43419</v>
      </c>
      <c r="B1775">
        <v>119795</v>
      </c>
      <c r="C1775" t="s">
        <v>47</v>
      </c>
      <c r="D1775" t="s">
        <v>1825</v>
      </c>
      <c r="E1775" s="2">
        <v>706.44</v>
      </c>
    </row>
    <row r="1776" spans="1:5" x14ac:dyDescent="0.25">
      <c r="A1776" s="1">
        <v>43419</v>
      </c>
      <c r="B1776">
        <v>119796</v>
      </c>
      <c r="C1776" t="s">
        <v>48</v>
      </c>
      <c r="D1776" t="s">
        <v>465</v>
      </c>
      <c r="E1776" s="2">
        <v>8801.0400000000009</v>
      </c>
    </row>
    <row r="1777" spans="1:5" x14ac:dyDescent="0.25">
      <c r="A1777" s="1">
        <v>43419</v>
      </c>
      <c r="B1777">
        <v>119796</v>
      </c>
      <c r="C1777" t="s">
        <v>48</v>
      </c>
      <c r="D1777" t="s">
        <v>416</v>
      </c>
      <c r="E1777" s="3">
        <v>-8626.4500000000007</v>
      </c>
    </row>
    <row r="1778" spans="1:5" x14ac:dyDescent="0.25">
      <c r="A1778" s="1">
        <v>43419</v>
      </c>
      <c r="B1778">
        <v>119798</v>
      </c>
      <c r="C1778" t="s">
        <v>74</v>
      </c>
      <c r="D1778" t="s">
        <v>1826</v>
      </c>
      <c r="E1778" s="2">
        <v>231.74</v>
      </c>
    </row>
    <row r="1779" spans="1:5" x14ac:dyDescent="0.25">
      <c r="A1779" s="1">
        <v>43419</v>
      </c>
      <c r="B1779">
        <v>119798</v>
      </c>
      <c r="C1779" t="s">
        <v>74</v>
      </c>
      <c r="D1779" t="s">
        <v>1827</v>
      </c>
      <c r="E1779" s="2">
        <v>179.4</v>
      </c>
    </row>
    <row r="1780" spans="1:5" x14ac:dyDescent="0.25">
      <c r="A1780" s="1">
        <v>43419</v>
      </c>
      <c r="B1780">
        <v>119798</v>
      </c>
      <c r="C1780" t="s">
        <v>74</v>
      </c>
      <c r="D1780" t="s">
        <v>1828</v>
      </c>
      <c r="E1780" s="2">
        <v>102.54</v>
      </c>
    </row>
    <row r="1781" spans="1:5" x14ac:dyDescent="0.25">
      <c r="A1781" s="1">
        <v>43419</v>
      </c>
      <c r="B1781">
        <v>119798</v>
      </c>
      <c r="C1781" t="s">
        <v>74</v>
      </c>
      <c r="D1781" t="s">
        <v>1829</v>
      </c>
      <c r="E1781" s="2">
        <v>139.80000000000001</v>
      </c>
    </row>
    <row r="1782" spans="1:5" x14ac:dyDescent="0.25">
      <c r="A1782" s="1">
        <v>43419</v>
      </c>
      <c r="B1782">
        <v>119798</v>
      </c>
      <c r="C1782" t="s">
        <v>74</v>
      </c>
      <c r="D1782" t="s">
        <v>1830</v>
      </c>
      <c r="E1782" s="2">
        <v>125.35</v>
      </c>
    </row>
    <row r="1783" spans="1:5" x14ac:dyDescent="0.25">
      <c r="A1783" s="1">
        <v>43419</v>
      </c>
      <c r="B1783">
        <v>119798</v>
      </c>
      <c r="C1783" t="s">
        <v>74</v>
      </c>
      <c r="D1783" t="s">
        <v>1831</v>
      </c>
      <c r="E1783" s="2">
        <v>193.87</v>
      </c>
    </row>
    <row r="1784" spans="1:5" x14ac:dyDescent="0.25">
      <c r="A1784" s="1">
        <v>43419</v>
      </c>
      <c r="B1784">
        <v>119798</v>
      </c>
      <c r="C1784" t="s">
        <v>74</v>
      </c>
      <c r="D1784" t="s">
        <v>1832</v>
      </c>
      <c r="E1784" s="2">
        <v>520.32000000000005</v>
      </c>
    </row>
    <row r="1785" spans="1:5" x14ac:dyDescent="0.25">
      <c r="A1785" s="1">
        <v>43419</v>
      </c>
      <c r="B1785">
        <v>119798</v>
      </c>
      <c r="C1785" t="s">
        <v>74</v>
      </c>
      <c r="D1785" t="s">
        <v>1833</v>
      </c>
      <c r="E1785" s="2">
        <v>473.57</v>
      </c>
    </row>
    <row r="1786" spans="1:5" x14ac:dyDescent="0.25">
      <c r="A1786" s="1">
        <v>43419</v>
      </c>
      <c r="B1786">
        <v>119798</v>
      </c>
      <c r="C1786" t="s">
        <v>74</v>
      </c>
      <c r="D1786" t="s">
        <v>1834</v>
      </c>
      <c r="E1786" s="2">
        <v>247.75</v>
      </c>
    </row>
    <row r="1787" spans="1:5" x14ac:dyDescent="0.25">
      <c r="A1787" s="1">
        <v>43419</v>
      </c>
      <c r="B1787">
        <v>119799</v>
      </c>
      <c r="C1787" t="s">
        <v>142</v>
      </c>
      <c r="D1787" t="s">
        <v>1686</v>
      </c>
      <c r="E1787" s="2">
        <v>25.5</v>
      </c>
    </row>
    <row r="1788" spans="1:5" x14ac:dyDescent="0.25">
      <c r="A1788" s="1">
        <v>43419</v>
      </c>
      <c r="B1788">
        <v>119800</v>
      </c>
      <c r="C1788" t="s">
        <v>75</v>
      </c>
      <c r="D1788" t="s">
        <v>1835</v>
      </c>
      <c r="E1788" s="2">
        <v>63.23</v>
      </c>
    </row>
    <row r="1789" spans="1:5" x14ac:dyDescent="0.25">
      <c r="A1789" s="1">
        <v>43419</v>
      </c>
      <c r="B1789">
        <v>119800</v>
      </c>
      <c r="C1789" t="s">
        <v>75</v>
      </c>
      <c r="D1789" t="s">
        <v>1836</v>
      </c>
      <c r="E1789" s="2">
        <v>3.34</v>
      </c>
    </row>
    <row r="1790" spans="1:5" x14ac:dyDescent="0.25">
      <c r="A1790" s="1">
        <v>43419</v>
      </c>
      <c r="B1790">
        <v>119801</v>
      </c>
      <c r="C1790" t="s">
        <v>1837</v>
      </c>
      <c r="D1790" t="s">
        <v>1838</v>
      </c>
      <c r="E1790" s="2">
        <v>295</v>
      </c>
    </row>
    <row r="1791" spans="1:5" x14ac:dyDescent="0.25">
      <c r="A1791" s="1">
        <v>43419</v>
      </c>
      <c r="B1791">
        <v>119803</v>
      </c>
      <c r="C1791" t="s">
        <v>11</v>
      </c>
      <c r="D1791" t="s">
        <v>1839</v>
      </c>
      <c r="E1791" s="2">
        <v>483.95</v>
      </c>
    </row>
    <row r="1792" spans="1:5" x14ac:dyDescent="0.25">
      <c r="A1792" s="1">
        <v>43419</v>
      </c>
      <c r="B1792">
        <v>119803</v>
      </c>
      <c r="C1792" t="s">
        <v>11</v>
      </c>
      <c r="D1792" t="s">
        <v>1427</v>
      </c>
      <c r="E1792" s="2">
        <v>618.4</v>
      </c>
    </row>
    <row r="1793" spans="1:5" x14ac:dyDescent="0.25">
      <c r="A1793" s="1">
        <v>43419</v>
      </c>
      <c r="B1793">
        <v>119803</v>
      </c>
      <c r="C1793" t="s">
        <v>11</v>
      </c>
      <c r="D1793" t="s">
        <v>1840</v>
      </c>
      <c r="E1793" s="2">
        <f>187.44+6.89+206.59</f>
        <v>400.91999999999996</v>
      </c>
    </row>
    <row r="1794" spans="1:5" x14ac:dyDescent="0.25">
      <c r="A1794" s="1">
        <v>43419</v>
      </c>
      <c r="B1794">
        <v>119803</v>
      </c>
      <c r="C1794" t="s">
        <v>11</v>
      </c>
      <c r="D1794" t="s">
        <v>1841</v>
      </c>
      <c r="E1794" s="2">
        <f>32.28+260.7</f>
        <v>292.98</v>
      </c>
    </row>
    <row r="1795" spans="1:5" x14ac:dyDescent="0.25">
      <c r="A1795" s="1">
        <v>43419</v>
      </c>
      <c r="B1795">
        <v>119804</v>
      </c>
      <c r="C1795" t="s">
        <v>12</v>
      </c>
      <c r="D1795" t="s">
        <v>1840</v>
      </c>
      <c r="E1795" s="2">
        <v>21.52</v>
      </c>
    </row>
    <row r="1796" spans="1:5" x14ac:dyDescent="0.25">
      <c r="A1796" s="1">
        <v>43419</v>
      </c>
      <c r="B1796">
        <v>119805</v>
      </c>
      <c r="C1796" t="s">
        <v>1228</v>
      </c>
      <c r="D1796" t="s">
        <v>1229</v>
      </c>
      <c r="E1796" s="2">
        <v>1069</v>
      </c>
    </row>
    <row r="1797" spans="1:5" x14ac:dyDescent="0.25">
      <c r="A1797" s="1">
        <v>43419</v>
      </c>
      <c r="B1797">
        <v>119806</v>
      </c>
      <c r="C1797" t="s">
        <v>1345</v>
      </c>
      <c r="D1797" t="s">
        <v>1842</v>
      </c>
      <c r="E1797" s="2">
        <v>646.01</v>
      </c>
    </row>
    <row r="1798" spans="1:5" x14ac:dyDescent="0.25">
      <c r="A1798" s="1">
        <v>43419</v>
      </c>
      <c r="B1798">
        <v>119807</v>
      </c>
      <c r="C1798" t="s">
        <v>296</v>
      </c>
      <c r="D1798" t="s">
        <v>1843</v>
      </c>
      <c r="E1798" s="2">
        <v>145.94999999999999</v>
      </c>
    </row>
    <row r="1799" spans="1:5" x14ac:dyDescent="0.25">
      <c r="A1799" s="1">
        <v>43419</v>
      </c>
      <c r="B1799">
        <v>119808</v>
      </c>
      <c r="C1799" t="s">
        <v>50</v>
      </c>
      <c r="D1799" t="s">
        <v>1700</v>
      </c>
      <c r="E1799" s="2">
        <v>2792.5</v>
      </c>
    </row>
    <row r="1800" spans="1:5" x14ac:dyDescent="0.25">
      <c r="A1800" s="1">
        <v>43419</v>
      </c>
      <c r="B1800">
        <v>119809</v>
      </c>
      <c r="C1800" t="s">
        <v>298</v>
      </c>
      <c r="D1800" t="s">
        <v>1844</v>
      </c>
      <c r="E1800" s="2">
        <v>14887.5</v>
      </c>
    </row>
    <row r="1801" spans="1:5" x14ac:dyDescent="0.25">
      <c r="A1801" s="1">
        <v>43419</v>
      </c>
      <c r="B1801">
        <v>119810</v>
      </c>
      <c r="C1801" t="s">
        <v>80</v>
      </c>
      <c r="D1801" t="s">
        <v>153</v>
      </c>
      <c r="E1801" s="2">
        <v>60.75</v>
      </c>
    </row>
    <row r="1802" spans="1:5" x14ac:dyDescent="0.25">
      <c r="A1802" s="1">
        <v>43419</v>
      </c>
      <c r="B1802">
        <v>119810</v>
      </c>
      <c r="C1802" t="s">
        <v>80</v>
      </c>
      <c r="D1802" t="s">
        <v>1039</v>
      </c>
      <c r="E1802" s="2">
        <v>96.62</v>
      </c>
    </row>
    <row r="1803" spans="1:5" x14ac:dyDescent="0.25">
      <c r="A1803" s="1">
        <v>43419</v>
      </c>
      <c r="B1803">
        <v>119811</v>
      </c>
      <c r="C1803" t="s">
        <v>877</v>
      </c>
      <c r="D1803" t="s">
        <v>1845</v>
      </c>
      <c r="E1803" s="2">
        <v>61.2</v>
      </c>
    </row>
    <row r="1804" spans="1:5" x14ac:dyDescent="0.25">
      <c r="A1804" s="1">
        <v>43419</v>
      </c>
      <c r="B1804">
        <v>119812</v>
      </c>
      <c r="C1804" t="s">
        <v>1846</v>
      </c>
      <c r="D1804" t="s">
        <v>1847</v>
      </c>
      <c r="E1804" s="2">
        <v>8595</v>
      </c>
    </row>
    <row r="1805" spans="1:5" x14ac:dyDescent="0.25">
      <c r="A1805" s="1">
        <v>43419</v>
      </c>
      <c r="B1805">
        <v>119813</v>
      </c>
      <c r="C1805" t="s">
        <v>750</v>
      </c>
      <c r="D1805" t="s">
        <v>1013</v>
      </c>
      <c r="E1805" s="2">
        <v>197.5</v>
      </c>
    </row>
    <row r="1806" spans="1:5" x14ac:dyDescent="0.25">
      <c r="A1806" s="1">
        <v>43419</v>
      </c>
      <c r="B1806">
        <v>119814</v>
      </c>
      <c r="C1806" t="s">
        <v>1848</v>
      </c>
      <c r="D1806" t="s">
        <v>1849</v>
      </c>
      <c r="E1806" s="2">
        <v>54.5</v>
      </c>
    </row>
    <row r="1807" spans="1:5" x14ac:dyDescent="0.25">
      <c r="A1807" s="1">
        <v>43419</v>
      </c>
      <c r="B1807">
        <v>119815</v>
      </c>
      <c r="C1807" t="s">
        <v>382</v>
      </c>
      <c r="D1807" t="s">
        <v>1840</v>
      </c>
      <c r="E1807" s="2">
        <v>13.49</v>
      </c>
    </row>
    <row r="1808" spans="1:5" x14ac:dyDescent="0.25">
      <c r="A1808" s="1">
        <v>43419</v>
      </c>
      <c r="B1808">
        <v>119816</v>
      </c>
      <c r="C1808" t="s">
        <v>760</v>
      </c>
      <c r="D1808" t="s">
        <v>1850</v>
      </c>
      <c r="E1808" s="2">
        <v>21.89</v>
      </c>
    </row>
    <row r="1809" spans="1:5" x14ac:dyDescent="0.25">
      <c r="A1809" s="1">
        <v>43419</v>
      </c>
      <c r="B1809">
        <v>119816</v>
      </c>
      <c r="C1809" t="s">
        <v>760</v>
      </c>
      <c r="D1809" t="s">
        <v>1851</v>
      </c>
      <c r="E1809" s="2">
        <v>44.7</v>
      </c>
    </row>
    <row r="1810" spans="1:5" x14ac:dyDescent="0.25">
      <c r="A1810" s="1">
        <v>43419</v>
      </c>
      <c r="B1810">
        <v>119816</v>
      </c>
      <c r="C1810" t="s">
        <v>760</v>
      </c>
      <c r="D1810" t="s">
        <v>1852</v>
      </c>
      <c r="E1810" s="2">
        <v>32.67</v>
      </c>
    </row>
    <row r="1811" spans="1:5" x14ac:dyDescent="0.25">
      <c r="A1811" s="1">
        <v>43419</v>
      </c>
      <c r="B1811">
        <v>119817</v>
      </c>
      <c r="C1811" t="s">
        <v>882</v>
      </c>
      <c r="D1811" t="s">
        <v>1806</v>
      </c>
      <c r="E1811" s="2">
        <v>140</v>
      </c>
    </row>
    <row r="1812" spans="1:5" x14ac:dyDescent="0.25">
      <c r="A1812" s="1">
        <v>43419</v>
      </c>
      <c r="B1812">
        <v>119818</v>
      </c>
      <c r="C1812" t="s">
        <v>156</v>
      </c>
      <c r="D1812" t="s">
        <v>1806</v>
      </c>
      <c r="E1812" s="2">
        <v>157.5</v>
      </c>
    </row>
    <row r="1813" spans="1:5" x14ac:dyDescent="0.25">
      <c r="A1813" s="1">
        <v>43419</v>
      </c>
      <c r="B1813">
        <v>119819</v>
      </c>
      <c r="C1813" t="s">
        <v>765</v>
      </c>
      <c r="D1813" t="s">
        <v>1853</v>
      </c>
      <c r="E1813" s="2">
        <v>1818.9</v>
      </c>
    </row>
    <row r="1814" spans="1:5" x14ac:dyDescent="0.25">
      <c r="A1814" s="1">
        <v>43419</v>
      </c>
      <c r="B1814">
        <v>119819</v>
      </c>
      <c r="C1814" t="s">
        <v>765</v>
      </c>
      <c r="D1814" t="s">
        <v>1709</v>
      </c>
      <c r="E1814" s="2">
        <v>2947.23</v>
      </c>
    </row>
    <row r="1815" spans="1:5" x14ac:dyDescent="0.25">
      <c r="A1815" s="1">
        <v>43419</v>
      </c>
      <c r="B1815">
        <v>119819</v>
      </c>
      <c r="C1815" t="s">
        <v>765</v>
      </c>
      <c r="D1815" t="s">
        <v>1710</v>
      </c>
      <c r="E1815" s="2">
        <v>625.30999999999995</v>
      </c>
    </row>
    <row r="1816" spans="1:5" x14ac:dyDescent="0.25">
      <c r="A1816" s="1">
        <v>43419</v>
      </c>
      <c r="B1816">
        <v>119821</v>
      </c>
      <c r="C1816" t="s">
        <v>161</v>
      </c>
      <c r="D1816" t="s">
        <v>773</v>
      </c>
      <c r="E1816" s="2">
        <v>4014</v>
      </c>
    </row>
    <row r="1817" spans="1:5" x14ac:dyDescent="0.25">
      <c r="A1817" s="1">
        <v>43419</v>
      </c>
      <c r="B1817">
        <v>119821</v>
      </c>
      <c r="C1817" t="s">
        <v>161</v>
      </c>
      <c r="D1817" t="s">
        <v>773</v>
      </c>
      <c r="E1817" s="2">
        <v>1338</v>
      </c>
    </row>
    <row r="1818" spans="1:5" x14ac:dyDescent="0.25">
      <c r="A1818" s="1">
        <v>43419</v>
      </c>
      <c r="B1818">
        <v>119822</v>
      </c>
      <c r="C1818" t="s">
        <v>770</v>
      </c>
      <c r="D1818" t="s">
        <v>1854</v>
      </c>
      <c r="E1818" s="2">
        <v>270</v>
      </c>
    </row>
    <row r="1819" spans="1:5" x14ac:dyDescent="0.25">
      <c r="A1819" s="1">
        <v>43419</v>
      </c>
      <c r="B1819">
        <v>119823</v>
      </c>
      <c r="C1819" t="s">
        <v>317</v>
      </c>
      <c r="D1819" t="s">
        <v>1855</v>
      </c>
      <c r="E1819" s="2">
        <v>3500</v>
      </c>
    </row>
    <row r="1820" spans="1:5" x14ac:dyDescent="0.25">
      <c r="A1820" s="1">
        <v>43419</v>
      </c>
      <c r="B1820">
        <v>119825</v>
      </c>
      <c r="C1820" t="s">
        <v>318</v>
      </c>
      <c r="D1820" t="s">
        <v>1856</v>
      </c>
      <c r="E1820" s="2">
        <v>7486.32</v>
      </c>
    </row>
    <row r="1821" spans="1:5" x14ac:dyDescent="0.25">
      <c r="A1821" s="1">
        <v>43419</v>
      </c>
      <c r="B1821">
        <v>119825</v>
      </c>
      <c r="C1821" t="s">
        <v>318</v>
      </c>
      <c r="D1821" t="s">
        <v>1857</v>
      </c>
      <c r="E1821" s="2">
        <v>120706.73</v>
      </c>
    </row>
    <row r="1822" spans="1:5" x14ac:dyDescent="0.25">
      <c r="A1822" s="1">
        <v>43419</v>
      </c>
      <c r="B1822">
        <v>119825</v>
      </c>
      <c r="C1822" t="s">
        <v>318</v>
      </c>
      <c r="D1822" t="s">
        <v>1858</v>
      </c>
      <c r="E1822" s="2">
        <v>17185.740000000002</v>
      </c>
    </row>
    <row r="1823" spans="1:5" x14ac:dyDescent="0.25">
      <c r="A1823" s="1">
        <v>43419</v>
      </c>
      <c r="B1823">
        <v>119826</v>
      </c>
      <c r="C1823" t="s">
        <v>1714</v>
      </c>
      <c r="D1823" t="s">
        <v>1715</v>
      </c>
      <c r="E1823" s="2">
        <v>645</v>
      </c>
    </row>
    <row r="1824" spans="1:5" x14ac:dyDescent="0.25">
      <c r="A1824" s="1">
        <v>43419</v>
      </c>
      <c r="B1824">
        <v>119828</v>
      </c>
      <c r="C1824" t="s">
        <v>166</v>
      </c>
      <c r="D1824" t="s">
        <v>773</v>
      </c>
      <c r="E1824" s="2">
        <f>295+735+350+350+350+350+350+350</f>
        <v>3130</v>
      </c>
    </row>
    <row r="1825" spans="1:5" x14ac:dyDescent="0.25">
      <c r="A1825" s="1">
        <v>43419</v>
      </c>
      <c r="B1825">
        <v>119829</v>
      </c>
      <c r="C1825" t="s">
        <v>642</v>
      </c>
      <c r="D1825" t="s">
        <v>1859</v>
      </c>
      <c r="E1825" s="2">
        <v>2202.5</v>
      </c>
    </row>
    <row r="1826" spans="1:5" x14ac:dyDescent="0.25">
      <c r="A1826" s="1">
        <v>43419</v>
      </c>
      <c r="B1826">
        <v>119830</v>
      </c>
      <c r="C1826" t="s">
        <v>169</v>
      </c>
      <c r="D1826" t="s">
        <v>1860</v>
      </c>
      <c r="E1826" s="2">
        <v>8593.75</v>
      </c>
    </row>
    <row r="1827" spans="1:5" x14ac:dyDescent="0.25">
      <c r="A1827" s="1">
        <v>43419</v>
      </c>
      <c r="B1827">
        <v>119830</v>
      </c>
      <c r="C1827" t="s">
        <v>169</v>
      </c>
      <c r="D1827" t="s">
        <v>1861</v>
      </c>
      <c r="E1827" s="2">
        <v>9750</v>
      </c>
    </row>
    <row r="1828" spans="1:5" x14ac:dyDescent="0.25">
      <c r="A1828" s="1">
        <v>43419</v>
      </c>
      <c r="B1828">
        <v>119831</v>
      </c>
      <c r="C1828" t="s">
        <v>1862</v>
      </c>
      <c r="D1828" t="s">
        <v>1863</v>
      </c>
      <c r="E1828" s="2">
        <v>162</v>
      </c>
    </row>
    <row r="1829" spans="1:5" x14ac:dyDescent="0.25">
      <c r="A1829" s="1">
        <v>43419</v>
      </c>
      <c r="B1829">
        <v>119832</v>
      </c>
      <c r="C1829" t="s">
        <v>179</v>
      </c>
      <c r="D1829" t="s">
        <v>1864</v>
      </c>
      <c r="E1829" s="2">
        <v>217.63</v>
      </c>
    </row>
    <row r="1830" spans="1:5" x14ac:dyDescent="0.25">
      <c r="A1830" s="1">
        <v>43419</v>
      </c>
      <c r="B1830">
        <v>119832</v>
      </c>
      <c r="C1830" t="s">
        <v>179</v>
      </c>
      <c r="D1830" t="s">
        <v>1865</v>
      </c>
      <c r="E1830" s="2">
        <v>102.2</v>
      </c>
    </row>
    <row r="1831" spans="1:5" x14ac:dyDescent="0.25">
      <c r="A1831" s="1">
        <v>43419</v>
      </c>
      <c r="B1831">
        <v>119833</v>
      </c>
      <c r="C1831" t="s">
        <v>181</v>
      </c>
      <c r="D1831" t="s">
        <v>1866</v>
      </c>
      <c r="E1831" s="2">
        <v>1709.55</v>
      </c>
    </row>
    <row r="1832" spans="1:5" x14ac:dyDescent="0.25">
      <c r="A1832" s="1">
        <v>43419</v>
      </c>
      <c r="B1832">
        <v>119834</v>
      </c>
      <c r="C1832" t="s">
        <v>387</v>
      </c>
      <c r="D1832" t="s">
        <v>1867</v>
      </c>
      <c r="E1832" s="2">
        <f>18.33+142.81</f>
        <v>161.13999999999999</v>
      </c>
    </row>
    <row r="1833" spans="1:5" x14ac:dyDescent="0.25">
      <c r="A1833" s="1">
        <v>43419</v>
      </c>
      <c r="B1833">
        <v>119835</v>
      </c>
      <c r="C1833" t="s">
        <v>1868</v>
      </c>
      <c r="D1833" t="s">
        <v>1869</v>
      </c>
      <c r="E1833" s="2">
        <v>32.159999999999997</v>
      </c>
    </row>
    <row r="1834" spans="1:5" x14ac:dyDescent="0.25">
      <c r="A1834" s="1">
        <v>43419</v>
      </c>
      <c r="B1834">
        <v>119837</v>
      </c>
      <c r="C1834" t="s">
        <v>388</v>
      </c>
      <c r="D1834" t="s">
        <v>1870</v>
      </c>
      <c r="E1834" s="2">
        <f>3949.87+1552.8+996.05+1545.34+509.01+4548.46+1601.73</f>
        <v>14703.259999999998</v>
      </c>
    </row>
    <row r="1835" spans="1:5" x14ac:dyDescent="0.25">
      <c r="A1835" s="1">
        <v>43419</v>
      </c>
      <c r="B1835">
        <v>119838</v>
      </c>
      <c r="C1835" t="s">
        <v>780</v>
      </c>
      <c r="D1835" t="s">
        <v>1871</v>
      </c>
      <c r="E1835" s="2">
        <v>221.4</v>
      </c>
    </row>
    <row r="1836" spans="1:5" x14ac:dyDescent="0.25">
      <c r="A1836" s="1">
        <v>43419</v>
      </c>
      <c r="B1836">
        <v>119839</v>
      </c>
      <c r="C1836" t="s">
        <v>782</v>
      </c>
      <c r="D1836" t="s">
        <v>1872</v>
      </c>
      <c r="E1836" s="2">
        <v>1142</v>
      </c>
    </row>
    <row r="1837" spans="1:5" x14ac:dyDescent="0.25">
      <c r="A1837" s="1">
        <v>43419</v>
      </c>
      <c r="B1837">
        <v>119840</v>
      </c>
      <c r="C1837" t="s">
        <v>61</v>
      </c>
      <c r="D1837" t="s">
        <v>1873</v>
      </c>
      <c r="E1837" s="2">
        <v>4000</v>
      </c>
    </row>
    <row r="1838" spans="1:5" x14ac:dyDescent="0.25">
      <c r="A1838" s="1">
        <v>43419</v>
      </c>
      <c r="B1838">
        <v>119840</v>
      </c>
      <c r="C1838" t="s">
        <v>61</v>
      </c>
      <c r="D1838" t="s">
        <v>1873</v>
      </c>
      <c r="E1838" s="2">
        <v>4000</v>
      </c>
    </row>
    <row r="1839" spans="1:5" x14ac:dyDescent="0.25">
      <c r="A1839" s="1">
        <v>43419</v>
      </c>
      <c r="B1839">
        <v>119841</v>
      </c>
      <c r="C1839" t="s">
        <v>61</v>
      </c>
      <c r="D1839" t="s">
        <v>1873</v>
      </c>
      <c r="E1839" s="2">
        <v>4000</v>
      </c>
    </row>
    <row r="1840" spans="1:5" x14ac:dyDescent="0.25">
      <c r="A1840" s="1">
        <v>43419</v>
      </c>
      <c r="B1840">
        <v>119842</v>
      </c>
      <c r="C1840" t="s">
        <v>61</v>
      </c>
      <c r="D1840" t="s">
        <v>1873</v>
      </c>
      <c r="E1840" s="2">
        <v>4000</v>
      </c>
    </row>
    <row r="1841" spans="1:5" x14ac:dyDescent="0.25">
      <c r="A1841" s="1">
        <v>43419</v>
      </c>
      <c r="B1841">
        <v>181900086</v>
      </c>
      <c r="C1841" t="s">
        <v>1874</v>
      </c>
      <c r="D1841" t="s">
        <v>1548</v>
      </c>
      <c r="E1841" s="2">
        <v>41</v>
      </c>
    </row>
    <row r="1842" spans="1:5" x14ac:dyDescent="0.25">
      <c r="A1842" s="1">
        <v>43419</v>
      </c>
      <c r="B1842">
        <v>181900087</v>
      </c>
      <c r="C1842" t="s">
        <v>1875</v>
      </c>
      <c r="D1842" t="s">
        <v>1548</v>
      </c>
      <c r="E1842" s="2">
        <v>86.88</v>
      </c>
    </row>
    <row r="1843" spans="1:5" x14ac:dyDescent="0.25">
      <c r="A1843" s="1">
        <v>43419</v>
      </c>
      <c r="B1843">
        <v>181900088</v>
      </c>
      <c r="C1843" t="s">
        <v>1067</v>
      </c>
      <c r="D1843" t="s">
        <v>1548</v>
      </c>
      <c r="E1843" s="2">
        <v>96.11</v>
      </c>
    </row>
    <row r="1844" spans="1:5" x14ac:dyDescent="0.25">
      <c r="A1844" s="1">
        <v>43420</v>
      </c>
      <c r="B1844">
        <v>119856</v>
      </c>
      <c r="C1844" t="s">
        <v>123</v>
      </c>
      <c r="D1844" t="s">
        <v>1876</v>
      </c>
      <c r="E1844" s="2">
        <v>163.36000000000001</v>
      </c>
    </row>
    <row r="1845" spans="1:5" x14ac:dyDescent="0.25">
      <c r="A1845" s="1">
        <v>43420</v>
      </c>
      <c r="B1845">
        <v>119856</v>
      </c>
      <c r="C1845" t="s">
        <v>123</v>
      </c>
      <c r="D1845" t="s">
        <v>1877</v>
      </c>
      <c r="E1845" s="2">
        <v>81.680000000000007</v>
      </c>
    </row>
    <row r="1846" spans="1:5" x14ac:dyDescent="0.25">
      <c r="A1846" s="1">
        <v>43420</v>
      </c>
      <c r="B1846">
        <v>119856</v>
      </c>
      <c r="C1846" t="s">
        <v>123</v>
      </c>
      <c r="D1846" t="s">
        <v>1876</v>
      </c>
      <c r="E1846" s="2">
        <v>163.36000000000001</v>
      </c>
    </row>
    <row r="1847" spans="1:5" x14ac:dyDescent="0.25">
      <c r="A1847" s="1">
        <v>43420</v>
      </c>
      <c r="B1847">
        <v>119856</v>
      </c>
      <c r="C1847" t="s">
        <v>123</v>
      </c>
      <c r="D1847" t="s">
        <v>1878</v>
      </c>
      <c r="E1847" s="2">
        <v>81.680000000000007</v>
      </c>
    </row>
    <row r="1848" spans="1:5" x14ac:dyDescent="0.25">
      <c r="A1848" s="1">
        <v>43420</v>
      </c>
      <c r="B1848">
        <v>119856</v>
      </c>
      <c r="C1848" t="s">
        <v>123</v>
      </c>
      <c r="D1848" t="s">
        <v>1876</v>
      </c>
      <c r="E1848" s="2">
        <v>163.36000000000001</v>
      </c>
    </row>
    <row r="1849" spans="1:5" x14ac:dyDescent="0.25">
      <c r="A1849" s="1">
        <v>43420</v>
      </c>
      <c r="B1849">
        <v>119856</v>
      </c>
      <c r="C1849" t="s">
        <v>123</v>
      </c>
      <c r="D1849" t="s">
        <v>1878</v>
      </c>
      <c r="E1849" s="2">
        <v>81.680000000000007</v>
      </c>
    </row>
    <row r="1850" spans="1:5" x14ac:dyDescent="0.25">
      <c r="A1850" s="1">
        <v>43420</v>
      </c>
      <c r="B1850">
        <v>119856</v>
      </c>
      <c r="C1850" t="s">
        <v>123</v>
      </c>
      <c r="D1850" t="s">
        <v>1879</v>
      </c>
      <c r="E1850" s="2">
        <v>163.36000000000001</v>
      </c>
    </row>
    <row r="1851" spans="1:5" x14ac:dyDescent="0.25">
      <c r="A1851" s="1">
        <v>43420</v>
      </c>
      <c r="B1851">
        <v>119856</v>
      </c>
      <c r="C1851" t="s">
        <v>123</v>
      </c>
      <c r="D1851" t="s">
        <v>1879</v>
      </c>
      <c r="E1851" s="2">
        <v>163.36000000000001</v>
      </c>
    </row>
    <row r="1852" spans="1:5" x14ac:dyDescent="0.25">
      <c r="A1852" s="1">
        <v>43420</v>
      </c>
      <c r="B1852">
        <v>119856</v>
      </c>
      <c r="C1852" t="s">
        <v>123</v>
      </c>
      <c r="D1852" t="s">
        <v>1880</v>
      </c>
      <c r="E1852" s="2">
        <v>81.680000000000007</v>
      </c>
    </row>
    <row r="1853" spans="1:5" x14ac:dyDescent="0.25">
      <c r="A1853" s="1">
        <v>43420</v>
      </c>
      <c r="B1853">
        <v>119856</v>
      </c>
      <c r="C1853" t="s">
        <v>123</v>
      </c>
      <c r="D1853" t="s">
        <v>1881</v>
      </c>
      <c r="E1853" s="2">
        <v>85.38</v>
      </c>
    </row>
    <row r="1854" spans="1:5" x14ac:dyDescent="0.25">
      <c r="A1854" s="1">
        <v>43420</v>
      </c>
      <c r="B1854">
        <v>119856</v>
      </c>
      <c r="C1854" t="s">
        <v>123</v>
      </c>
      <c r="D1854" t="s">
        <v>1881</v>
      </c>
      <c r="E1854" s="2">
        <v>245.04</v>
      </c>
    </row>
    <row r="1855" spans="1:5" x14ac:dyDescent="0.25">
      <c r="A1855" s="1">
        <v>43420</v>
      </c>
      <c r="B1855">
        <v>119856</v>
      </c>
      <c r="C1855" t="s">
        <v>123</v>
      </c>
      <c r="D1855" t="s">
        <v>1882</v>
      </c>
      <c r="E1855" s="2">
        <v>81.680000000000007</v>
      </c>
    </row>
    <row r="1856" spans="1:5" x14ac:dyDescent="0.25">
      <c r="A1856" s="1">
        <v>43420</v>
      </c>
      <c r="B1856">
        <v>119856</v>
      </c>
      <c r="C1856" t="s">
        <v>123</v>
      </c>
      <c r="D1856" t="s">
        <v>1882</v>
      </c>
      <c r="E1856" s="2">
        <v>81.680000000000007</v>
      </c>
    </row>
    <row r="1857" spans="1:5" x14ac:dyDescent="0.25">
      <c r="A1857" s="1">
        <v>43420</v>
      </c>
      <c r="B1857">
        <v>119856</v>
      </c>
      <c r="C1857" t="s">
        <v>123</v>
      </c>
      <c r="D1857" t="s">
        <v>1883</v>
      </c>
      <c r="E1857" s="2">
        <v>81.680000000000007</v>
      </c>
    </row>
    <row r="1858" spans="1:5" x14ac:dyDescent="0.25">
      <c r="A1858" s="1">
        <v>43420</v>
      </c>
      <c r="B1858">
        <v>119856</v>
      </c>
      <c r="C1858" t="s">
        <v>123</v>
      </c>
      <c r="D1858" t="s">
        <v>1884</v>
      </c>
      <c r="E1858" s="2">
        <v>577.20000000000005</v>
      </c>
    </row>
    <row r="1859" spans="1:5" x14ac:dyDescent="0.25">
      <c r="A1859" s="1">
        <v>43420</v>
      </c>
      <c r="B1859">
        <v>119856</v>
      </c>
      <c r="C1859" t="s">
        <v>123</v>
      </c>
      <c r="D1859" t="s">
        <v>1884</v>
      </c>
      <c r="E1859" s="2">
        <v>95.58</v>
      </c>
    </row>
    <row r="1860" spans="1:5" x14ac:dyDescent="0.25">
      <c r="A1860" s="1">
        <v>43420</v>
      </c>
      <c r="B1860">
        <v>119856</v>
      </c>
      <c r="C1860" t="s">
        <v>123</v>
      </c>
      <c r="D1860" t="s">
        <v>1885</v>
      </c>
      <c r="E1860" s="2">
        <v>201.87</v>
      </c>
    </row>
    <row r="1861" spans="1:5" x14ac:dyDescent="0.25">
      <c r="A1861" s="1">
        <v>43420</v>
      </c>
      <c r="B1861">
        <v>119856</v>
      </c>
      <c r="C1861" t="s">
        <v>123</v>
      </c>
      <c r="D1861" t="s">
        <v>1885</v>
      </c>
      <c r="E1861" s="2">
        <v>328.08</v>
      </c>
    </row>
    <row r="1862" spans="1:5" x14ac:dyDescent="0.25">
      <c r="A1862" s="1">
        <v>43420</v>
      </c>
      <c r="B1862">
        <v>119856</v>
      </c>
      <c r="C1862" t="s">
        <v>123</v>
      </c>
      <c r="D1862" t="s">
        <v>1885</v>
      </c>
      <c r="E1862" s="2">
        <v>285.88</v>
      </c>
    </row>
    <row r="1863" spans="1:5" x14ac:dyDescent="0.25">
      <c r="A1863" s="1">
        <v>43420</v>
      </c>
      <c r="B1863">
        <v>119856</v>
      </c>
      <c r="C1863" t="s">
        <v>123</v>
      </c>
      <c r="D1863" t="s">
        <v>1885</v>
      </c>
      <c r="E1863" s="2">
        <v>296.08999999999997</v>
      </c>
    </row>
    <row r="1864" spans="1:5" x14ac:dyDescent="0.25">
      <c r="A1864" s="1">
        <v>43420</v>
      </c>
      <c r="B1864">
        <v>119856</v>
      </c>
      <c r="C1864" t="s">
        <v>123</v>
      </c>
      <c r="D1864" t="s">
        <v>1787</v>
      </c>
      <c r="E1864" s="2">
        <v>285.88</v>
      </c>
    </row>
    <row r="1865" spans="1:5" x14ac:dyDescent="0.25">
      <c r="A1865" s="1">
        <v>43420</v>
      </c>
      <c r="B1865">
        <v>119856</v>
      </c>
      <c r="C1865" t="s">
        <v>123</v>
      </c>
      <c r="D1865" t="s">
        <v>1885</v>
      </c>
      <c r="E1865" s="2">
        <v>328.08</v>
      </c>
    </row>
    <row r="1866" spans="1:5" x14ac:dyDescent="0.25">
      <c r="A1866" s="1">
        <v>43420</v>
      </c>
      <c r="B1866">
        <v>119856</v>
      </c>
      <c r="C1866" t="s">
        <v>123</v>
      </c>
      <c r="D1866" t="s">
        <v>1884</v>
      </c>
      <c r="E1866" s="2">
        <v>81.680000000000007</v>
      </c>
    </row>
    <row r="1867" spans="1:5" x14ac:dyDescent="0.25">
      <c r="A1867" s="1">
        <v>43420</v>
      </c>
      <c r="B1867">
        <v>119856</v>
      </c>
      <c r="C1867" t="s">
        <v>123</v>
      </c>
      <c r="D1867" t="s">
        <v>1884</v>
      </c>
      <c r="E1867" s="2">
        <v>245.04</v>
      </c>
    </row>
    <row r="1868" spans="1:5" x14ac:dyDescent="0.25">
      <c r="A1868" s="1">
        <v>43420</v>
      </c>
      <c r="B1868">
        <v>119856</v>
      </c>
      <c r="C1868" t="s">
        <v>123</v>
      </c>
      <c r="D1868" t="s">
        <v>1886</v>
      </c>
      <c r="E1868" s="2">
        <v>81.680000000000007</v>
      </c>
    </row>
    <row r="1869" spans="1:5" x14ac:dyDescent="0.25">
      <c r="A1869" s="1">
        <v>43420</v>
      </c>
      <c r="B1869">
        <v>119856</v>
      </c>
      <c r="C1869" t="s">
        <v>123</v>
      </c>
      <c r="D1869" t="s">
        <v>1884</v>
      </c>
      <c r="E1869" s="2">
        <v>81.680000000000007</v>
      </c>
    </row>
    <row r="1870" spans="1:5" x14ac:dyDescent="0.25">
      <c r="A1870" s="1">
        <v>43420</v>
      </c>
      <c r="B1870">
        <v>119856</v>
      </c>
      <c r="C1870" t="s">
        <v>123</v>
      </c>
      <c r="D1870" t="s">
        <v>1884</v>
      </c>
      <c r="E1870" s="2">
        <v>81.680000000000007</v>
      </c>
    </row>
    <row r="1871" spans="1:5" x14ac:dyDescent="0.25">
      <c r="A1871" s="1">
        <v>43420</v>
      </c>
      <c r="B1871">
        <v>119856</v>
      </c>
      <c r="C1871" t="s">
        <v>123</v>
      </c>
      <c r="D1871" t="s">
        <v>1877</v>
      </c>
      <c r="E1871" s="2">
        <v>633.02</v>
      </c>
    </row>
    <row r="1872" spans="1:5" x14ac:dyDescent="0.25">
      <c r="A1872" s="1">
        <v>43420</v>
      </c>
      <c r="B1872">
        <v>119856</v>
      </c>
      <c r="C1872" t="s">
        <v>123</v>
      </c>
      <c r="D1872" t="s">
        <v>1887</v>
      </c>
      <c r="E1872" s="2">
        <v>611.24</v>
      </c>
    </row>
    <row r="1873" spans="1:5" x14ac:dyDescent="0.25">
      <c r="A1873" s="1">
        <v>43420</v>
      </c>
      <c r="B1873">
        <v>119856</v>
      </c>
      <c r="C1873" t="s">
        <v>123</v>
      </c>
      <c r="D1873" t="s">
        <v>1887</v>
      </c>
      <c r="E1873" s="2">
        <v>265.45999999999998</v>
      </c>
    </row>
    <row r="1874" spans="1:5" x14ac:dyDescent="0.25">
      <c r="A1874" s="1">
        <v>43420</v>
      </c>
      <c r="B1874">
        <v>119856</v>
      </c>
      <c r="C1874" t="s">
        <v>123</v>
      </c>
      <c r="D1874" t="s">
        <v>1887</v>
      </c>
      <c r="E1874" s="2">
        <v>263.42</v>
      </c>
    </row>
    <row r="1875" spans="1:5" x14ac:dyDescent="0.25">
      <c r="A1875" s="1">
        <v>43420</v>
      </c>
      <c r="B1875">
        <v>119856</v>
      </c>
      <c r="C1875" t="s">
        <v>123</v>
      </c>
      <c r="D1875" t="s">
        <v>1887</v>
      </c>
      <c r="E1875" s="2">
        <v>524.12</v>
      </c>
    </row>
    <row r="1876" spans="1:5" x14ac:dyDescent="0.25">
      <c r="A1876" s="1">
        <v>43420</v>
      </c>
      <c r="B1876">
        <v>119856</v>
      </c>
      <c r="C1876" t="s">
        <v>123</v>
      </c>
      <c r="D1876" t="s">
        <v>1887</v>
      </c>
      <c r="E1876" s="2">
        <v>269.54000000000002</v>
      </c>
    </row>
    <row r="1877" spans="1:5" x14ac:dyDescent="0.25">
      <c r="A1877" s="1">
        <v>43420</v>
      </c>
      <c r="B1877">
        <v>119856</v>
      </c>
      <c r="C1877" t="s">
        <v>123</v>
      </c>
      <c r="D1877" t="s">
        <v>1888</v>
      </c>
      <c r="E1877" s="2">
        <v>524.12</v>
      </c>
    </row>
    <row r="1878" spans="1:5" x14ac:dyDescent="0.25">
      <c r="A1878" s="1">
        <v>43420</v>
      </c>
      <c r="B1878">
        <v>119856</v>
      </c>
      <c r="C1878" t="s">
        <v>123</v>
      </c>
      <c r="D1878" t="s">
        <v>1889</v>
      </c>
      <c r="E1878" s="2">
        <v>251.85</v>
      </c>
    </row>
    <row r="1879" spans="1:5" x14ac:dyDescent="0.25">
      <c r="A1879" s="1">
        <v>43420</v>
      </c>
      <c r="B1879">
        <v>119856</v>
      </c>
      <c r="C1879" t="s">
        <v>123</v>
      </c>
      <c r="D1879" t="s">
        <v>1890</v>
      </c>
      <c r="E1879" s="2">
        <v>31.11</v>
      </c>
    </row>
    <row r="1880" spans="1:5" x14ac:dyDescent="0.25">
      <c r="A1880" s="1">
        <v>43420</v>
      </c>
      <c r="B1880">
        <v>119856</v>
      </c>
      <c r="C1880" t="s">
        <v>123</v>
      </c>
      <c r="D1880" t="s">
        <v>1891</v>
      </c>
      <c r="E1880" s="2">
        <v>120</v>
      </c>
    </row>
    <row r="1881" spans="1:5" x14ac:dyDescent="0.25">
      <c r="A1881" s="1">
        <v>43420</v>
      </c>
      <c r="B1881">
        <v>119856</v>
      </c>
      <c r="C1881" t="s">
        <v>123</v>
      </c>
      <c r="D1881" t="s">
        <v>1892</v>
      </c>
      <c r="E1881" s="2">
        <v>42.2</v>
      </c>
    </row>
    <row r="1882" spans="1:5" x14ac:dyDescent="0.25">
      <c r="A1882" s="1">
        <v>43420</v>
      </c>
      <c r="B1882">
        <v>119856</v>
      </c>
      <c r="C1882" t="s">
        <v>123</v>
      </c>
      <c r="D1882" t="s">
        <v>1893</v>
      </c>
      <c r="E1882" s="2">
        <v>81.680000000000007</v>
      </c>
    </row>
    <row r="1883" spans="1:5" x14ac:dyDescent="0.25">
      <c r="A1883" s="1">
        <v>43420</v>
      </c>
      <c r="B1883">
        <v>119856</v>
      </c>
      <c r="C1883" t="s">
        <v>123</v>
      </c>
      <c r="D1883" t="s">
        <v>1894</v>
      </c>
      <c r="E1883" s="2">
        <v>163.36000000000001</v>
      </c>
    </row>
    <row r="1884" spans="1:5" x14ac:dyDescent="0.25">
      <c r="A1884" s="1">
        <v>43420</v>
      </c>
      <c r="B1884">
        <v>119856</v>
      </c>
      <c r="C1884" t="s">
        <v>123</v>
      </c>
      <c r="D1884" t="s">
        <v>1895</v>
      </c>
      <c r="E1884" s="2">
        <v>81.680000000000007</v>
      </c>
    </row>
    <row r="1885" spans="1:5" x14ac:dyDescent="0.25">
      <c r="A1885" s="1">
        <v>43420</v>
      </c>
      <c r="B1885">
        <v>119856</v>
      </c>
      <c r="C1885" t="s">
        <v>123</v>
      </c>
      <c r="D1885" t="s">
        <v>1879</v>
      </c>
      <c r="E1885" s="2">
        <v>81.680000000000007</v>
      </c>
    </row>
    <row r="1886" spans="1:5" x14ac:dyDescent="0.25">
      <c r="A1886" s="1">
        <v>43420</v>
      </c>
      <c r="B1886">
        <v>119856</v>
      </c>
      <c r="C1886" t="s">
        <v>123</v>
      </c>
      <c r="D1886" t="s">
        <v>1896</v>
      </c>
      <c r="E1886" s="2">
        <v>163.36000000000001</v>
      </c>
    </row>
    <row r="1887" spans="1:5" x14ac:dyDescent="0.25">
      <c r="A1887" s="1">
        <v>43420</v>
      </c>
      <c r="B1887">
        <v>119856</v>
      </c>
      <c r="C1887" t="s">
        <v>123</v>
      </c>
      <c r="D1887" t="s">
        <v>1878</v>
      </c>
      <c r="E1887" s="2">
        <v>81.680000000000007</v>
      </c>
    </row>
    <row r="1888" spans="1:5" x14ac:dyDescent="0.25">
      <c r="A1888" s="1">
        <v>43420</v>
      </c>
      <c r="B1888">
        <v>119856</v>
      </c>
      <c r="C1888" t="s">
        <v>123</v>
      </c>
      <c r="D1888" t="s">
        <v>1895</v>
      </c>
      <c r="E1888" s="2">
        <v>81.680000000000007</v>
      </c>
    </row>
    <row r="1889" spans="1:5" x14ac:dyDescent="0.25">
      <c r="A1889" s="1">
        <v>43420</v>
      </c>
      <c r="B1889">
        <v>119856</v>
      </c>
      <c r="C1889" t="s">
        <v>123</v>
      </c>
      <c r="D1889" t="s">
        <v>1879</v>
      </c>
      <c r="E1889" s="2">
        <v>81.680000000000007</v>
      </c>
    </row>
    <row r="1890" spans="1:5" x14ac:dyDescent="0.25">
      <c r="A1890" s="1">
        <v>43420</v>
      </c>
      <c r="B1890">
        <v>119856</v>
      </c>
      <c r="C1890" t="s">
        <v>123</v>
      </c>
      <c r="D1890" t="s">
        <v>1879</v>
      </c>
      <c r="E1890" s="2">
        <v>81.680000000000007</v>
      </c>
    </row>
    <row r="1891" spans="1:5" x14ac:dyDescent="0.25">
      <c r="A1891" s="1">
        <v>43420</v>
      </c>
      <c r="B1891">
        <v>119856</v>
      </c>
      <c r="C1891" t="s">
        <v>123</v>
      </c>
      <c r="D1891" t="s">
        <v>1896</v>
      </c>
      <c r="E1891" s="2">
        <v>245.04</v>
      </c>
    </row>
    <row r="1892" spans="1:5" x14ac:dyDescent="0.25">
      <c r="A1892" s="1">
        <v>43420</v>
      </c>
      <c r="B1892">
        <v>119856</v>
      </c>
      <c r="C1892" t="s">
        <v>123</v>
      </c>
      <c r="D1892" t="s">
        <v>1896</v>
      </c>
      <c r="E1892" s="2">
        <v>163.36000000000001</v>
      </c>
    </row>
    <row r="1893" spans="1:5" x14ac:dyDescent="0.25">
      <c r="A1893" s="1">
        <v>43420</v>
      </c>
      <c r="B1893">
        <v>119856</v>
      </c>
      <c r="C1893" t="s">
        <v>123</v>
      </c>
      <c r="D1893" t="s">
        <v>1879</v>
      </c>
      <c r="E1893" s="2">
        <v>81.680000000000007</v>
      </c>
    </row>
    <row r="1894" spans="1:5" x14ac:dyDescent="0.25">
      <c r="A1894" s="1">
        <v>43420</v>
      </c>
      <c r="B1894">
        <v>119856</v>
      </c>
      <c r="C1894" t="s">
        <v>123</v>
      </c>
      <c r="D1894" t="s">
        <v>1896</v>
      </c>
      <c r="E1894" s="2">
        <v>163.36000000000001</v>
      </c>
    </row>
    <row r="1895" spans="1:5" x14ac:dyDescent="0.25">
      <c r="A1895" s="1">
        <v>43420</v>
      </c>
      <c r="B1895">
        <v>119856</v>
      </c>
      <c r="C1895" t="s">
        <v>123</v>
      </c>
      <c r="D1895" t="s">
        <v>1897</v>
      </c>
      <c r="E1895" s="2">
        <v>40.840000000000003</v>
      </c>
    </row>
    <row r="1896" spans="1:5" x14ac:dyDescent="0.25">
      <c r="A1896" s="1">
        <v>43420</v>
      </c>
      <c r="B1896">
        <v>119856</v>
      </c>
      <c r="C1896" t="s">
        <v>123</v>
      </c>
      <c r="D1896" t="s">
        <v>1898</v>
      </c>
      <c r="E1896" s="2">
        <v>469.66</v>
      </c>
    </row>
    <row r="1897" spans="1:5" x14ac:dyDescent="0.25">
      <c r="A1897" s="1">
        <v>43420</v>
      </c>
      <c r="B1897">
        <v>119856</v>
      </c>
      <c r="C1897" t="s">
        <v>123</v>
      </c>
      <c r="D1897" t="s">
        <v>1898</v>
      </c>
      <c r="E1897" s="2">
        <v>518.66999999999996</v>
      </c>
    </row>
    <row r="1898" spans="1:5" x14ac:dyDescent="0.25">
      <c r="A1898" s="1">
        <v>43420</v>
      </c>
      <c r="B1898">
        <v>119856</v>
      </c>
      <c r="C1898" t="s">
        <v>123</v>
      </c>
      <c r="D1898" t="s">
        <v>1898</v>
      </c>
      <c r="E1898" s="2">
        <v>479.87</v>
      </c>
    </row>
    <row r="1899" spans="1:5" x14ac:dyDescent="0.25">
      <c r="A1899" s="1">
        <v>43420</v>
      </c>
      <c r="B1899">
        <v>119856</v>
      </c>
      <c r="C1899" t="s">
        <v>123</v>
      </c>
      <c r="D1899" t="s">
        <v>1898</v>
      </c>
      <c r="E1899" s="2">
        <v>980.16</v>
      </c>
    </row>
    <row r="1900" spans="1:5" x14ac:dyDescent="0.25">
      <c r="A1900" s="1">
        <v>43420</v>
      </c>
      <c r="B1900">
        <v>119856</v>
      </c>
      <c r="C1900" t="s">
        <v>123</v>
      </c>
      <c r="D1900" t="s">
        <v>1899</v>
      </c>
      <c r="E1900" s="2">
        <v>285.88</v>
      </c>
    </row>
    <row r="1901" spans="1:5" x14ac:dyDescent="0.25">
      <c r="A1901" s="1">
        <v>43420</v>
      </c>
      <c r="B1901">
        <v>119856</v>
      </c>
      <c r="C1901" t="s">
        <v>123</v>
      </c>
      <c r="D1901" t="s">
        <v>1900</v>
      </c>
      <c r="E1901" s="2">
        <v>81.680000000000007</v>
      </c>
    </row>
    <row r="1902" spans="1:5" x14ac:dyDescent="0.25">
      <c r="A1902" s="1">
        <v>43420</v>
      </c>
      <c r="B1902">
        <v>119857</v>
      </c>
      <c r="C1902" t="s">
        <v>181</v>
      </c>
      <c r="D1902" t="s">
        <v>1866</v>
      </c>
      <c r="E1902" s="2">
        <v>1709.55</v>
      </c>
    </row>
    <row r="1903" spans="1:5" x14ac:dyDescent="0.25">
      <c r="A1903" s="1">
        <v>43420</v>
      </c>
      <c r="B1903">
        <v>119858</v>
      </c>
      <c r="C1903" t="s">
        <v>387</v>
      </c>
      <c r="D1903" t="s">
        <v>1867</v>
      </c>
      <c r="E1903" s="2">
        <v>142.81</v>
      </c>
    </row>
    <row r="1904" spans="1:5" x14ac:dyDescent="0.25">
      <c r="A1904" s="1">
        <v>43420</v>
      </c>
      <c r="B1904">
        <v>119862</v>
      </c>
      <c r="C1904" t="s">
        <v>644</v>
      </c>
      <c r="D1904" t="s">
        <v>1901</v>
      </c>
      <c r="E1904" s="2">
        <f>8.58+6.68+10.4</f>
        <v>25.66</v>
      </c>
    </row>
    <row r="1905" spans="1:5" x14ac:dyDescent="0.25">
      <c r="A1905" s="1">
        <v>43420</v>
      </c>
      <c r="B1905">
        <v>119862</v>
      </c>
      <c r="C1905" t="s">
        <v>644</v>
      </c>
      <c r="D1905" t="s">
        <v>1902</v>
      </c>
      <c r="E1905" s="2">
        <f>74.25+88.7+89.45+74.01</f>
        <v>326.40999999999997</v>
      </c>
    </row>
    <row r="1906" spans="1:5" x14ac:dyDescent="0.25">
      <c r="A1906" s="1">
        <v>43420</v>
      </c>
      <c r="B1906">
        <v>119862</v>
      </c>
      <c r="C1906" t="s">
        <v>644</v>
      </c>
      <c r="D1906" t="s">
        <v>1903</v>
      </c>
      <c r="E1906" s="2">
        <f>31.83+39.74</f>
        <v>71.569999999999993</v>
      </c>
    </row>
    <row r="1907" spans="1:5" x14ac:dyDescent="0.25">
      <c r="A1907" s="1">
        <v>43420</v>
      </c>
      <c r="B1907">
        <v>119862</v>
      </c>
      <c r="C1907" t="s">
        <v>644</v>
      </c>
      <c r="D1907" t="s">
        <v>1904</v>
      </c>
      <c r="E1907" s="2">
        <v>55.47</v>
      </c>
    </row>
    <row r="1908" spans="1:5" x14ac:dyDescent="0.25">
      <c r="A1908" s="1">
        <v>43420</v>
      </c>
      <c r="B1908">
        <v>119863</v>
      </c>
      <c r="C1908" t="s">
        <v>123</v>
      </c>
      <c r="D1908" t="s">
        <v>1905</v>
      </c>
      <c r="E1908" s="2">
        <f>479.87+517.31</f>
        <v>997.18</v>
      </c>
    </row>
    <row r="1909" spans="1:5" x14ac:dyDescent="0.25">
      <c r="A1909" s="1">
        <v>43420</v>
      </c>
      <c r="B1909">
        <v>119863</v>
      </c>
      <c r="C1909" t="s">
        <v>123</v>
      </c>
      <c r="D1909" t="s">
        <v>1787</v>
      </c>
      <c r="E1909" s="2">
        <v>289.27999999999997</v>
      </c>
    </row>
    <row r="1910" spans="1:5" x14ac:dyDescent="0.25">
      <c r="A1910" s="1">
        <v>43420</v>
      </c>
      <c r="B1910">
        <v>119864</v>
      </c>
      <c r="C1910" t="s">
        <v>942</v>
      </c>
      <c r="D1910" t="s">
        <v>1569</v>
      </c>
      <c r="E1910" s="2">
        <v>1400</v>
      </c>
    </row>
    <row r="1911" spans="1:5" x14ac:dyDescent="0.25">
      <c r="A1911" s="1">
        <v>43420</v>
      </c>
      <c r="B1911">
        <v>119873</v>
      </c>
      <c r="C1911" t="s">
        <v>125</v>
      </c>
      <c r="D1911" t="s">
        <v>464</v>
      </c>
      <c r="E1911" s="2">
        <v>108.9</v>
      </c>
    </row>
    <row r="1912" spans="1:5" x14ac:dyDescent="0.25">
      <c r="A1912" s="1">
        <v>43420</v>
      </c>
      <c r="B1912">
        <v>119873</v>
      </c>
      <c r="C1912" t="s">
        <v>125</v>
      </c>
      <c r="D1912" t="s">
        <v>464</v>
      </c>
      <c r="E1912" s="2">
        <v>527.70000000000005</v>
      </c>
    </row>
    <row r="1913" spans="1:5" x14ac:dyDescent="0.25">
      <c r="A1913" s="1">
        <v>43420</v>
      </c>
      <c r="B1913">
        <v>119873</v>
      </c>
      <c r="C1913" t="s">
        <v>125</v>
      </c>
      <c r="D1913" t="s">
        <v>464</v>
      </c>
      <c r="E1913" s="2">
        <v>170.83</v>
      </c>
    </row>
    <row r="1914" spans="1:5" x14ac:dyDescent="0.25">
      <c r="A1914" s="1">
        <v>43420</v>
      </c>
      <c r="B1914">
        <v>119873</v>
      </c>
      <c r="C1914" t="s">
        <v>125</v>
      </c>
      <c r="D1914" t="s">
        <v>1906</v>
      </c>
      <c r="E1914" s="2">
        <v>93.87</v>
      </c>
    </row>
    <row r="1915" spans="1:5" x14ac:dyDescent="0.25">
      <c r="A1915" s="1">
        <v>43420</v>
      </c>
      <c r="B1915">
        <v>119873</v>
      </c>
      <c r="C1915" t="s">
        <v>125</v>
      </c>
      <c r="D1915" t="s">
        <v>464</v>
      </c>
      <c r="E1915" s="2">
        <v>237.79</v>
      </c>
    </row>
    <row r="1916" spans="1:5" x14ac:dyDescent="0.25">
      <c r="A1916" s="1">
        <v>43420</v>
      </c>
      <c r="B1916">
        <v>119873</v>
      </c>
      <c r="C1916" t="s">
        <v>125</v>
      </c>
      <c r="D1916" t="s">
        <v>464</v>
      </c>
      <c r="E1916" s="2">
        <v>58.62</v>
      </c>
    </row>
    <row r="1917" spans="1:5" x14ac:dyDescent="0.25">
      <c r="A1917" s="1">
        <v>43420</v>
      </c>
      <c r="B1917">
        <v>119873</v>
      </c>
      <c r="C1917" t="s">
        <v>125</v>
      </c>
      <c r="D1917" t="s">
        <v>464</v>
      </c>
      <c r="E1917" s="2">
        <v>230.3</v>
      </c>
    </row>
    <row r="1918" spans="1:5" x14ac:dyDescent="0.25">
      <c r="A1918" s="1">
        <v>43420</v>
      </c>
      <c r="B1918">
        <v>119873</v>
      </c>
      <c r="C1918" t="s">
        <v>125</v>
      </c>
      <c r="D1918" t="s">
        <v>464</v>
      </c>
      <c r="E1918" s="2">
        <v>136.77000000000001</v>
      </c>
    </row>
    <row r="1919" spans="1:5" x14ac:dyDescent="0.25">
      <c r="A1919" s="1">
        <v>43420</v>
      </c>
      <c r="B1919">
        <v>119873</v>
      </c>
      <c r="C1919" t="s">
        <v>125</v>
      </c>
      <c r="D1919" t="s">
        <v>1907</v>
      </c>
      <c r="E1919" s="2">
        <v>4422.8599999999997</v>
      </c>
    </row>
    <row r="1920" spans="1:5" x14ac:dyDescent="0.25">
      <c r="A1920" s="1">
        <v>43420</v>
      </c>
      <c r="B1920">
        <v>119873</v>
      </c>
      <c r="C1920" t="s">
        <v>125</v>
      </c>
      <c r="D1920" t="s">
        <v>416</v>
      </c>
      <c r="E1920" s="3">
        <v>-4422.8599999999997</v>
      </c>
    </row>
    <row r="1921" spans="1:5" x14ac:dyDescent="0.25">
      <c r="A1921" s="1">
        <v>43420</v>
      </c>
      <c r="B1921">
        <v>119873</v>
      </c>
      <c r="C1921" t="s">
        <v>125</v>
      </c>
      <c r="D1921" t="s">
        <v>1908</v>
      </c>
      <c r="E1921" s="2">
        <v>20.8</v>
      </c>
    </row>
    <row r="1922" spans="1:5" x14ac:dyDescent="0.25">
      <c r="A1922" s="1">
        <v>43420</v>
      </c>
      <c r="B1922">
        <v>119873</v>
      </c>
      <c r="C1922" t="s">
        <v>125</v>
      </c>
      <c r="D1922" t="s">
        <v>1909</v>
      </c>
      <c r="E1922" s="2">
        <v>117.12</v>
      </c>
    </row>
    <row r="1923" spans="1:5" x14ac:dyDescent="0.25">
      <c r="A1923" s="1">
        <v>43420</v>
      </c>
      <c r="B1923">
        <v>119873</v>
      </c>
      <c r="C1923" t="s">
        <v>125</v>
      </c>
      <c r="D1923" t="s">
        <v>1910</v>
      </c>
      <c r="E1923" s="2">
        <v>972.61</v>
      </c>
    </row>
    <row r="1924" spans="1:5" x14ac:dyDescent="0.25">
      <c r="A1924" s="1">
        <v>43420</v>
      </c>
      <c r="B1924">
        <v>119873</v>
      </c>
      <c r="C1924" t="s">
        <v>125</v>
      </c>
      <c r="D1924" t="s">
        <v>1911</v>
      </c>
      <c r="E1924" s="2">
        <v>168.01</v>
      </c>
    </row>
    <row r="1925" spans="1:5" x14ac:dyDescent="0.25">
      <c r="A1925" s="1">
        <v>43420</v>
      </c>
      <c r="B1925">
        <v>119873</v>
      </c>
      <c r="C1925" t="s">
        <v>125</v>
      </c>
      <c r="D1925" t="s">
        <v>1912</v>
      </c>
      <c r="E1925" s="2">
        <v>117.21</v>
      </c>
    </row>
    <row r="1926" spans="1:5" x14ac:dyDescent="0.25">
      <c r="A1926" s="1">
        <v>43420</v>
      </c>
      <c r="B1926">
        <v>119873</v>
      </c>
      <c r="C1926" t="s">
        <v>125</v>
      </c>
      <c r="D1926" t="s">
        <v>1913</v>
      </c>
      <c r="E1926" s="2">
        <v>99</v>
      </c>
    </row>
    <row r="1927" spans="1:5" x14ac:dyDescent="0.25">
      <c r="A1927" s="1">
        <v>43420</v>
      </c>
      <c r="B1927">
        <v>119873</v>
      </c>
      <c r="C1927" t="s">
        <v>125</v>
      </c>
      <c r="D1927" t="s">
        <v>1914</v>
      </c>
      <c r="E1927" s="2">
        <v>1252.83</v>
      </c>
    </row>
    <row r="1928" spans="1:5" x14ac:dyDescent="0.25">
      <c r="A1928" s="1">
        <v>43420</v>
      </c>
      <c r="B1928">
        <v>119873</v>
      </c>
      <c r="C1928" t="s">
        <v>125</v>
      </c>
      <c r="D1928" t="s">
        <v>1908</v>
      </c>
      <c r="E1928" s="2">
        <v>24.66</v>
      </c>
    </row>
    <row r="1929" spans="1:5" x14ac:dyDescent="0.25">
      <c r="A1929" s="1">
        <v>43420</v>
      </c>
      <c r="B1929">
        <v>119873</v>
      </c>
      <c r="C1929" t="s">
        <v>125</v>
      </c>
      <c r="D1929" t="s">
        <v>1908</v>
      </c>
      <c r="E1929" s="2">
        <v>32.380000000000003</v>
      </c>
    </row>
    <row r="1930" spans="1:5" x14ac:dyDescent="0.25">
      <c r="A1930" s="1">
        <v>43420</v>
      </c>
      <c r="B1930">
        <v>119873</v>
      </c>
      <c r="C1930" t="s">
        <v>125</v>
      </c>
      <c r="D1930" t="s">
        <v>416</v>
      </c>
      <c r="E1930" s="3">
        <v>-40</v>
      </c>
    </row>
    <row r="1931" spans="1:5" x14ac:dyDescent="0.25">
      <c r="A1931" s="1">
        <v>43420</v>
      </c>
      <c r="B1931">
        <v>119873</v>
      </c>
      <c r="C1931" t="s">
        <v>125</v>
      </c>
      <c r="D1931" t="s">
        <v>1915</v>
      </c>
      <c r="E1931" s="2">
        <v>1085.48</v>
      </c>
    </row>
    <row r="1932" spans="1:5" x14ac:dyDescent="0.25">
      <c r="A1932" s="1">
        <v>43420</v>
      </c>
      <c r="B1932">
        <v>119873</v>
      </c>
      <c r="C1932" t="s">
        <v>125</v>
      </c>
      <c r="D1932" t="s">
        <v>1383</v>
      </c>
      <c r="E1932" s="2">
        <v>675.71</v>
      </c>
    </row>
    <row r="1933" spans="1:5" x14ac:dyDescent="0.25">
      <c r="A1933" s="1">
        <v>43420</v>
      </c>
      <c r="B1933">
        <v>119873</v>
      </c>
      <c r="C1933" t="s">
        <v>125</v>
      </c>
      <c r="D1933" t="s">
        <v>416</v>
      </c>
      <c r="E1933" s="3">
        <v>-675.71</v>
      </c>
    </row>
    <row r="1934" spans="1:5" x14ac:dyDescent="0.25">
      <c r="A1934" s="1">
        <v>43420</v>
      </c>
      <c r="B1934">
        <v>119873</v>
      </c>
      <c r="C1934" t="s">
        <v>125</v>
      </c>
      <c r="D1934" t="s">
        <v>1916</v>
      </c>
      <c r="E1934" s="2">
        <v>1570.55</v>
      </c>
    </row>
    <row r="1935" spans="1:5" x14ac:dyDescent="0.25">
      <c r="A1935" s="1">
        <v>43420</v>
      </c>
      <c r="B1935">
        <v>119873</v>
      </c>
      <c r="C1935" t="s">
        <v>125</v>
      </c>
      <c r="D1935" t="s">
        <v>1430</v>
      </c>
      <c r="E1935" s="2">
        <v>53.24</v>
      </c>
    </row>
    <row r="1936" spans="1:5" x14ac:dyDescent="0.25">
      <c r="A1936" s="1">
        <v>43420</v>
      </c>
      <c r="B1936">
        <v>119873</v>
      </c>
      <c r="C1936" t="s">
        <v>125</v>
      </c>
      <c r="D1936" t="s">
        <v>1916</v>
      </c>
      <c r="E1936" s="2">
        <v>803.45</v>
      </c>
    </row>
    <row r="1937" spans="1:5" x14ac:dyDescent="0.25">
      <c r="A1937" s="1">
        <v>43420</v>
      </c>
      <c r="B1937">
        <v>119873</v>
      </c>
      <c r="C1937" t="s">
        <v>125</v>
      </c>
      <c r="D1937" t="s">
        <v>1430</v>
      </c>
      <c r="E1937" s="2">
        <v>1313.66</v>
      </c>
    </row>
    <row r="1938" spans="1:5" x14ac:dyDescent="0.25">
      <c r="A1938" s="1">
        <v>43430</v>
      </c>
      <c r="B1938">
        <v>119874</v>
      </c>
      <c r="C1938" t="s">
        <v>90</v>
      </c>
      <c r="D1938" t="s">
        <v>1917</v>
      </c>
      <c r="E1938" s="2">
        <v>785</v>
      </c>
    </row>
    <row r="1939" spans="1:5" x14ac:dyDescent="0.25">
      <c r="A1939" s="1">
        <v>43430</v>
      </c>
      <c r="B1939">
        <v>119875</v>
      </c>
      <c r="C1939" t="s">
        <v>90</v>
      </c>
      <c r="D1939" t="s">
        <v>1917</v>
      </c>
      <c r="E1939" s="2">
        <v>760</v>
      </c>
    </row>
    <row r="1940" spans="1:5" x14ac:dyDescent="0.25">
      <c r="A1940" s="1">
        <v>43432</v>
      </c>
      <c r="B1940">
        <v>119876</v>
      </c>
      <c r="C1940" t="s">
        <v>64</v>
      </c>
      <c r="D1940" t="s">
        <v>1918</v>
      </c>
      <c r="E1940" s="2">
        <v>70</v>
      </c>
    </row>
    <row r="1941" spans="1:5" x14ac:dyDescent="0.25">
      <c r="A1941" s="1">
        <v>43432</v>
      </c>
      <c r="B1941">
        <v>119876</v>
      </c>
      <c r="C1941" t="s">
        <v>64</v>
      </c>
      <c r="D1941" t="s">
        <v>1919</v>
      </c>
      <c r="E1941" s="2">
        <v>30</v>
      </c>
    </row>
    <row r="1942" spans="1:5" x14ac:dyDescent="0.25">
      <c r="A1942" s="1">
        <v>43432</v>
      </c>
      <c r="B1942">
        <v>119877</v>
      </c>
      <c r="C1942" t="s">
        <v>1920</v>
      </c>
      <c r="D1942" t="s">
        <v>1921</v>
      </c>
      <c r="E1942" s="2">
        <v>200</v>
      </c>
    </row>
    <row r="1943" spans="1:5" x14ac:dyDescent="0.25">
      <c r="A1943" s="1">
        <v>43432</v>
      </c>
      <c r="B1943">
        <v>119878</v>
      </c>
      <c r="C1943" t="s">
        <v>1920</v>
      </c>
      <c r="D1943" t="s">
        <v>1922</v>
      </c>
      <c r="E1943" s="2">
        <v>400</v>
      </c>
    </row>
    <row r="1944" spans="1:5" x14ac:dyDescent="0.25">
      <c r="A1944" s="1">
        <v>43432</v>
      </c>
      <c r="B1944">
        <v>119880</v>
      </c>
      <c r="C1944" t="s">
        <v>189</v>
      </c>
      <c r="D1944" t="s">
        <v>1923</v>
      </c>
      <c r="E1944" s="2">
        <v>595.41999999999996</v>
      </c>
    </row>
    <row r="1945" spans="1:5" x14ac:dyDescent="0.25">
      <c r="A1945" s="1">
        <v>43432</v>
      </c>
      <c r="B1945">
        <v>119880</v>
      </c>
      <c r="C1945" t="s">
        <v>189</v>
      </c>
      <c r="D1945" t="s">
        <v>1924</v>
      </c>
      <c r="E1945" s="2">
        <v>13.98</v>
      </c>
    </row>
    <row r="1946" spans="1:5" x14ac:dyDescent="0.25">
      <c r="A1946" s="1">
        <v>43432</v>
      </c>
      <c r="B1946">
        <v>119880</v>
      </c>
      <c r="C1946" t="s">
        <v>189</v>
      </c>
      <c r="D1946" t="s">
        <v>1924</v>
      </c>
      <c r="E1946" s="2">
        <v>11.12</v>
      </c>
    </row>
    <row r="1947" spans="1:5" x14ac:dyDescent="0.25">
      <c r="A1947" s="1">
        <v>43432</v>
      </c>
      <c r="B1947">
        <v>119880</v>
      </c>
      <c r="C1947" t="s">
        <v>189</v>
      </c>
      <c r="D1947" t="s">
        <v>1098</v>
      </c>
      <c r="E1947" s="2">
        <v>87.76</v>
      </c>
    </row>
    <row r="1948" spans="1:5" x14ac:dyDescent="0.25">
      <c r="A1948" s="1">
        <v>43432</v>
      </c>
      <c r="B1948">
        <v>119880</v>
      </c>
      <c r="C1948" t="s">
        <v>189</v>
      </c>
      <c r="D1948" t="s">
        <v>1925</v>
      </c>
      <c r="E1948" s="2">
        <v>16.98</v>
      </c>
    </row>
    <row r="1949" spans="1:5" x14ac:dyDescent="0.25">
      <c r="A1949" s="1">
        <v>43432</v>
      </c>
      <c r="B1949">
        <v>119880</v>
      </c>
      <c r="C1949" t="s">
        <v>189</v>
      </c>
      <c r="D1949" t="s">
        <v>1926</v>
      </c>
      <c r="E1949" s="2">
        <v>47.55</v>
      </c>
    </row>
    <row r="1950" spans="1:5" x14ac:dyDescent="0.25">
      <c r="A1950" s="1">
        <v>43432</v>
      </c>
      <c r="B1950">
        <v>119880</v>
      </c>
      <c r="C1950" t="s">
        <v>189</v>
      </c>
      <c r="D1950" t="s">
        <v>1927</v>
      </c>
      <c r="E1950" s="2">
        <v>268.95</v>
      </c>
    </row>
    <row r="1951" spans="1:5" x14ac:dyDescent="0.25">
      <c r="A1951" s="1">
        <v>43432</v>
      </c>
      <c r="B1951">
        <v>119880</v>
      </c>
      <c r="C1951" t="s">
        <v>189</v>
      </c>
      <c r="D1951" t="s">
        <v>1928</v>
      </c>
      <c r="E1951" s="2">
        <v>42</v>
      </c>
    </row>
    <row r="1952" spans="1:5" x14ac:dyDescent="0.25">
      <c r="A1952" s="1">
        <v>43432</v>
      </c>
      <c r="B1952">
        <v>119880</v>
      </c>
      <c r="C1952" t="s">
        <v>189</v>
      </c>
      <c r="D1952" t="s">
        <v>194</v>
      </c>
      <c r="E1952" s="2">
        <v>47.59</v>
      </c>
    </row>
    <row r="1953" spans="1:5" x14ac:dyDescent="0.25">
      <c r="A1953" s="1">
        <v>43432</v>
      </c>
      <c r="B1953">
        <v>119880</v>
      </c>
      <c r="C1953" t="s">
        <v>189</v>
      </c>
      <c r="D1953" t="s">
        <v>1929</v>
      </c>
      <c r="E1953" s="2">
        <v>390</v>
      </c>
    </row>
    <row r="1954" spans="1:5" x14ac:dyDescent="0.25">
      <c r="A1954" s="1">
        <v>43432</v>
      </c>
      <c r="B1954">
        <v>119881</v>
      </c>
      <c r="C1954" t="s">
        <v>1930</v>
      </c>
      <c r="D1954" t="s">
        <v>1931</v>
      </c>
      <c r="E1954" s="2">
        <v>598.5</v>
      </c>
    </row>
    <row r="1955" spans="1:5" x14ac:dyDescent="0.25">
      <c r="A1955" s="1">
        <v>43432</v>
      </c>
      <c r="B1955">
        <v>119881</v>
      </c>
      <c r="C1955" t="s">
        <v>1930</v>
      </c>
      <c r="D1955" t="s">
        <v>1931</v>
      </c>
      <c r="E1955" s="2">
        <v>674</v>
      </c>
    </row>
    <row r="1956" spans="1:5" x14ac:dyDescent="0.25">
      <c r="A1956" s="1">
        <v>43432</v>
      </c>
      <c r="B1956">
        <v>119882</v>
      </c>
      <c r="C1956" t="s">
        <v>1932</v>
      </c>
      <c r="D1956" t="s">
        <v>1933</v>
      </c>
      <c r="E1956" s="2">
        <v>711</v>
      </c>
    </row>
    <row r="1957" spans="1:5" x14ac:dyDescent="0.25">
      <c r="A1957" s="1">
        <v>43432</v>
      </c>
      <c r="B1957">
        <v>119883</v>
      </c>
      <c r="C1957" t="s">
        <v>67</v>
      </c>
      <c r="D1957" t="s">
        <v>1934</v>
      </c>
      <c r="E1957" s="2">
        <v>321</v>
      </c>
    </row>
    <row r="1958" spans="1:5" x14ac:dyDescent="0.25">
      <c r="A1958" s="1">
        <v>43432</v>
      </c>
      <c r="B1958">
        <v>119883</v>
      </c>
      <c r="C1958" t="s">
        <v>67</v>
      </c>
      <c r="D1958" t="s">
        <v>1935</v>
      </c>
      <c r="E1958" s="2">
        <v>643.76</v>
      </c>
    </row>
    <row r="1959" spans="1:5" x14ac:dyDescent="0.25">
      <c r="A1959" s="1">
        <v>43432</v>
      </c>
      <c r="B1959">
        <v>119884</v>
      </c>
      <c r="C1959" t="s">
        <v>7</v>
      </c>
      <c r="D1959" t="s">
        <v>608</v>
      </c>
      <c r="E1959" s="2">
        <v>19</v>
      </c>
    </row>
    <row r="1960" spans="1:5" x14ac:dyDescent="0.25">
      <c r="A1960" s="1">
        <v>43432</v>
      </c>
      <c r="B1960">
        <v>119885</v>
      </c>
      <c r="C1960" t="s">
        <v>69</v>
      </c>
      <c r="D1960" t="s">
        <v>1936</v>
      </c>
      <c r="E1960" s="2">
        <v>984</v>
      </c>
    </row>
    <row r="1961" spans="1:5" x14ac:dyDescent="0.25">
      <c r="A1961" s="1">
        <v>43432</v>
      </c>
      <c r="B1961">
        <v>119886</v>
      </c>
      <c r="C1961" t="s">
        <v>69</v>
      </c>
      <c r="D1961" t="s">
        <v>1937</v>
      </c>
      <c r="E1961" s="2">
        <v>2822</v>
      </c>
    </row>
    <row r="1962" spans="1:5" x14ac:dyDescent="0.25">
      <c r="A1962" s="1">
        <v>43432</v>
      </c>
      <c r="B1962">
        <v>119887</v>
      </c>
      <c r="C1962" t="s">
        <v>611</v>
      </c>
      <c r="D1962" t="s">
        <v>1938</v>
      </c>
      <c r="E1962" s="2">
        <v>660</v>
      </c>
    </row>
    <row r="1963" spans="1:5" x14ac:dyDescent="0.25">
      <c r="A1963" s="1">
        <v>43432</v>
      </c>
      <c r="B1963">
        <v>119888</v>
      </c>
      <c r="C1963" t="s">
        <v>1939</v>
      </c>
      <c r="D1963" t="s">
        <v>1940</v>
      </c>
      <c r="E1963" s="2">
        <v>9600</v>
      </c>
    </row>
    <row r="1964" spans="1:5" x14ac:dyDescent="0.25">
      <c r="A1964" s="1">
        <v>43432</v>
      </c>
      <c r="B1964">
        <v>119889</v>
      </c>
      <c r="C1964" t="s">
        <v>1941</v>
      </c>
      <c r="D1964" t="s">
        <v>1942</v>
      </c>
      <c r="E1964" s="2">
        <v>74.349999999999994</v>
      </c>
    </row>
    <row r="1965" spans="1:5" x14ac:dyDescent="0.25">
      <c r="A1965" s="1">
        <v>43432</v>
      </c>
      <c r="B1965">
        <v>119890</v>
      </c>
      <c r="C1965" t="s">
        <v>1762</v>
      </c>
      <c r="D1965" t="s">
        <v>1943</v>
      </c>
      <c r="E1965" s="2">
        <v>75</v>
      </c>
    </row>
    <row r="1966" spans="1:5" x14ac:dyDescent="0.25">
      <c r="A1966" s="1">
        <v>43432</v>
      </c>
      <c r="B1966">
        <v>119891</v>
      </c>
      <c r="C1966" t="s">
        <v>44</v>
      </c>
      <c r="D1966" t="s">
        <v>1944</v>
      </c>
      <c r="E1966" s="2">
        <v>599.25</v>
      </c>
    </row>
    <row r="1967" spans="1:5" x14ac:dyDescent="0.25">
      <c r="A1967" s="1">
        <v>43432</v>
      </c>
      <c r="B1967">
        <v>119892</v>
      </c>
      <c r="C1967" t="s">
        <v>225</v>
      </c>
      <c r="D1967" t="s">
        <v>1945</v>
      </c>
      <c r="E1967" s="2">
        <v>15500</v>
      </c>
    </row>
    <row r="1968" spans="1:5" x14ac:dyDescent="0.25">
      <c r="A1968" s="1">
        <v>43432</v>
      </c>
      <c r="B1968">
        <v>119893</v>
      </c>
      <c r="C1968" t="s">
        <v>1946</v>
      </c>
      <c r="D1968" t="s">
        <v>1947</v>
      </c>
      <c r="E1968" s="2">
        <f>245.35+419.75+172.15+29.9+218</f>
        <v>1085.1500000000001</v>
      </c>
    </row>
    <row r="1969" spans="1:5" x14ac:dyDescent="0.25">
      <c r="A1969" s="1">
        <v>43432</v>
      </c>
      <c r="B1969">
        <v>119894</v>
      </c>
      <c r="C1969" t="s">
        <v>77</v>
      </c>
      <c r="D1969" t="s">
        <v>1948</v>
      </c>
      <c r="E1969" s="2">
        <v>91.88</v>
      </c>
    </row>
    <row r="1970" spans="1:5" x14ac:dyDescent="0.25">
      <c r="A1970" s="1">
        <v>43432</v>
      </c>
      <c r="B1970">
        <v>119895</v>
      </c>
      <c r="C1970" t="s">
        <v>81</v>
      </c>
      <c r="D1970" t="s">
        <v>1949</v>
      </c>
      <c r="E1970" s="2">
        <v>2213.19</v>
      </c>
    </row>
    <row r="1971" spans="1:5" x14ac:dyDescent="0.25">
      <c r="A1971" s="1">
        <v>43432</v>
      </c>
      <c r="B1971">
        <v>119896</v>
      </c>
      <c r="C1971" t="s">
        <v>16</v>
      </c>
      <c r="D1971" t="s">
        <v>1950</v>
      </c>
      <c r="E1971" s="2">
        <v>3033.5</v>
      </c>
    </row>
    <row r="1972" spans="1:5" x14ac:dyDescent="0.25">
      <c r="A1972" s="1">
        <v>43432</v>
      </c>
      <c r="B1972">
        <v>119897</v>
      </c>
      <c r="C1972" t="s">
        <v>1951</v>
      </c>
      <c r="D1972" t="s">
        <v>1952</v>
      </c>
      <c r="E1972" s="2">
        <v>350</v>
      </c>
    </row>
    <row r="1973" spans="1:5" x14ac:dyDescent="0.25">
      <c r="A1973" s="1">
        <v>43432</v>
      </c>
      <c r="B1973">
        <v>119898</v>
      </c>
      <c r="C1973" t="s">
        <v>94</v>
      </c>
      <c r="D1973" t="s">
        <v>1953</v>
      </c>
      <c r="E1973" s="2">
        <v>469.7</v>
      </c>
    </row>
    <row r="1974" spans="1:5" x14ac:dyDescent="0.25">
      <c r="A1974" s="1">
        <v>43432</v>
      </c>
      <c r="B1974">
        <v>119906</v>
      </c>
      <c r="C1974" t="s">
        <v>222</v>
      </c>
      <c r="D1974" t="s">
        <v>1954</v>
      </c>
      <c r="E1974" s="2">
        <v>98.11</v>
      </c>
    </row>
    <row r="1975" spans="1:5" x14ac:dyDescent="0.25">
      <c r="A1975" s="1">
        <v>43432</v>
      </c>
      <c r="B1975">
        <v>119906</v>
      </c>
      <c r="C1975" t="s">
        <v>222</v>
      </c>
      <c r="D1975" t="s">
        <v>481</v>
      </c>
      <c r="E1975" s="2">
        <v>98.85</v>
      </c>
    </row>
    <row r="1976" spans="1:5" x14ac:dyDescent="0.25">
      <c r="A1976" s="1">
        <v>43432</v>
      </c>
      <c r="B1976">
        <v>119906</v>
      </c>
      <c r="C1976" t="s">
        <v>222</v>
      </c>
      <c r="D1976" t="s">
        <v>1955</v>
      </c>
      <c r="E1976" s="2">
        <v>127.35</v>
      </c>
    </row>
    <row r="1977" spans="1:5" x14ac:dyDescent="0.25">
      <c r="A1977" s="1">
        <v>43432</v>
      </c>
      <c r="B1977">
        <v>119906</v>
      </c>
      <c r="C1977" t="s">
        <v>222</v>
      </c>
      <c r="D1977" t="s">
        <v>1956</v>
      </c>
      <c r="E1977" s="2">
        <v>52.58</v>
      </c>
    </row>
    <row r="1978" spans="1:5" x14ac:dyDescent="0.25">
      <c r="A1978" s="1">
        <v>43432</v>
      </c>
      <c r="B1978">
        <v>119906</v>
      </c>
      <c r="C1978" t="s">
        <v>222</v>
      </c>
      <c r="D1978" t="s">
        <v>1119</v>
      </c>
      <c r="E1978" s="2">
        <v>70.31</v>
      </c>
    </row>
    <row r="1979" spans="1:5" x14ac:dyDescent="0.25">
      <c r="A1979" s="1">
        <v>43432</v>
      </c>
      <c r="B1979">
        <v>119906</v>
      </c>
      <c r="C1979" t="s">
        <v>222</v>
      </c>
      <c r="D1979" t="s">
        <v>690</v>
      </c>
      <c r="E1979" s="2">
        <v>46.74</v>
      </c>
    </row>
    <row r="1980" spans="1:5" x14ac:dyDescent="0.25">
      <c r="A1980" s="1">
        <v>43432</v>
      </c>
      <c r="B1980">
        <v>119906</v>
      </c>
      <c r="C1980" t="s">
        <v>222</v>
      </c>
      <c r="D1980" t="s">
        <v>481</v>
      </c>
      <c r="E1980" s="2">
        <v>64.58</v>
      </c>
    </row>
    <row r="1981" spans="1:5" x14ac:dyDescent="0.25">
      <c r="A1981" s="1">
        <v>43432</v>
      </c>
      <c r="B1981">
        <v>119906</v>
      </c>
      <c r="C1981" t="s">
        <v>222</v>
      </c>
      <c r="D1981" t="s">
        <v>1957</v>
      </c>
      <c r="E1981" s="2">
        <v>29.34</v>
      </c>
    </row>
    <row r="1982" spans="1:5" x14ac:dyDescent="0.25">
      <c r="A1982" s="1">
        <v>43432</v>
      </c>
      <c r="B1982">
        <v>119906</v>
      </c>
      <c r="C1982" t="s">
        <v>222</v>
      </c>
      <c r="D1982" t="s">
        <v>1958</v>
      </c>
      <c r="E1982" s="2">
        <v>146.32</v>
      </c>
    </row>
    <row r="1983" spans="1:5" x14ac:dyDescent="0.25">
      <c r="A1983" s="1">
        <v>43432</v>
      </c>
      <c r="B1983">
        <v>119906</v>
      </c>
      <c r="C1983" t="s">
        <v>222</v>
      </c>
      <c r="D1983" t="s">
        <v>1959</v>
      </c>
      <c r="E1983" s="2">
        <v>64.36</v>
      </c>
    </row>
    <row r="1984" spans="1:5" x14ac:dyDescent="0.25">
      <c r="A1984" s="1">
        <v>43432</v>
      </c>
      <c r="B1984">
        <v>119906</v>
      </c>
      <c r="C1984" t="s">
        <v>222</v>
      </c>
      <c r="D1984" t="s">
        <v>1954</v>
      </c>
      <c r="E1984" s="2">
        <v>144.16</v>
      </c>
    </row>
    <row r="1985" spans="1:5" x14ac:dyDescent="0.25">
      <c r="A1985" s="1">
        <v>43432</v>
      </c>
      <c r="B1985">
        <v>119906</v>
      </c>
      <c r="C1985" t="s">
        <v>222</v>
      </c>
      <c r="D1985" t="s">
        <v>1960</v>
      </c>
      <c r="E1985" s="2">
        <v>35.28</v>
      </c>
    </row>
    <row r="1986" spans="1:5" x14ac:dyDescent="0.25">
      <c r="A1986" s="1">
        <v>43432</v>
      </c>
      <c r="B1986">
        <v>119906</v>
      </c>
      <c r="C1986" t="s">
        <v>222</v>
      </c>
      <c r="D1986" t="s">
        <v>1961</v>
      </c>
      <c r="E1986" s="2">
        <v>160.51</v>
      </c>
    </row>
    <row r="1987" spans="1:5" x14ac:dyDescent="0.25">
      <c r="A1987" s="1">
        <v>43432</v>
      </c>
      <c r="B1987">
        <v>119906</v>
      </c>
      <c r="C1987" t="s">
        <v>222</v>
      </c>
      <c r="D1987" t="s">
        <v>1962</v>
      </c>
      <c r="E1987" s="2">
        <v>26.24</v>
      </c>
    </row>
    <row r="1988" spans="1:5" x14ac:dyDescent="0.25">
      <c r="A1988" s="1">
        <v>43432</v>
      </c>
      <c r="B1988">
        <v>119906</v>
      </c>
      <c r="C1988" t="s">
        <v>222</v>
      </c>
      <c r="D1988" t="s">
        <v>1960</v>
      </c>
      <c r="E1988" s="2">
        <f>6.84+13.18</f>
        <v>20.02</v>
      </c>
    </row>
    <row r="1989" spans="1:5" x14ac:dyDescent="0.25">
      <c r="A1989" s="1">
        <v>43432</v>
      </c>
      <c r="B1989">
        <v>119906</v>
      </c>
      <c r="C1989" t="s">
        <v>222</v>
      </c>
      <c r="D1989" t="s">
        <v>1963</v>
      </c>
      <c r="E1989" s="2">
        <v>191.38</v>
      </c>
    </row>
    <row r="1990" spans="1:5" x14ac:dyDescent="0.25">
      <c r="A1990" s="1">
        <v>43432</v>
      </c>
      <c r="B1990">
        <v>119906</v>
      </c>
      <c r="C1990" t="s">
        <v>222</v>
      </c>
      <c r="D1990" t="s">
        <v>481</v>
      </c>
      <c r="E1990" s="2">
        <v>24.96</v>
      </c>
    </row>
    <row r="1991" spans="1:5" x14ac:dyDescent="0.25">
      <c r="A1991" s="1">
        <v>43432</v>
      </c>
      <c r="B1991">
        <v>119906</v>
      </c>
      <c r="C1991" t="s">
        <v>222</v>
      </c>
      <c r="D1991" t="s">
        <v>1964</v>
      </c>
      <c r="E1991" s="2">
        <v>92.73</v>
      </c>
    </row>
    <row r="1992" spans="1:5" x14ac:dyDescent="0.25">
      <c r="A1992" s="1">
        <v>43432</v>
      </c>
      <c r="B1992">
        <v>119906</v>
      </c>
      <c r="C1992" t="s">
        <v>222</v>
      </c>
      <c r="D1992" t="s">
        <v>690</v>
      </c>
      <c r="E1992" s="2">
        <v>222.57</v>
      </c>
    </row>
    <row r="1993" spans="1:5" x14ac:dyDescent="0.25">
      <c r="A1993" s="1">
        <v>43432</v>
      </c>
      <c r="B1993">
        <v>119906</v>
      </c>
      <c r="C1993" t="s">
        <v>222</v>
      </c>
      <c r="D1993" t="s">
        <v>415</v>
      </c>
      <c r="E1993" s="2">
        <v>66.010000000000005</v>
      </c>
    </row>
    <row r="1994" spans="1:5" x14ac:dyDescent="0.25">
      <c r="A1994" s="1">
        <v>43432</v>
      </c>
      <c r="B1994">
        <v>119906</v>
      </c>
      <c r="C1994" t="s">
        <v>222</v>
      </c>
      <c r="D1994" t="s">
        <v>1965</v>
      </c>
      <c r="E1994" s="2">
        <v>87.92</v>
      </c>
    </row>
    <row r="1995" spans="1:5" x14ac:dyDescent="0.25">
      <c r="A1995" s="1">
        <v>43432</v>
      </c>
      <c r="B1995">
        <v>119906</v>
      </c>
      <c r="C1995" t="s">
        <v>222</v>
      </c>
      <c r="D1995" t="s">
        <v>1966</v>
      </c>
      <c r="E1995" s="2">
        <v>33.49</v>
      </c>
    </row>
    <row r="1996" spans="1:5" x14ac:dyDescent="0.25">
      <c r="A1996" s="1">
        <v>43432</v>
      </c>
      <c r="B1996">
        <v>119906</v>
      </c>
      <c r="C1996" t="s">
        <v>222</v>
      </c>
      <c r="D1996" t="s">
        <v>1967</v>
      </c>
      <c r="E1996" s="2">
        <v>192.07</v>
      </c>
    </row>
    <row r="1997" spans="1:5" x14ac:dyDescent="0.25">
      <c r="A1997" s="1">
        <v>43432</v>
      </c>
      <c r="B1997">
        <v>119906</v>
      </c>
      <c r="C1997" t="s">
        <v>222</v>
      </c>
      <c r="D1997" t="s">
        <v>1968</v>
      </c>
      <c r="E1997" s="2">
        <v>41.68</v>
      </c>
    </row>
    <row r="1998" spans="1:5" x14ac:dyDescent="0.25">
      <c r="A1998" s="1">
        <v>43432</v>
      </c>
      <c r="B1998">
        <v>119906</v>
      </c>
      <c r="C1998" t="s">
        <v>222</v>
      </c>
      <c r="D1998" t="s">
        <v>1969</v>
      </c>
      <c r="E1998" s="2">
        <v>96.76</v>
      </c>
    </row>
    <row r="1999" spans="1:5" x14ac:dyDescent="0.25">
      <c r="A1999" s="1">
        <v>43432</v>
      </c>
      <c r="B1999">
        <v>119906</v>
      </c>
      <c r="C1999" t="s">
        <v>222</v>
      </c>
      <c r="D1999" t="s">
        <v>1970</v>
      </c>
      <c r="E1999" s="2">
        <v>216.55</v>
      </c>
    </row>
    <row r="2000" spans="1:5" x14ac:dyDescent="0.25">
      <c r="A2000" s="1">
        <v>43432</v>
      </c>
      <c r="B2000">
        <v>119906</v>
      </c>
      <c r="C2000" t="s">
        <v>222</v>
      </c>
      <c r="D2000" t="s">
        <v>1971</v>
      </c>
      <c r="E2000" s="2">
        <v>96.73</v>
      </c>
    </row>
    <row r="2001" spans="1:5" x14ac:dyDescent="0.25">
      <c r="A2001" s="1">
        <v>43432</v>
      </c>
      <c r="B2001">
        <v>119906</v>
      </c>
      <c r="C2001" t="s">
        <v>222</v>
      </c>
      <c r="D2001" t="s">
        <v>1972</v>
      </c>
      <c r="E2001" s="2">
        <v>55.96</v>
      </c>
    </row>
    <row r="2002" spans="1:5" x14ac:dyDescent="0.25">
      <c r="A2002" s="1">
        <v>43432</v>
      </c>
      <c r="B2002">
        <v>119906</v>
      </c>
      <c r="C2002" t="s">
        <v>222</v>
      </c>
      <c r="D2002" t="s">
        <v>690</v>
      </c>
      <c r="E2002" s="2">
        <v>340.06</v>
      </c>
    </row>
    <row r="2003" spans="1:5" x14ac:dyDescent="0.25">
      <c r="A2003" s="1">
        <v>43432</v>
      </c>
      <c r="B2003">
        <v>119906</v>
      </c>
      <c r="C2003" t="s">
        <v>222</v>
      </c>
      <c r="D2003" t="s">
        <v>1973</v>
      </c>
      <c r="E2003" s="2">
        <v>123.06</v>
      </c>
    </row>
    <row r="2004" spans="1:5" x14ac:dyDescent="0.25">
      <c r="A2004" s="1">
        <v>43432</v>
      </c>
      <c r="B2004">
        <v>119906</v>
      </c>
      <c r="C2004" t="s">
        <v>222</v>
      </c>
      <c r="D2004" t="s">
        <v>1974</v>
      </c>
      <c r="E2004" s="2">
        <v>53.41</v>
      </c>
    </row>
    <row r="2005" spans="1:5" x14ac:dyDescent="0.25">
      <c r="A2005" s="1">
        <v>43432</v>
      </c>
      <c r="B2005">
        <v>119906</v>
      </c>
      <c r="C2005" t="s">
        <v>222</v>
      </c>
      <c r="D2005" t="s">
        <v>1975</v>
      </c>
      <c r="E2005" s="2">
        <v>320.77999999999997</v>
      </c>
    </row>
    <row r="2006" spans="1:5" x14ac:dyDescent="0.25">
      <c r="A2006" s="1">
        <v>43432</v>
      </c>
      <c r="B2006">
        <v>119907</v>
      </c>
      <c r="C2006" t="s">
        <v>809</v>
      </c>
      <c r="D2006" t="s">
        <v>1976</v>
      </c>
      <c r="E2006" s="2">
        <v>62.69</v>
      </c>
    </row>
    <row r="2007" spans="1:5" x14ac:dyDescent="0.25">
      <c r="A2007" s="1">
        <v>43432</v>
      </c>
      <c r="B2007">
        <v>119908</v>
      </c>
      <c r="C2007" t="s">
        <v>19</v>
      </c>
      <c r="D2007" t="s">
        <v>1977</v>
      </c>
      <c r="E2007" s="2">
        <v>1329</v>
      </c>
    </row>
    <row r="2008" spans="1:5" x14ac:dyDescent="0.25">
      <c r="A2008" s="1">
        <v>43432</v>
      </c>
      <c r="B2008">
        <v>119909</v>
      </c>
      <c r="C2008" t="s">
        <v>1978</v>
      </c>
      <c r="D2008" t="s">
        <v>1979</v>
      </c>
      <c r="E2008" s="2">
        <v>105</v>
      </c>
    </row>
    <row r="2009" spans="1:5" x14ac:dyDescent="0.25">
      <c r="A2009" s="1">
        <v>43432</v>
      </c>
      <c r="B2009">
        <v>181900089</v>
      </c>
      <c r="C2009" t="s">
        <v>399</v>
      </c>
      <c r="D2009" t="s">
        <v>1980</v>
      </c>
      <c r="E2009" s="2">
        <v>402.54</v>
      </c>
    </row>
    <row r="2010" spans="1:5" x14ac:dyDescent="0.25">
      <c r="A2010" s="1">
        <v>43432</v>
      </c>
      <c r="B2010">
        <v>181900090</v>
      </c>
      <c r="C2010" t="s">
        <v>1981</v>
      </c>
      <c r="D2010" t="s">
        <v>1982</v>
      </c>
      <c r="E2010" s="2">
        <v>42</v>
      </c>
    </row>
    <row r="2011" spans="1:5" x14ac:dyDescent="0.25">
      <c r="A2011" s="1">
        <v>43433</v>
      </c>
      <c r="B2011">
        <v>11910</v>
      </c>
      <c r="C2011" t="s">
        <v>1788</v>
      </c>
      <c r="D2011" t="s">
        <v>1983</v>
      </c>
      <c r="E2011" s="2">
        <v>4000</v>
      </c>
    </row>
    <row r="2012" spans="1:5" x14ac:dyDescent="0.25">
      <c r="A2012" s="1">
        <v>43433</v>
      </c>
      <c r="B2012">
        <v>11911</v>
      </c>
      <c r="C2012" t="s">
        <v>66</v>
      </c>
      <c r="D2012" t="s">
        <v>1984</v>
      </c>
      <c r="E2012" s="2">
        <v>596</v>
      </c>
    </row>
    <row r="2013" spans="1:5" x14ac:dyDescent="0.25">
      <c r="A2013" s="1">
        <v>43433</v>
      </c>
      <c r="B2013">
        <v>11912</v>
      </c>
      <c r="C2013" t="s">
        <v>22</v>
      </c>
      <c r="D2013" t="s">
        <v>1985</v>
      </c>
      <c r="E2013" s="2">
        <v>35.590000000000003</v>
      </c>
    </row>
    <row r="2014" spans="1:5" x14ac:dyDescent="0.25">
      <c r="A2014" s="1">
        <v>43433</v>
      </c>
      <c r="B2014">
        <v>11913</v>
      </c>
      <c r="C2014" t="s">
        <v>100</v>
      </c>
      <c r="D2014" t="s">
        <v>1986</v>
      </c>
      <c r="E2014" s="2">
        <v>699.88</v>
      </c>
    </row>
    <row r="2015" spans="1:5" x14ac:dyDescent="0.25">
      <c r="A2015" s="1">
        <v>43433</v>
      </c>
      <c r="B2015">
        <v>11914</v>
      </c>
      <c r="C2015" t="s">
        <v>343</v>
      </c>
      <c r="D2015" t="s">
        <v>1987</v>
      </c>
      <c r="E2015" s="2">
        <v>261</v>
      </c>
    </row>
    <row r="2016" spans="1:5" x14ac:dyDescent="0.25">
      <c r="A2016" s="1">
        <v>43433</v>
      </c>
      <c r="B2016">
        <v>11915</v>
      </c>
      <c r="C2016" t="s">
        <v>1988</v>
      </c>
      <c r="D2016" t="s">
        <v>1989</v>
      </c>
      <c r="E2016" s="2">
        <v>850</v>
      </c>
    </row>
    <row r="2017" spans="1:5" x14ac:dyDescent="0.25">
      <c r="A2017" s="1">
        <v>43433</v>
      </c>
      <c r="B2017">
        <v>11915</v>
      </c>
      <c r="C2017" t="s">
        <v>1988</v>
      </c>
      <c r="D2017" t="s">
        <v>1989</v>
      </c>
      <c r="E2017" s="2">
        <v>1095</v>
      </c>
    </row>
    <row r="2018" spans="1:5" x14ac:dyDescent="0.25">
      <c r="A2018" s="1">
        <v>43433</v>
      </c>
      <c r="B2018">
        <v>11916</v>
      </c>
      <c r="C2018" t="s">
        <v>1990</v>
      </c>
      <c r="D2018" s="10" t="s">
        <v>1991</v>
      </c>
      <c r="E2018" s="2">
        <v>84.86</v>
      </c>
    </row>
    <row r="2019" spans="1:5" x14ac:dyDescent="0.25">
      <c r="A2019" s="1">
        <v>43433</v>
      </c>
      <c r="B2019">
        <v>11917</v>
      </c>
      <c r="C2019" t="s">
        <v>67</v>
      </c>
      <c r="D2019" t="s">
        <v>1992</v>
      </c>
      <c r="E2019" s="2">
        <v>5000</v>
      </c>
    </row>
    <row r="2020" spans="1:5" x14ac:dyDescent="0.25">
      <c r="A2020" s="1">
        <v>43433</v>
      </c>
      <c r="B2020">
        <v>11919</v>
      </c>
      <c r="C2020" t="s">
        <v>662</v>
      </c>
      <c r="D2020" t="s">
        <v>1993</v>
      </c>
      <c r="E2020" s="2">
        <v>978</v>
      </c>
    </row>
    <row r="2021" spans="1:5" x14ac:dyDescent="0.25">
      <c r="A2021" s="1">
        <v>43433</v>
      </c>
      <c r="B2021">
        <v>11919</v>
      </c>
      <c r="C2021" t="s">
        <v>662</v>
      </c>
      <c r="D2021" t="s">
        <v>1994</v>
      </c>
      <c r="E2021" s="2">
        <v>489</v>
      </c>
    </row>
    <row r="2022" spans="1:5" x14ac:dyDescent="0.25">
      <c r="A2022" s="1">
        <v>43433</v>
      </c>
      <c r="B2022">
        <v>11919</v>
      </c>
      <c r="C2022" t="s">
        <v>662</v>
      </c>
      <c r="D2022" t="s">
        <v>1995</v>
      </c>
      <c r="E2022" s="2">
        <v>978</v>
      </c>
    </row>
    <row r="2023" spans="1:5" x14ac:dyDescent="0.25">
      <c r="A2023" s="1">
        <v>43433</v>
      </c>
      <c r="B2023">
        <v>11919</v>
      </c>
      <c r="C2023" t="s">
        <v>662</v>
      </c>
      <c r="D2023" t="s">
        <v>1996</v>
      </c>
      <c r="E2023" s="2">
        <v>1105.8699999999999</v>
      </c>
    </row>
    <row r="2024" spans="1:5" x14ac:dyDescent="0.25">
      <c r="A2024" s="1">
        <v>43433</v>
      </c>
      <c r="B2024">
        <v>11919</v>
      </c>
      <c r="C2024" t="s">
        <v>662</v>
      </c>
      <c r="D2024" t="s">
        <v>1997</v>
      </c>
      <c r="E2024" s="2">
        <v>87.08</v>
      </c>
    </row>
    <row r="2025" spans="1:5" x14ac:dyDescent="0.25">
      <c r="A2025" s="1">
        <v>43433</v>
      </c>
      <c r="B2025">
        <v>11919</v>
      </c>
      <c r="C2025" t="s">
        <v>662</v>
      </c>
      <c r="D2025" t="s">
        <v>1427</v>
      </c>
      <c r="E2025" s="2">
        <v>347.18</v>
      </c>
    </row>
    <row r="2026" spans="1:5" x14ac:dyDescent="0.25">
      <c r="A2026" s="1">
        <v>43433</v>
      </c>
      <c r="B2026">
        <v>11920</v>
      </c>
      <c r="C2026" t="s">
        <v>243</v>
      </c>
      <c r="D2026" t="s">
        <v>1998</v>
      </c>
      <c r="E2026" s="2">
        <f>675+75</f>
        <v>750</v>
      </c>
    </row>
    <row r="2027" spans="1:5" x14ac:dyDescent="0.25">
      <c r="A2027" s="1">
        <v>43433</v>
      </c>
      <c r="B2027">
        <v>11921</v>
      </c>
      <c r="C2027" t="s">
        <v>244</v>
      </c>
      <c r="D2027" t="s">
        <v>1999</v>
      </c>
      <c r="E2027" s="2">
        <f>34.44+34.44</f>
        <v>68.88</v>
      </c>
    </row>
    <row r="2028" spans="1:5" x14ac:dyDescent="0.25">
      <c r="A2028" s="1">
        <v>43433</v>
      </c>
      <c r="B2028">
        <v>11922</v>
      </c>
      <c r="C2028" t="s">
        <v>247</v>
      </c>
      <c r="D2028" t="s">
        <v>453</v>
      </c>
      <c r="E2028" s="2">
        <f>2365.22+4007.97+10188.6</f>
        <v>16561.79</v>
      </c>
    </row>
    <row r="2029" spans="1:5" x14ac:dyDescent="0.25">
      <c r="A2029" s="1">
        <v>43433</v>
      </c>
      <c r="B2029">
        <v>11924</v>
      </c>
      <c r="C2029" t="s">
        <v>106</v>
      </c>
      <c r="D2029" t="s">
        <v>2000</v>
      </c>
      <c r="E2029" s="2">
        <f>100.61+373.05+178.98+1474.23+1251.25+214.56+1452.24</f>
        <v>5044.92</v>
      </c>
    </row>
    <row r="2030" spans="1:5" x14ac:dyDescent="0.25">
      <c r="A2030" s="1">
        <v>43433</v>
      </c>
      <c r="B2030">
        <v>11925</v>
      </c>
      <c r="C2030" t="s">
        <v>2001</v>
      </c>
      <c r="D2030" t="s">
        <v>2002</v>
      </c>
      <c r="E2030" s="2">
        <f>2613.1+2788.74</f>
        <v>5401.84</v>
      </c>
    </row>
    <row r="2031" spans="1:5" x14ac:dyDescent="0.25">
      <c r="A2031" s="1">
        <v>43433</v>
      </c>
      <c r="B2031">
        <v>11926</v>
      </c>
      <c r="C2031" t="s">
        <v>2003</v>
      </c>
      <c r="D2031" t="s">
        <v>2004</v>
      </c>
      <c r="E2031" s="2">
        <v>150</v>
      </c>
    </row>
    <row r="2032" spans="1:5" x14ac:dyDescent="0.25">
      <c r="A2032" s="1">
        <v>43433</v>
      </c>
      <c r="B2032">
        <v>11927</v>
      </c>
      <c r="C2032" t="s">
        <v>109</v>
      </c>
      <c r="D2032" t="s">
        <v>1438</v>
      </c>
      <c r="E2032" s="2">
        <v>150</v>
      </c>
    </row>
    <row r="2033" spans="1:5" x14ac:dyDescent="0.25">
      <c r="A2033" s="1">
        <v>43433</v>
      </c>
      <c r="B2033">
        <v>11928</v>
      </c>
      <c r="C2033" t="s">
        <v>352</v>
      </c>
      <c r="D2033" t="s">
        <v>2005</v>
      </c>
      <c r="E2033" s="2">
        <v>95</v>
      </c>
    </row>
    <row r="2034" spans="1:5" x14ac:dyDescent="0.25">
      <c r="A2034" s="1">
        <v>43433</v>
      </c>
      <c r="B2034">
        <v>11928</v>
      </c>
      <c r="C2034" t="s">
        <v>352</v>
      </c>
      <c r="D2034" t="s">
        <v>2006</v>
      </c>
      <c r="E2034" s="2">
        <v>1389</v>
      </c>
    </row>
    <row r="2035" spans="1:5" x14ac:dyDescent="0.25">
      <c r="A2035" s="1">
        <v>43433</v>
      </c>
      <c r="B2035">
        <v>11929</v>
      </c>
      <c r="C2035" t="s">
        <v>68</v>
      </c>
      <c r="D2035" t="s">
        <v>2007</v>
      </c>
      <c r="E2035" s="2">
        <v>79.19</v>
      </c>
    </row>
    <row r="2036" spans="1:5" x14ac:dyDescent="0.25">
      <c r="A2036" s="1">
        <v>43433</v>
      </c>
      <c r="B2036">
        <v>11929</v>
      </c>
      <c r="C2036" t="s">
        <v>68</v>
      </c>
      <c r="D2036" t="s">
        <v>2008</v>
      </c>
      <c r="E2036" s="2">
        <v>1481.47</v>
      </c>
    </row>
    <row r="2037" spans="1:5" x14ac:dyDescent="0.25">
      <c r="A2037" s="1">
        <v>43433</v>
      </c>
      <c r="B2037">
        <v>11930</v>
      </c>
      <c r="C2037" t="s">
        <v>1177</v>
      </c>
      <c r="D2037" t="s">
        <v>2009</v>
      </c>
      <c r="E2037" s="2">
        <v>225</v>
      </c>
    </row>
    <row r="2038" spans="1:5" x14ac:dyDescent="0.25">
      <c r="A2038" s="1">
        <v>43433</v>
      </c>
      <c r="B2038">
        <v>11930</v>
      </c>
      <c r="C2038" t="s">
        <v>1177</v>
      </c>
      <c r="D2038" t="s">
        <v>1448</v>
      </c>
      <c r="E2038" s="2">
        <v>35</v>
      </c>
    </row>
    <row r="2039" spans="1:5" x14ac:dyDescent="0.25">
      <c r="A2039" s="1">
        <v>43433</v>
      </c>
      <c r="B2039">
        <v>11940</v>
      </c>
      <c r="C2039" t="s">
        <v>110</v>
      </c>
      <c r="D2039" t="s">
        <v>2010</v>
      </c>
      <c r="E2039" s="2">
        <f>9984.07+12946.3+7210.66+170.11+161.45+2098.51+1555.87+99.99+2301.26+10282.59+8.88+8.29+16.64+1482.27+4034.8+7210.34+8.97+4956.27+19.94+5788.69+7192.76+206.35+14.86+14.86+8.29+1628.26+470.78+658.24+39.23+1052.26+585.65+19.93+24.67+150.62+2409.33+14.8+884.7+81.16+2778.98+198.77</f>
        <v>88780.39999999998</v>
      </c>
    </row>
    <row r="2040" spans="1:5" x14ac:dyDescent="0.25">
      <c r="A2040" s="1">
        <v>43433</v>
      </c>
      <c r="B2040">
        <v>11944</v>
      </c>
      <c r="C2040" t="s">
        <v>357</v>
      </c>
      <c r="D2040" t="s">
        <v>2011</v>
      </c>
      <c r="E2040" s="2">
        <f>713.25+403.75+108.75+403.8+971+378.75</f>
        <v>2979.3</v>
      </c>
    </row>
    <row r="2041" spans="1:5" x14ac:dyDescent="0.25">
      <c r="A2041" s="1">
        <v>43433</v>
      </c>
      <c r="B2041">
        <v>11944</v>
      </c>
      <c r="C2041" t="s">
        <v>357</v>
      </c>
      <c r="D2041" t="s">
        <v>2012</v>
      </c>
      <c r="E2041" s="2">
        <v>1200</v>
      </c>
    </row>
    <row r="2042" spans="1:5" x14ac:dyDescent="0.25">
      <c r="A2042" s="1">
        <v>43433</v>
      </c>
      <c r="B2042">
        <v>11945</v>
      </c>
      <c r="C2042" t="s">
        <v>111</v>
      </c>
      <c r="D2042" t="s">
        <v>534</v>
      </c>
      <c r="E2042" s="2">
        <v>140</v>
      </c>
    </row>
    <row r="2043" spans="1:5" x14ac:dyDescent="0.25">
      <c r="A2043" s="1">
        <v>43433</v>
      </c>
      <c r="B2043">
        <v>11946</v>
      </c>
      <c r="C2043" t="s">
        <v>849</v>
      </c>
      <c r="D2043" t="s">
        <v>2013</v>
      </c>
      <c r="E2043" s="2">
        <v>439.79</v>
      </c>
    </row>
    <row r="2044" spans="1:5" x14ac:dyDescent="0.25">
      <c r="A2044" s="1">
        <v>43433</v>
      </c>
      <c r="B2044">
        <v>11947</v>
      </c>
      <c r="C2044" t="s">
        <v>2014</v>
      </c>
      <c r="D2044" t="s">
        <v>2015</v>
      </c>
      <c r="E2044" s="2">
        <v>390</v>
      </c>
    </row>
    <row r="2045" spans="1:5" x14ac:dyDescent="0.25">
      <c r="A2045" s="1">
        <v>43433</v>
      </c>
      <c r="B2045">
        <v>11948</v>
      </c>
      <c r="C2045" t="s">
        <v>1330</v>
      </c>
      <c r="D2045" t="s">
        <v>2016</v>
      </c>
      <c r="E2045" s="2">
        <v>200</v>
      </c>
    </row>
    <row r="2046" spans="1:5" x14ac:dyDescent="0.25">
      <c r="A2046" s="1">
        <v>43433</v>
      </c>
      <c r="B2046">
        <v>11949</v>
      </c>
      <c r="C2046" t="s">
        <v>115</v>
      </c>
      <c r="D2046" t="s">
        <v>1438</v>
      </c>
      <c r="E2046" s="2">
        <v>140</v>
      </c>
    </row>
    <row r="2047" spans="1:5" x14ac:dyDescent="0.25">
      <c r="A2047" s="1">
        <v>43433</v>
      </c>
      <c r="B2047">
        <v>11950</v>
      </c>
      <c r="C2047" t="s">
        <v>852</v>
      </c>
      <c r="D2047" t="s">
        <v>1694</v>
      </c>
      <c r="E2047" s="2">
        <v>500</v>
      </c>
    </row>
    <row r="2048" spans="1:5" x14ac:dyDescent="0.25">
      <c r="A2048" s="1">
        <v>43433</v>
      </c>
      <c r="B2048">
        <v>11951</v>
      </c>
      <c r="C2048" t="s">
        <v>259</v>
      </c>
      <c r="D2048" t="s">
        <v>2017</v>
      </c>
      <c r="E2048" s="2">
        <v>282.75</v>
      </c>
    </row>
    <row r="2049" spans="1:5" x14ac:dyDescent="0.25">
      <c r="A2049" s="1">
        <v>43433</v>
      </c>
      <c r="B2049">
        <v>11952</v>
      </c>
      <c r="C2049" t="s">
        <v>714</v>
      </c>
      <c r="D2049" t="s">
        <v>2018</v>
      </c>
      <c r="E2049" s="2">
        <v>324</v>
      </c>
    </row>
    <row r="2050" spans="1:5" x14ac:dyDescent="0.25">
      <c r="A2050" s="1">
        <v>43433</v>
      </c>
      <c r="B2050">
        <v>11952</v>
      </c>
      <c r="C2050" t="s">
        <v>714</v>
      </c>
      <c r="D2050" t="s">
        <v>2018</v>
      </c>
      <c r="E2050" s="2">
        <v>432</v>
      </c>
    </row>
    <row r="2051" spans="1:5" x14ac:dyDescent="0.25">
      <c r="A2051" s="1">
        <v>43433</v>
      </c>
      <c r="B2051">
        <v>11953</v>
      </c>
      <c r="C2051" t="s">
        <v>2019</v>
      </c>
      <c r="D2051" t="s">
        <v>2020</v>
      </c>
      <c r="E2051" s="2">
        <v>4500</v>
      </c>
    </row>
    <row r="2052" spans="1:5" x14ac:dyDescent="0.25">
      <c r="A2052" s="1">
        <v>43433</v>
      </c>
      <c r="B2052">
        <v>11954</v>
      </c>
      <c r="C2052" t="s">
        <v>1460</v>
      </c>
      <c r="D2052" t="s">
        <v>2021</v>
      </c>
      <c r="E2052" s="2">
        <v>525</v>
      </c>
    </row>
    <row r="2053" spans="1:5" x14ac:dyDescent="0.25">
      <c r="A2053" s="1">
        <v>43433</v>
      </c>
      <c r="B2053">
        <v>11955</v>
      </c>
      <c r="C2053" t="s">
        <v>48</v>
      </c>
      <c r="D2053" t="s">
        <v>2022</v>
      </c>
      <c r="E2053" s="2">
        <f>9223.84+3209.83</f>
        <v>12433.67</v>
      </c>
    </row>
    <row r="2054" spans="1:5" x14ac:dyDescent="0.25">
      <c r="A2054" s="1">
        <v>43433</v>
      </c>
      <c r="B2054">
        <v>11957</v>
      </c>
      <c r="C2054" t="s">
        <v>74</v>
      </c>
      <c r="D2054" t="s">
        <v>2023</v>
      </c>
      <c r="E2054" s="2">
        <v>52.3</v>
      </c>
    </row>
    <row r="2055" spans="1:5" x14ac:dyDescent="0.25">
      <c r="A2055" s="1">
        <v>43433</v>
      </c>
      <c r="B2055">
        <v>11957</v>
      </c>
      <c r="C2055" t="s">
        <v>74</v>
      </c>
      <c r="D2055" t="s">
        <v>230</v>
      </c>
      <c r="E2055" s="2">
        <v>160.30000000000001</v>
      </c>
    </row>
    <row r="2056" spans="1:5" x14ac:dyDescent="0.25">
      <c r="A2056" s="1">
        <v>43433</v>
      </c>
      <c r="B2056">
        <v>11957</v>
      </c>
      <c r="C2056" t="s">
        <v>74</v>
      </c>
      <c r="D2056" t="s">
        <v>2024</v>
      </c>
      <c r="E2056" s="2">
        <v>29.9</v>
      </c>
    </row>
    <row r="2057" spans="1:5" x14ac:dyDescent="0.25">
      <c r="A2057" s="1">
        <v>43433</v>
      </c>
      <c r="B2057">
        <v>11957</v>
      </c>
      <c r="C2057" t="s">
        <v>74</v>
      </c>
      <c r="D2057" t="s">
        <v>2025</v>
      </c>
      <c r="E2057" s="2">
        <v>69.56</v>
      </c>
    </row>
    <row r="2058" spans="1:5" x14ac:dyDescent="0.25">
      <c r="A2058" s="1">
        <v>43433</v>
      </c>
      <c r="B2058">
        <v>11957</v>
      </c>
      <c r="C2058" t="s">
        <v>74</v>
      </c>
      <c r="D2058" t="s">
        <v>481</v>
      </c>
      <c r="E2058" s="2">
        <v>226.87</v>
      </c>
    </row>
    <row r="2059" spans="1:5" x14ac:dyDescent="0.25">
      <c r="A2059" s="1">
        <v>43433</v>
      </c>
      <c r="B2059">
        <v>11957</v>
      </c>
      <c r="C2059" t="s">
        <v>74</v>
      </c>
      <c r="D2059" t="s">
        <v>2026</v>
      </c>
      <c r="E2059" s="2">
        <v>96.59</v>
      </c>
    </row>
    <row r="2060" spans="1:5" x14ac:dyDescent="0.25">
      <c r="A2060" s="1">
        <v>43433</v>
      </c>
      <c r="B2060">
        <v>11957</v>
      </c>
      <c r="C2060" t="s">
        <v>74</v>
      </c>
      <c r="D2060" t="s">
        <v>2027</v>
      </c>
      <c r="E2060" s="2">
        <v>507.79</v>
      </c>
    </row>
    <row r="2061" spans="1:5" x14ac:dyDescent="0.25">
      <c r="A2061" s="1">
        <v>43433</v>
      </c>
      <c r="B2061">
        <v>11958</v>
      </c>
      <c r="C2061" t="s">
        <v>142</v>
      </c>
      <c r="D2061" t="s">
        <v>1686</v>
      </c>
      <c r="E2061" s="2">
        <v>32.880000000000003</v>
      </c>
    </row>
    <row r="2062" spans="1:5" x14ac:dyDescent="0.25">
      <c r="A2062" s="1">
        <v>43433</v>
      </c>
      <c r="B2062">
        <v>11959</v>
      </c>
      <c r="C2062" t="s">
        <v>283</v>
      </c>
      <c r="D2062" t="s">
        <v>441</v>
      </c>
      <c r="E2062" s="2">
        <v>1017.56</v>
      </c>
    </row>
    <row r="2063" spans="1:5" x14ac:dyDescent="0.25">
      <c r="A2063" s="1">
        <v>43433</v>
      </c>
      <c r="B2063">
        <v>11960</v>
      </c>
      <c r="C2063" t="s">
        <v>146</v>
      </c>
      <c r="D2063" t="s">
        <v>2028</v>
      </c>
      <c r="E2063" s="2">
        <v>7695.98</v>
      </c>
    </row>
    <row r="2064" spans="1:5" x14ac:dyDescent="0.25">
      <c r="A2064" s="1">
        <v>43433</v>
      </c>
      <c r="B2064">
        <v>11960</v>
      </c>
      <c r="C2064" t="s">
        <v>146</v>
      </c>
      <c r="D2064" t="s">
        <v>2002</v>
      </c>
      <c r="E2064" s="2">
        <v>240.18</v>
      </c>
    </row>
    <row r="2065" spans="1:5" x14ac:dyDescent="0.25">
      <c r="A2065" s="1">
        <v>43433</v>
      </c>
      <c r="B2065">
        <v>11961</v>
      </c>
      <c r="C2065" t="s">
        <v>284</v>
      </c>
      <c r="D2065" t="s">
        <v>2029</v>
      </c>
      <c r="E2065" s="2">
        <v>392.69</v>
      </c>
    </row>
    <row r="2066" spans="1:5" x14ac:dyDescent="0.25">
      <c r="A2066" s="1">
        <v>43433</v>
      </c>
      <c r="B2066">
        <v>11962</v>
      </c>
      <c r="C2066" t="s">
        <v>2030</v>
      </c>
      <c r="D2066" t="s">
        <v>2031</v>
      </c>
      <c r="E2066" s="2">
        <v>279</v>
      </c>
    </row>
    <row r="2067" spans="1:5" x14ac:dyDescent="0.25">
      <c r="A2067" s="1">
        <v>43433</v>
      </c>
      <c r="B2067">
        <v>11963</v>
      </c>
      <c r="C2067" t="s">
        <v>336</v>
      </c>
      <c r="D2067" t="s">
        <v>2032</v>
      </c>
      <c r="E2067" s="2">
        <v>322.5</v>
      </c>
    </row>
    <row r="2068" spans="1:5" x14ac:dyDescent="0.25">
      <c r="A2068" s="1">
        <v>43433</v>
      </c>
      <c r="B2068">
        <v>11964</v>
      </c>
      <c r="C2068" t="s">
        <v>75</v>
      </c>
      <c r="D2068" t="s">
        <v>2033</v>
      </c>
      <c r="E2068" s="2">
        <f>20.74+6.08+1.79+26.96+10</f>
        <v>65.569999999999993</v>
      </c>
    </row>
    <row r="2069" spans="1:5" x14ac:dyDescent="0.25">
      <c r="A2069" s="1">
        <v>43433</v>
      </c>
      <c r="B2069">
        <v>11965</v>
      </c>
      <c r="C2069" t="s">
        <v>739</v>
      </c>
      <c r="D2069" t="s">
        <v>2034</v>
      </c>
      <c r="E2069" s="2">
        <v>24359.07</v>
      </c>
    </row>
    <row r="2070" spans="1:5" x14ac:dyDescent="0.25">
      <c r="A2070" s="1">
        <v>43433</v>
      </c>
      <c r="B2070">
        <v>11969</v>
      </c>
      <c r="C2070" t="s">
        <v>11</v>
      </c>
      <c r="D2070" t="s">
        <v>2024</v>
      </c>
      <c r="E2070" s="2">
        <f>258.65+80.7+92.39+78.77+52.99+25.78+82.83+49.69+8.97+190.91+203.3+7.9</f>
        <v>1132.8800000000001</v>
      </c>
    </row>
    <row r="2071" spans="1:5" x14ac:dyDescent="0.25">
      <c r="A2071" s="1">
        <v>43433</v>
      </c>
      <c r="B2071">
        <v>11969</v>
      </c>
      <c r="C2071" t="s">
        <v>11</v>
      </c>
      <c r="D2071" t="s">
        <v>1427</v>
      </c>
      <c r="E2071" s="2">
        <v>109.99</v>
      </c>
    </row>
    <row r="2072" spans="1:5" x14ac:dyDescent="0.25">
      <c r="A2072" s="1">
        <v>43433</v>
      </c>
      <c r="B2072">
        <v>11969</v>
      </c>
      <c r="C2072" t="s">
        <v>11</v>
      </c>
      <c r="D2072" t="s">
        <v>2035</v>
      </c>
      <c r="E2072" s="2">
        <v>70.47</v>
      </c>
    </row>
    <row r="2073" spans="1:5" x14ac:dyDescent="0.25">
      <c r="A2073" s="1">
        <v>43433</v>
      </c>
      <c r="B2073">
        <v>11969</v>
      </c>
      <c r="C2073" t="s">
        <v>11</v>
      </c>
      <c r="D2073" t="s">
        <v>2036</v>
      </c>
      <c r="E2073" s="2">
        <f>85.68+21.36+83.6</f>
        <v>190.64</v>
      </c>
    </row>
    <row r="2074" spans="1:5" x14ac:dyDescent="0.25">
      <c r="A2074" s="1">
        <v>43433</v>
      </c>
      <c r="B2074">
        <v>11969</v>
      </c>
      <c r="C2074" t="s">
        <v>11</v>
      </c>
      <c r="D2074" t="s">
        <v>2037</v>
      </c>
      <c r="E2074" s="2">
        <f>83.6+36.05</f>
        <v>119.64999999999999</v>
      </c>
    </row>
    <row r="2075" spans="1:5" x14ac:dyDescent="0.25">
      <c r="A2075" s="1">
        <v>43433</v>
      </c>
      <c r="B2075">
        <v>11969</v>
      </c>
      <c r="C2075" t="s">
        <v>11</v>
      </c>
      <c r="D2075" t="s">
        <v>2038</v>
      </c>
      <c r="E2075" s="2">
        <v>66.900000000000006</v>
      </c>
    </row>
    <row r="2076" spans="1:5" x14ac:dyDescent="0.25">
      <c r="A2076" s="1">
        <v>43433</v>
      </c>
      <c r="B2076">
        <v>11969</v>
      </c>
      <c r="C2076" t="s">
        <v>11</v>
      </c>
      <c r="D2076" t="s">
        <v>2039</v>
      </c>
      <c r="E2076" s="2">
        <v>587.25</v>
      </c>
    </row>
    <row r="2077" spans="1:5" x14ac:dyDescent="0.25">
      <c r="A2077" s="1">
        <v>43433</v>
      </c>
      <c r="B2077">
        <v>11969</v>
      </c>
      <c r="C2077" t="s">
        <v>11</v>
      </c>
      <c r="D2077" t="s">
        <v>2040</v>
      </c>
      <c r="E2077" s="2">
        <f>41.5+23.69</f>
        <v>65.19</v>
      </c>
    </row>
    <row r="2078" spans="1:5" x14ac:dyDescent="0.25">
      <c r="A2078" s="1">
        <v>43433</v>
      </c>
      <c r="B2078">
        <v>11970</v>
      </c>
      <c r="C2078" t="s">
        <v>2041</v>
      </c>
      <c r="D2078" t="s">
        <v>2042</v>
      </c>
      <c r="E2078" s="2">
        <v>2548</v>
      </c>
    </row>
    <row r="2079" spans="1:5" x14ac:dyDescent="0.25">
      <c r="A2079" s="1">
        <v>43433</v>
      </c>
      <c r="B2079">
        <v>11971</v>
      </c>
      <c r="C2079" t="s">
        <v>378</v>
      </c>
      <c r="D2079" t="s">
        <v>2043</v>
      </c>
      <c r="E2079" s="2">
        <v>3668.05</v>
      </c>
    </row>
    <row r="2080" spans="1:5" x14ac:dyDescent="0.25">
      <c r="A2080" s="1">
        <v>43433</v>
      </c>
      <c r="B2080">
        <v>11971</v>
      </c>
      <c r="C2080" t="s">
        <v>378</v>
      </c>
      <c r="D2080" t="s">
        <v>2044</v>
      </c>
      <c r="E2080" s="2">
        <v>449.23</v>
      </c>
    </row>
    <row r="2081" spans="1:5" x14ac:dyDescent="0.25">
      <c r="A2081" s="1">
        <v>43433</v>
      </c>
      <c r="B2081">
        <v>11972</v>
      </c>
      <c r="C2081" t="s">
        <v>2045</v>
      </c>
      <c r="D2081" t="s">
        <v>2046</v>
      </c>
      <c r="E2081" s="2">
        <v>23000</v>
      </c>
    </row>
    <row r="2082" spans="1:5" x14ac:dyDescent="0.25">
      <c r="A2082" s="1">
        <v>43433</v>
      </c>
      <c r="B2082">
        <v>11973</v>
      </c>
      <c r="C2082" t="s">
        <v>1228</v>
      </c>
      <c r="D2082" t="s">
        <v>1229</v>
      </c>
      <c r="E2082" s="2">
        <f>1069+1489+136.4</f>
        <v>2694.4</v>
      </c>
    </row>
    <row r="2083" spans="1:5" x14ac:dyDescent="0.25">
      <c r="A2083" s="1">
        <v>43433</v>
      </c>
      <c r="B2083">
        <v>11974</v>
      </c>
      <c r="C2083" t="s">
        <v>50</v>
      </c>
      <c r="D2083" t="s">
        <v>2047</v>
      </c>
      <c r="E2083" s="2">
        <v>5685</v>
      </c>
    </row>
    <row r="2084" spans="1:5" x14ac:dyDescent="0.25">
      <c r="A2084" s="1">
        <v>43433</v>
      </c>
      <c r="B2084">
        <v>11975</v>
      </c>
      <c r="C2084" t="s">
        <v>51</v>
      </c>
      <c r="D2084" t="s">
        <v>2048</v>
      </c>
      <c r="E2084" s="2">
        <v>81.09</v>
      </c>
    </row>
    <row r="2085" spans="1:5" x14ac:dyDescent="0.25">
      <c r="A2085" s="1">
        <v>43433</v>
      </c>
      <c r="B2085">
        <v>11975</v>
      </c>
      <c r="C2085" t="s">
        <v>51</v>
      </c>
      <c r="D2085" t="s">
        <v>2049</v>
      </c>
      <c r="E2085" s="2">
        <f>46.85+62.1</f>
        <v>108.95</v>
      </c>
    </row>
    <row r="2086" spans="1:5" x14ac:dyDescent="0.25">
      <c r="A2086" s="1">
        <v>43433</v>
      </c>
      <c r="B2086">
        <v>11976</v>
      </c>
      <c r="C2086" t="s">
        <v>1110</v>
      </c>
      <c r="D2086" t="s">
        <v>1403</v>
      </c>
      <c r="E2086" s="2">
        <v>53.02</v>
      </c>
    </row>
    <row r="2087" spans="1:5" x14ac:dyDescent="0.25">
      <c r="A2087" s="1">
        <v>43433</v>
      </c>
      <c r="B2087">
        <v>11976</v>
      </c>
      <c r="C2087" t="s">
        <v>1110</v>
      </c>
      <c r="D2087" t="s">
        <v>2050</v>
      </c>
      <c r="E2087" s="2">
        <v>78.09</v>
      </c>
    </row>
    <row r="2088" spans="1:5" x14ac:dyDescent="0.25">
      <c r="A2088" s="1">
        <v>43433</v>
      </c>
      <c r="B2088">
        <v>11977</v>
      </c>
      <c r="C2088" t="s">
        <v>2051</v>
      </c>
      <c r="D2088" t="s">
        <v>2052</v>
      </c>
      <c r="E2088" s="2">
        <v>24900</v>
      </c>
    </row>
    <row r="2089" spans="1:5" x14ac:dyDescent="0.25">
      <c r="A2089" s="1">
        <v>43433</v>
      </c>
      <c r="B2089">
        <v>11979</v>
      </c>
      <c r="C2089" t="s">
        <v>14</v>
      </c>
      <c r="D2089" t="s">
        <v>2053</v>
      </c>
      <c r="E2089" s="2">
        <f>464.48+68.93</f>
        <v>533.41000000000008</v>
      </c>
    </row>
    <row r="2090" spans="1:5" x14ac:dyDescent="0.25">
      <c r="A2090" s="1">
        <v>43433</v>
      </c>
      <c r="B2090">
        <v>11979</v>
      </c>
      <c r="C2090" t="s">
        <v>14</v>
      </c>
      <c r="D2090" t="s">
        <v>2054</v>
      </c>
      <c r="E2090" s="2">
        <v>234</v>
      </c>
    </row>
    <row r="2091" spans="1:5" x14ac:dyDescent="0.25">
      <c r="A2091" s="1">
        <v>43433</v>
      </c>
      <c r="B2091">
        <v>11979</v>
      </c>
      <c r="C2091" t="s">
        <v>14</v>
      </c>
      <c r="D2091" t="s">
        <v>2055</v>
      </c>
      <c r="E2091" s="2">
        <v>51</v>
      </c>
    </row>
    <row r="2092" spans="1:5" x14ac:dyDescent="0.25">
      <c r="A2092" s="1">
        <v>43433</v>
      </c>
      <c r="B2092">
        <v>11979</v>
      </c>
      <c r="C2092" t="s">
        <v>14</v>
      </c>
      <c r="D2092" t="s">
        <v>2056</v>
      </c>
      <c r="E2092" s="2">
        <v>197.41</v>
      </c>
    </row>
    <row r="2093" spans="1:5" x14ac:dyDescent="0.25">
      <c r="A2093" s="1">
        <v>43433</v>
      </c>
      <c r="B2093">
        <v>11979</v>
      </c>
      <c r="C2093" t="s">
        <v>14</v>
      </c>
      <c r="D2093" t="s">
        <v>1236</v>
      </c>
      <c r="E2093" s="2">
        <v>416.2</v>
      </c>
    </row>
    <row r="2094" spans="1:5" x14ac:dyDescent="0.25">
      <c r="A2094" s="1">
        <v>43433</v>
      </c>
      <c r="B2094">
        <v>11980</v>
      </c>
      <c r="C2094" t="s">
        <v>760</v>
      </c>
      <c r="D2094" t="s">
        <v>1028</v>
      </c>
      <c r="E2094" s="2">
        <v>51.54</v>
      </c>
    </row>
    <row r="2095" spans="1:5" x14ac:dyDescent="0.25">
      <c r="A2095" s="1">
        <v>43433</v>
      </c>
      <c r="B2095">
        <v>11980</v>
      </c>
      <c r="C2095" t="s">
        <v>760</v>
      </c>
      <c r="D2095" t="s">
        <v>2057</v>
      </c>
      <c r="E2095" s="2">
        <v>75.3</v>
      </c>
    </row>
    <row r="2096" spans="1:5" x14ac:dyDescent="0.25">
      <c r="A2096" s="1">
        <v>43433</v>
      </c>
      <c r="B2096">
        <v>11980</v>
      </c>
      <c r="C2096" t="s">
        <v>760</v>
      </c>
      <c r="D2096" t="s">
        <v>2058</v>
      </c>
      <c r="E2096" s="2">
        <v>34.25</v>
      </c>
    </row>
    <row r="2097" spans="1:5" x14ac:dyDescent="0.25">
      <c r="A2097" s="1">
        <v>43433</v>
      </c>
      <c r="B2097">
        <v>11981</v>
      </c>
      <c r="C2097" t="s">
        <v>765</v>
      </c>
      <c r="D2097" t="s">
        <v>2059</v>
      </c>
      <c r="E2097" s="2">
        <v>1598.5</v>
      </c>
    </row>
    <row r="2098" spans="1:5" x14ac:dyDescent="0.25">
      <c r="A2098" s="1">
        <v>43433</v>
      </c>
      <c r="B2098">
        <v>11982</v>
      </c>
      <c r="C2098" t="s">
        <v>309</v>
      </c>
      <c r="D2098" t="s">
        <v>2060</v>
      </c>
      <c r="E2098" s="2">
        <v>10918.85</v>
      </c>
    </row>
    <row r="2099" spans="1:5" x14ac:dyDescent="0.25">
      <c r="A2099" s="1">
        <v>43433</v>
      </c>
      <c r="B2099">
        <v>11983</v>
      </c>
      <c r="C2099" t="s">
        <v>2061</v>
      </c>
      <c r="D2099" t="s">
        <v>2062</v>
      </c>
      <c r="E2099" s="2">
        <v>169</v>
      </c>
    </row>
    <row r="2100" spans="1:5" x14ac:dyDescent="0.25">
      <c r="A2100" s="1">
        <v>43433</v>
      </c>
      <c r="B2100">
        <v>11984</v>
      </c>
      <c r="C2100" t="s">
        <v>1516</v>
      </c>
      <c r="D2100" t="s">
        <v>2063</v>
      </c>
      <c r="E2100" s="2">
        <v>240</v>
      </c>
    </row>
    <row r="2101" spans="1:5" x14ac:dyDescent="0.25">
      <c r="A2101" s="1">
        <v>43433</v>
      </c>
      <c r="B2101">
        <v>11985</v>
      </c>
      <c r="C2101" t="s">
        <v>314</v>
      </c>
      <c r="D2101" t="s">
        <v>885</v>
      </c>
      <c r="E2101" s="2">
        <v>252</v>
      </c>
    </row>
    <row r="2102" spans="1:5" x14ac:dyDescent="0.25">
      <c r="A2102" s="1">
        <v>43433</v>
      </c>
      <c r="B2102">
        <v>11986</v>
      </c>
      <c r="C2102" t="s">
        <v>2064</v>
      </c>
      <c r="D2102" t="s">
        <v>2065</v>
      </c>
      <c r="E2102" s="2">
        <v>487.9</v>
      </c>
    </row>
    <row r="2103" spans="1:5" x14ac:dyDescent="0.25">
      <c r="A2103" s="1">
        <v>43433</v>
      </c>
      <c r="B2103">
        <v>11987</v>
      </c>
      <c r="C2103" t="s">
        <v>2066</v>
      </c>
      <c r="D2103" t="s">
        <v>2067</v>
      </c>
      <c r="E2103" s="2">
        <v>2470</v>
      </c>
    </row>
    <row r="2104" spans="1:5" x14ac:dyDescent="0.25">
      <c r="A2104" s="1">
        <v>43433</v>
      </c>
      <c r="B2104">
        <v>11988</v>
      </c>
      <c r="C2104" t="s">
        <v>162</v>
      </c>
      <c r="D2104" t="s">
        <v>163</v>
      </c>
      <c r="E2104" s="2">
        <v>1548</v>
      </c>
    </row>
    <row r="2105" spans="1:5" x14ac:dyDescent="0.25">
      <c r="A2105" s="1">
        <v>43433</v>
      </c>
      <c r="B2105">
        <v>11989</v>
      </c>
      <c r="C2105" t="s">
        <v>164</v>
      </c>
      <c r="D2105" t="s">
        <v>2068</v>
      </c>
      <c r="E2105" s="2">
        <v>500</v>
      </c>
    </row>
    <row r="2106" spans="1:5" x14ac:dyDescent="0.25">
      <c r="A2106" s="1">
        <v>43433</v>
      </c>
      <c r="B2106">
        <v>11989</v>
      </c>
      <c r="C2106" t="s">
        <v>164</v>
      </c>
      <c r="D2106" t="s">
        <v>2069</v>
      </c>
      <c r="E2106" s="2">
        <v>11000</v>
      </c>
    </row>
    <row r="2107" spans="1:5" x14ac:dyDescent="0.25">
      <c r="A2107" s="1">
        <v>43433</v>
      </c>
      <c r="B2107">
        <v>11990</v>
      </c>
      <c r="C2107" t="s">
        <v>166</v>
      </c>
      <c r="D2107" t="s">
        <v>1080</v>
      </c>
      <c r="E2107" s="2">
        <f>135+135</f>
        <v>270</v>
      </c>
    </row>
    <row r="2108" spans="1:5" x14ac:dyDescent="0.25">
      <c r="A2108" s="1">
        <v>43433</v>
      </c>
      <c r="B2108">
        <v>11990</v>
      </c>
      <c r="C2108" t="s">
        <v>166</v>
      </c>
      <c r="D2108" t="s">
        <v>2070</v>
      </c>
      <c r="E2108" s="2">
        <v>735</v>
      </c>
    </row>
    <row r="2109" spans="1:5" x14ac:dyDescent="0.25">
      <c r="A2109" s="1">
        <v>43433</v>
      </c>
      <c r="B2109">
        <v>11991</v>
      </c>
      <c r="C2109" t="s">
        <v>169</v>
      </c>
      <c r="D2109" t="s">
        <v>2071</v>
      </c>
      <c r="E2109" s="2">
        <v>2500</v>
      </c>
    </row>
    <row r="2110" spans="1:5" x14ac:dyDescent="0.25">
      <c r="A2110" s="1">
        <v>43433</v>
      </c>
      <c r="B2110">
        <v>11991</v>
      </c>
      <c r="C2110" t="s">
        <v>169</v>
      </c>
      <c r="D2110" t="s">
        <v>2072</v>
      </c>
      <c r="E2110" s="2">
        <v>12000</v>
      </c>
    </row>
    <row r="2111" spans="1:5" x14ac:dyDescent="0.25">
      <c r="A2111" s="1">
        <v>43433</v>
      </c>
      <c r="B2111">
        <v>11992</v>
      </c>
      <c r="C2111" t="s">
        <v>597</v>
      </c>
      <c r="D2111" t="s">
        <v>598</v>
      </c>
      <c r="E2111" s="2">
        <v>0</v>
      </c>
    </row>
    <row r="2112" spans="1:5" x14ac:dyDescent="0.25">
      <c r="A2112" s="1">
        <v>43433</v>
      </c>
      <c r="B2112">
        <v>11993</v>
      </c>
      <c r="C2112" t="s">
        <v>1261</v>
      </c>
      <c r="D2112" t="s">
        <v>270</v>
      </c>
      <c r="E2112" s="2">
        <v>1328</v>
      </c>
    </row>
    <row r="2113" spans="1:5" x14ac:dyDescent="0.25">
      <c r="A2113" s="1">
        <v>43433</v>
      </c>
      <c r="B2113">
        <v>11994</v>
      </c>
      <c r="C2113" t="s">
        <v>2073</v>
      </c>
      <c r="D2113" t="s">
        <v>773</v>
      </c>
      <c r="E2113" s="2">
        <v>430</v>
      </c>
    </row>
    <row r="2114" spans="1:5" x14ac:dyDescent="0.25">
      <c r="A2114" s="1">
        <v>43433</v>
      </c>
      <c r="B2114">
        <v>11995</v>
      </c>
      <c r="C2114" t="s">
        <v>1270</v>
      </c>
      <c r="D2114" t="s">
        <v>234</v>
      </c>
      <c r="E2114" s="2">
        <v>13.36</v>
      </c>
    </row>
    <row r="2115" spans="1:5" x14ac:dyDescent="0.25">
      <c r="A2115" s="1">
        <v>43433</v>
      </c>
      <c r="B2115">
        <v>11996</v>
      </c>
      <c r="C2115" t="s">
        <v>2074</v>
      </c>
      <c r="D2115" t="s">
        <v>2075</v>
      </c>
      <c r="E2115" s="2">
        <v>93.65</v>
      </c>
    </row>
    <row r="2116" spans="1:5" x14ac:dyDescent="0.25">
      <c r="A2116" s="1">
        <v>43433</v>
      </c>
      <c r="B2116">
        <v>11997</v>
      </c>
      <c r="C2116" t="s">
        <v>1273</v>
      </c>
      <c r="D2116" t="s">
        <v>2076</v>
      </c>
      <c r="E2116" s="2">
        <v>759.64</v>
      </c>
    </row>
    <row r="2117" spans="1:5" x14ac:dyDescent="0.25">
      <c r="A2117" s="1">
        <v>43433</v>
      </c>
      <c r="B2117">
        <v>11998</v>
      </c>
      <c r="C2117" t="s">
        <v>179</v>
      </c>
      <c r="D2117" t="s">
        <v>2077</v>
      </c>
      <c r="E2117" s="2">
        <v>186.02</v>
      </c>
    </row>
    <row r="2118" spans="1:5" x14ac:dyDescent="0.25">
      <c r="A2118" s="1">
        <v>43433</v>
      </c>
      <c r="B2118">
        <v>11999</v>
      </c>
      <c r="C2118" t="s">
        <v>387</v>
      </c>
      <c r="D2118" t="s">
        <v>899</v>
      </c>
      <c r="E2118" s="2">
        <f>0.86+9.75</f>
        <v>10.61</v>
      </c>
    </row>
    <row r="2119" spans="1:5" x14ac:dyDescent="0.25">
      <c r="A2119" s="1">
        <v>43433</v>
      </c>
      <c r="B2119">
        <v>12007</v>
      </c>
      <c r="C2119" t="s">
        <v>222</v>
      </c>
      <c r="D2119" t="s">
        <v>190</v>
      </c>
      <c r="E2119" s="2">
        <v>28.26</v>
      </c>
    </row>
    <row r="2120" spans="1:5" x14ac:dyDescent="0.25">
      <c r="A2120" s="1">
        <v>43433</v>
      </c>
      <c r="B2120">
        <v>12007</v>
      </c>
      <c r="C2120" t="s">
        <v>222</v>
      </c>
      <c r="D2120" t="s">
        <v>2078</v>
      </c>
      <c r="E2120" s="2">
        <v>73.2</v>
      </c>
    </row>
    <row r="2121" spans="1:5" x14ac:dyDescent="0.25">
      <c r="A2121" s="1">
        <v>43433</v>
      </c>
      <c r="B2121">
        <v>12007</v>
      </c>
      <c r="C2121" t="s">
        <v>222</v>
      </c>
      <c r="D2121" t="s">
        <v>2079</v>
      </c>
      <c r="E2121" s="2">
        <v>23.84</v>
      </c>
    </row>
    <row r="2122" spans="1:5" x14ac:dyDescent="0.25">
      <c r="A2122" s="1">
        <v>43433</v>
      </c>
      <c r="B2122">
        <v>12007</v>
      </c>
      <c r="C2122" t="s">
        <v>222</v>
      </c>
      <c r="D2122" t="s">
        <v>2080</v>
      </c>
      <c r="E2122" s="2">
        <v>102.36</v>
      </c>
    </row>
    <row r="2123" spans="1:5" x14ac:dyDescent="0.25">
      <c r="A2123" s="1">
        <v>43433</v>
      </c>
      <c r="B2123">
        <v>12007</v>
      </c>
      <c r="C2123" t="s">
        <v>222</v>
      </c>
      <c r="D2123" t="s">
        <v>2081</v>
      </c>
      <c r="E2123" s="2">
        <v>130.84</v>
      </c>
    </row>
    <row r="2124" spans="1:5" x14ac:dyDescent="0.25">
      <c r="A2124" s="1">
        <v>43433</v>
      </c>
      <c r="B2124">
        <v>12007</v>
      </c>
      <c r="C2124" t="s">
        <v>222</v>
      </c>
      <c r="D2124" t="s">
        <v>1224</v>
      </c>
      <c r="E2124" s="2">
        <f>135.57+55.56+69.55+58.56</f>
        <v>319.24</v>
      </c>
    </row>
    <row r="2125" spans="1:5" x14ac:dyDescent="0.25">
      <c r="A2125" s="1">
        <v>43433</v>
      </c>
      <c r="B2125">
        <v>12007</v>
      </c>
      <c r="C2125" t="s">
        <v>222</v>
      </c>
      <c r="D2125" t="s">
        <v>2082</v>
      </c>
      <c r="E2125" s="2">
        <v>112.1</v>
      </c>
    </row>
    <row r="2126" spans="1:5" x14ac:dyDescent="0.25">
      <c r="A2126" s="1">
        <v>43433</v>
      </c>
      <c r="B2126">
        <v>12007</v>
      </c>
      <c r="C2126" t="s">
        <v>222</v>
      </c>
      <c r="D2126" t="s">
        <v>2083</v>
      </c>
      <c r="E2126" s="2">
        <v>17.96</v>
      </c>
    </row>
    <row r="2127" spans="1:5" x14ac:dyDescent="0.25">
      <c r="A2127" s="1">
        <v>43433</v>
      </c>
      <c r="B2127">
        <v>12007</v>
      </c>
      <c r="C2127" t="s">
        <v>222</v>
      </c>
      <c r="D2127" t="s">
        <v>717</v>
      </c>
      <c r="E2127" s="2">
        <v>75</v>
      </c>
    </row>
    <row r="2128" spans="1:5" x14ac:dyDescent="0.25">
      <c r="A2128" s="1">
        <v>43433</v>
      </c>
      <c r="B2128">
        <v>12007</v>
      </c>
      <c r="C2128" t="s">
        <v>222</v>
      </c>
      <c r="D2128" t="s">
        <v>717</v>
      </c>
      <c r="E2128" s="2">
        <v>39.15</v>
      </c>
    </row>
    <row r="2129" spans="1:5" x14ac:dyDescent="0.25">
      <c r="A2129" s="1">
        <v>43433</v>
      </c>
      <c r="B2129">
        <v>12007</v>
      </c>
      <c r="C2129" t="s">
        <v>222</v>
      </c>
      <c r="D2129" t="s">
        <v>1307</v>
      </c>
      <c r="E2129" s="2">
        <v>120</v>
      </c>
    </row>
    <row r="2130" spans="1:5" x14ac:dyDescent="0.25">
      <c r="A2130" s="1">
        <v>43433</v>
      </c>
      <c r="B2130">
        <v>12007</v>
      </c>
      <c r="C2130" t="s">
        <v>222</v>
      </c>
      <c r="D2130" t="s">
        <v>2084</v>
      </c>
      <c r="E2130" s="2">
        <f>162.46+12.96+16.66</f>
        <v>192.08</v>
      </c>
    </row>
    <row r="2131" spans="1:5" x14ac:dyDescent="0.25">
      <c r="A2131" s="1">
        <v>43433</v>
      </c>
      <c r="B2131">
        <v>12007</v>
      </c>
      <c r="C2131" t="s">
        <v>222</v>
      </c>
      <c r="D2131" t="s">
        <v>481</v>
      </c>
      <c r="E2131" s="2">
        <v>110.75</v>
      </c>
    </row>
    <row r="2132" spans="1:5" x14ac:dyDescent="0.25">
      <c r="A2132" s="1">
        <v>43433</v>
      </c>
      <c r="B2132">
        <v>12007</v>
      </c>
      <c r="C2132" t="s">
        <v>222</v>
      </c>
      <c r="D2132" t="s">
        <v>2085</v>
      </c>
      <c r="E2132" s="2">
        <f>78.67+51.19+84.06</f>
        <v>213.92000000000002</v>
      </c>
    </row>
    <row r="2133" spans="1:5" x14ac:dyDescent="0.25">
      <c r="A2133" s="1">
        <v>43433</v>
      </c>
      <c r="B2133">
        <v>12007</v>
      </c>
      <c r="C2133" t="s">
        <v>222</v>
      </c>
      <c r="D2133" t="s">
        <v>1311</v>
      </c>
      <c r="E2133" s="2">
        <f>45.92+43.13+210.38+69.76</f>
        <v>369.19</v>
      </c>
    </row>
    <row r="2134" spans="1:5" x14ac:dyDescent="0.25">
      <c r="A2134" s="1">
        <v>43433</v>
      </c>
      <c r="B2134">
        <v>12007</v>
      </c>
      <c r="C2134" t="s">
        <v>222</v>
      </c>
      <c r="D2134" t="s">
        <v>2086</v>
      </c>
      <c r="E2134" s="2">
        <v>244.87</v>
      </c>
    </row>
    <row r="2135" spans="1:5" x14ac:dyDescent="0.25">
      <c r="A2135" s="1">
        <v>43433</v>
      </c>
      <c r="B2135">
        <v>12007</v>
      </c>
      <c r="C2135" t="s">
        <v>222</v>
      </c>
      <c r="D2135" t="s">
        <v>2085</v>
      </c>
      <c r="E2135" s="2">
        <v>56.17</v>
      </c>
    </row>
    <row r="2136" spans="1:5" x14ac:dyDescent="0.25">
      <c r="A2136" s="1">
        <v>43433</v>
      </c>
      <c r="B2136">
        <v>12007</v>
      </c>
      <c r="C2136" t="s">
        <v>222</v>
      </c>
      <c r="D2136" t="s">
        <v>2085</v>
      </c>
      <c r="E2136" s="2">
        <v>72.78</v>
      </c>
    </row>
    <row r="2137" spans="1:5" x14ac:dyDescent="0.25">
      <c r="A2137" s="1">
        <v>43433</v>
      </c>
      <c r="B2137">
        <v>12007</v>
      </c>
      <c r="C2137" t="s">
        <v>222</v>
      </c>
      <c r="D2137" t="s">
        <v>2087</v>
      </c>
      <c r="E2137" s="2">
        <f>83.44+53.64</f>
        <v>137.07999999999998</v>
      </c>
    </row>
    <row r="2138" spans="1:5" x14ac:dyDescent="0.25">
      <c r="A2138" s="1">
        <v>43433</v>
      </c>
      <c r="B2138">
        <v>12007</v>
      </c>
      <c r="C2138" t="s">
        <v>222</v>
      </c>
      <c r="D2138" t="s">
        <v>2088</v>
      </c>
      <c r="E2138" s="2">
        <v>68.27</v>
      </c>
    </row>
    <row r="2139" spans="1:5" x14ac:dyDescent="0.25">
      <c r="A2139" s="1">
        <v>43433</v>
      </c>
      <c r="B2139">
        <v>12007</v>
      </c>
      <c r="C2139" t="s">
        <v>222</v>
      </c>
      <c r="D2139" t="s">
        <v>2089</v>
      </c>
      <c r="E2139" s="2">
        <v>23.91</v>
      </c>
    </row>
    <row r="2140" spans="1:5" x14ac:dyDescent="0.25">
      <c r="A2140" s="1">
        <v>43433</v>
      </c>
      <c r="B2140">
        <v>12007</v>
      </c>
      <c r="C2140" t="s">
        <v>222</v>
      </c>
      <c r="D2140" t="s">
        <v>416</v>
      </c>
      <c r="E2140" s="3">
        <v>-11.92</v>
      </c>
    </row>
    <row r="2141" spans="1:5" x14ac:dyDescent="0.25">
      <c r="A2141" s="1">
        <v>43433</v>
      </c>
      <c r="B2141">
        <v>12008</v>
      </c>
      <c r="C2141" t="s">
        <v>388</v>
      </c>
      <c r="D2141" t="s">
        <v>1870</v>
      </c>
      <c r="E2141" s="2">
        <v>487.38</v>
      </c>
    </row>
    <row r="2142" spans="1:5" x14ac:dyDescent="0.25">
      <c r="A2142" s="1">
        <v>43433</v>
      </c>
      <c r="B2142">
        <v>12009</v>
      </c>
      <c r="C2142" t="s">
        <v>780</v>
      </c>
      <c r="D2142" t="s">
        <v>2090</v>
      </c>
      <c r="E2142" s="2">
        <f>184.27+35.5+184.27+21.25+339.35</f>
        <v>764.6400000000001</v>
      </c>
    </row>
    <row r="2143" spans="1:5" x14ac:dyDescent="0.25">
      <c r="A2143" s="1">
        <v>43433</v>
      </c>
      <c r="B2143">
        <v>181900096</v>
      </c>
      <c r="C2143" t="s">
        <v>2091</v>
      </c>
      <c r="D2143" t="s">
        <v>1980</v>
      </c>
      <c r="E2143" s="2">
        <v>305.22000000000003</v>
      </c>
    </row>
    <row r="2144" spans="1:5" x14ac:dyDescent="0.25">
      <c r="A2144" s="1">
        <v>43433</v>
      </c>
      <c r="B2144">
        <v>181900097</v>
      </c>
      <c r="C2144" t="s">
        <v>1059</v>
      </c>
      <c r="D2144" t="s">
        <v>1980</v>
      </c>
      <c r="E2144" s="2">
        <v>176</v>
      </c>
    </row>
    <row r="2145" spans="1:6" x14ac:dyDescent="0.25">
      <c r="A2145" s="1">
        <v>43433</v>
      </c>
      <c r="B2145">
        <v>181900098</v>
      </c>
      <c r="C2145" t="s">
        <v>2092</v>
      </c>
      <c r="D2145" t="s">
        <v>1980</v>
      </c>
      <c r="E2145" s="2">
        <v>17.2</v>
      </c>
    </row>
    <row r="2146" spans="1:6" x14ac:dyDescent="0.25">
      <c r="A2146" s="1">
        <v>43433</v>
      </c>
      <c r="B2146">
        <v>181900099</v>
      </c>
      <c r="C2146" t="s">
        <v>2093</v>
      </c>
      <c r="D2146" t="s">
        <v>1980</v>
      </c>
      <c r="E2146" s="2">
        <v>61.51</v>
      </c>
    </row>
    <row r="2147" spans="1:6" x14ac:dyDescent="0.25">
      <c r="A2147" s="1">
        <v>43433</v>
      </c>
      <c r="B2147">
        <v>181900100</v>
      </c>
      <c r="C2147" t="s">
        <v>2094</v>
      </c>
      <c r="D2147" t="s">
        <v>1980</v>
      </c>
      <c r="E2147" s="2">
        <v>60.91</v>
      </c>
    </row>
    <row r="2148" spans="1:6" x14ac:dyDescent="0.25">
      <c r="A2148" s="1">
        <v>43433</v>
      </c>
      <c r="B2148">
        <v>181900101</v>
      </c>
      <c r="C2148" t="s">
        <v>398</v>
      </c>
      <c r="D2148" t="s">
        <v>786</v>
      </c>
      <c r="E2148" s="2">
        <f>422.05+798.83</f>
        <v>1220.8800000000001</v>
      </c>
    </row>
    <row r="2149" spans="1:6" x14ac:dyDescent="0.25">
      <c r="A2149" s="1">
        <v>43433</v>
      </c>
      <c r="B2149">
        <v>181900102</v>
      </c>
      <c r="C2149" t="s">
        <v>2095</v>
      </c>
      <c r="D2149" t="s">
        <v>1980</v>
      </c>
      <c r="E2149" s="2">
        <v>73.459999999999994</v>
      </c>
    </row>
    <row r="2150" spans="1:6" x14ac:dyDescent="0.25">
      <c r="A2150" s="1">
        <v>43433</v>
      </c>
      <c r="B2150">
        <v>181900103</v>
      </c>
      <c r="C2150" t="s">
        <v>2096</v>
      </c>
      <c r="D2150" t="s">
        <v>1980</v>
      </c>
      <c r="E2150" s="2">
        <v>364.56</v>
      </c>
    </row>
    <row r="2151" spans="1:6" x14ac:dyDescent="0.25">
      <c r="A2151" s="1">
        <v>43433</v>
      </c>
      <c r="B2151">
        <v>181900104</v>
      </c>
      <c r="C2151" t="s">
        <v>2097</v>
      </c>
      <c r="D2151" t="s">
        <v>1980</v>
      </c>
      <c r="E2151" s="2">
        <v>45.17</v>
      </c>
    </row>
    <row r="2152" spans="1:6" x14ac:dyDescent="0.25">
      <c r="A2152" s="1">
        <v>43433</v>
      </c>
      <c r="B2152">
        <v>181900105</v>
      </c>
      <c r="C2152" t="s">
        <v>2098</v>
      </c>
      <c r="D2152" t="s">
        <v>1980</v>
      </c>
      <c r="E2152" s="2">
        <v>87.43</v>
      </c>
    </row>
    <row r="2153" spans="1:6" x14ac:dyDescent="0.25">
      <c r="A2153" s="1">
        <v>43433</v>
      </c>
      <c r="B2153">
        <v>181900106</v>
      </c>
      <c r="C2153" t="s">
        <v>917</v>
      </c>
      <c r="D2153" t="s">
        <v>1980</v>
      </c>
      <c r="E2153" s="2">
        <v>17.850000000000001</v>
      </c>
    </row>
    <row r="2154" spans="1:6" x14ac:dyDescent="0.25">
      <c r="A2154" s="1">
        <v>43433</v>
      </c>
      <c r="B2154">
        <v>181900107</v>
      </c>
      <c r="C2154" t="s">
        <v>2099</v>
      </c>
      <c r="D2154" t="s">
        <v>1980</v>
      </c>
      <c r="E2154" s="2">
        <v>32.15</v>
      </c>
    </row>
    <row r="2155" spans="1:6" x14ac:dyDescent="0.25">
      <c r="A2155" s="1">
        <v>43433</v>
      </c>
      <c r="B2155">
        <v>181900108</v>
      </c>
      <c r="C2155" t="s">
        <v>1734</v>
      </c>
      <c r="D2155" t="s">
        <v>1980</v>
      </c>
      <c r="E2155" s="2">
        <v>189.54</v>
      </c>
    </row>
    <row r="2156" spans="1:6" x14ac:dyDescent="0.25">
      <c r="A2156" s="1">
        <v>43433</v>
      </c>
      <c r="B2156">
        <v>181900109</v>
      </c>
      <c r="C2156" t="s">
        <v>2100</v>
      </c>
      <c r="D2156" t="s">
        <v>1980</v>
      </c>
      <c r="E2156" s="2">
        <v>129.44</v>
      </c>
    </row>
    <row r="2157" spans="1:6" x14ac:dyDescent="0.25">
      <c r="A2157" s="1">
        <v>43433</v>
      </c>
      <c r="B2157">
        <v>181900110</v>
      </c>
      <c r="C2157" t="s">
        <v>2101</v>
      </c>
      <c r="D2157" t="s">
        <v>1980</v>
      </c>
      <c r="E2157" s="2">
        <v>61.88</v>
      </c>
    </row>
    <row r="2158" spans="1:6" x14ac:dyDescent="0.25">
      <c r="A2158" s="1">
        <v>43433</v>
      </c>
      <c r="B2158">
        <v>181900111</v>
      </c>
      <c r="C2158" t="s">
        <v>2102</v>
      </c>
      <c r="D2158" t="s">
        <v>1980</v>
      </c>
      <c r="E2158" s="2">
        <v>71.03</v>
      </c>
    </row>
    <row r="2159" spans="1:6" x14ac:dyDescent="0.25">
      <c r="A2159" s="1">
        <v>43434</v>
      </c>
      <c r="B2159">
        <v>120010</v>
      </c>
      <c r="C2159" t="s">
        <v>272</v>
      </c>
      <c r="D2159" t="s">
        <v>2103</v>
      </c>
      <c r="E2159" s="2">
        <v>520</v>
      </c>
    </row>
    <row r="2160" spans="1:6" x14ac:dyDescent="0.25">
      <c r="C2160" t="s">
        <v>2659</v>
      </c>
      <c r="F2160" s="9">
        <f>SUM(E1308:E2159)</f>
        <v>1440916.1800000002</v>
      </c>
    </row>
    <row r="2161" spans="1:6" x14ac:dyDescent="0.25">
      <c r="A2161" s="1">
        <v>43437</v>
      </c>
      <c r="B2161">
        <v>120011</v>
      </c>
      <c r="C2161" t="s">
        <v>2104</v>
      </c>
      <c r="D2161" t="s">
        <v>2105</v>
      </c>
      <c r="E2161" s="2">
        <v>942</v>
      </c>
      <c r="F2161" s="6" t="s">
        <v>598</v>
      </c>
    </row>
    <row r="2162" spans="1:6" x14ac:dyDescent="0.25">
      <c r="A2162" s="1">
        <v>43437</v>
      </c>
      <c r="B2162">
        <v>201800113</v>
      </c>
      <c r="C2162" t="s">
        <v>1612</v>
      </c>
      <c r="D2162" t="s">
        <v>2106</v>
      </c>
      <c r="E2162" s="2">
        <v>480</v>
      </c>
    </row>
    <row r="2163" spans="1:6" x14ac:dyDescent="0.25">
      <c r="A2163" s="1">
        <v>43439</v>
      </c>
      <c r="B2163">
        <v>120012</v>
      </c>
      <c r="C2163" t="s">
        <v>2107</v>
      </c>
      <c r="D2163" t="s">
        <v>2108</v>
      </c>
      <c r="E2163" s="2">
        <v>4077.6</v>
      </c>
    </row>
    <row r="2164" spans="1:6" x14ac:dyDescent="0.25">
      <c r="A2164" s="1">
        <v>43439</v>
      </c>
      <c r="B2164">
        <v>120013</v>
      </c>
      <c r="C2164" t="s">
        <v>67</v>
      </c>
      <c r="D2164" t="s">
        <v>2109</v>
      </c>
      <c r="E2164" s="2">
        <v>2441.25</v>
      </c>
    </row>
    <row r="2165" spans="1:6" x14ac:dyDescent="0.25">
      <c r="A2165" s="1">
        <v>43439</v>
      </c>
      <c r="B2165">
        <v>120014</v>
      </c>
      <c r="C2165" t="s">
        <v>2110</v>
      </c>
      <c r="D2165" t="s">
        <v>2111</v>
      </c>
      <c r="E2165" s="2">
        <v>60</v>
      </c>
    </row>
    <row r="2166" spans="1:6" x14ac:dyDescent="0.25">
      <c r="A2166" s="1">
        <v>43439</v>
      </c>
      <c r="B2166">
        <v>120015</v>
      </c>
      <c r="C2166" t="s">
        <v>2112</v>
      </c>
      <c r="D2166" t="s">
        <v>2113</v>
      </c>
      <c r="E2166" s="2">
        <v>18</v>
      </c>
    </row>
    <row r="2167" spans="1:6" x14ac:dyDescent="0.25">
      <c r="A2167" s="1">
        <v>43439</v>
      </c>
      <c r="B2167">
        <v>120016</v>
      </c>
      <c r="C2167" t="s">
        <v>68</v>
      </c>
      <c r="D2167" t="s">
        <v>2114</v>
      </c>
      <c r="E2167" s="2">
        <v>88.34</v>
      </c>
    </row>
    <row r="2168" spans="1:6" x14ac:dyDescent="0.25">
      <c r="A2168" s="1">
        <v>43439</v>
      </c>
      <c r="B2168">
        <v>120017</v>
      </c>
      <c r="C2168" t="s">
        <v>199</v>
      </c>
      <c r="D2168" t="s">
        <v>2115</v>
      </c>
      <c r="E2168" s="2">
        <v>1156</v>
      </c>
    </row>
    <row r="2169" spans="1:6" x14ac:dyDescent="0.25">
      <c r="A2169" s="1">
        <v>43439</v>
      </c>
      <c r="B2169">
        <v>120018</v>
      </c>
      <c r="C2169" t="s">
        <v>1809</v>
      </c>
      <c r="D2169" t="s">
        <v>2116</v>
      </c>
      <c r="E2169" s="2">
        <v>1960.75</v>
      </c>
    </row>
    <row r="2170" spans="1:6" x14ac:dyDescent="0.25">
      <c r="A2170" s="1">
        <v>43439</v>
      </c>
      <c r="B2170">
        <v>120019</v>
      </c>
      <c r="C2170" t="s">
        <v>72</v>
      </c>
      <c r="D2170" t="s">
        <v>2117</v>
      </c>
      <c r="E2170" s="2">
        <v>140.28</v>
      </c>
    </row>
    <row r="2171" spans="1:6" x14ac:dyDescent="0.25">
      <c r="A2171" s="1">
        <v>43439</v>
      </c>
      <c r="B2171">
        <v>120020</v>
      </c>
      <c r="C2171" t="s">
        <v>2118</v>
      </c>
      <c r="D2171" t="s">
        <v>2119</v>
      </c>
      <c r="E2171" s="2">
        <v>975</v>
      </c>
    </row>
    <row r="2172" spans="1:6" x14ac:dyDescent="0.25">
      <c r="A2172" s="1">
        <v>43439</v>
      </c>
      <c r="B2172">
        <v>120021</v>
      </c>
      <c r="C2172" t="s">
        <v>614</v>
      </c>
      <c r="D2172" t="s">
        <v>2120</v>
      </c>
      <c r="E2172" s="2">
        <v>55</v>
      </c>
    </row>
    <row r="2173" spans="1:6" x14ac:dyDescent="0.25">
      <c r="A2173" s="1">
        <v>43439</v>
      </c>
      <c r="B2173">
        <v>120021</v>
      </c>
      <c r="C2173" t="s">
        <v>614</v>
      </c>
      <c r="D2173" t="s">
        <v>2111</v>
      </c>
      <c r="E2173" s="2">
        <v>65</v>
      </c>
    </row>
    <row r="2174" spans="1:6" x14ac:dyDescent="0.25">
      <c r="A2174" s="1">
        <v>43439</v>
      </c>
      <c r="B2174">
        <v>120022</v>
      </c>
      <c r="C2174" t="s">
        <v>1338</v>
      </c>
      <c r="D2174" t="s">
        <v>2121</v>
      </c>
      <c r="E2174" s="2">
        <v>2124</v>
      </c>
    </row>
    <row r="2175" spans="1:6" x14ac:dyDescent="0.25">
      <c r="A2175" s="1">
        <v>43439</v>
      </c>
      <c r="B2175">
        <v>120023</v>
      </c>
      <c r="C2175" t="s">
        <v>11</v>
      </c>
      <c r="D2175" t="s">
        <v>491</v>
      </c>
      <c r="E2175" s="2">
        <v>143.44999999999999</v>
      </c>
    </row>
    <row r="2176" spans="1:6" x14ac:dyDescent="0.25">
      <c r="A2176" s="1">
        <v>43439</v>
      </c>
      <c r="B2176">
        <v>120024</v>
      </c>
      <c r="C2176" t="s">
        <v>1345</v>
      </c>
      <c r="D2176" t="s">
        <v>2122</v>
      </c>
      <c r="E2176" s="2">
        <v>775.69</v>
      </c>
    </row>
    <row r="2177" spans="1:5" x14ac:dyDescent="0.25">
      <c r="A2177" s="1">
        <v>43439</v>
      </c>
      <c r="B2177">
        <v>120025</v>
      </c>
      <c r="C2177" t="s">
        <v>77</v>
      </c>
      <c r="D2177" t="s">
        <v>2123</v>
      </c>
      <c r="E2177" s="2">
        <v>79.36</v>
      </c>
    </row>
    <row r="2178" spans="1:5" x14ac:dyDescent="0.25">
      <c r="A2178" s="1">
        <v>43439</v>
      </c>
      <c r="B2178">
        <v>120026</v>
      </c>
      <c r="C2178" t="s">
        <v>80</v>
      </c>
      <c r="D2178" t="s">
        <v>2124</v>
      </c>
      <c r="E2178" s="2">
        <v>65.83</v>
      </c>
    </row>
    <row r="2179" spans="1:5" x14ac:dyDescent="0.25">
      <c r="A2179" s="1">
        <v>43439</v>
      </c>
      <c r="B2179">
        <v>120027</v>
      </c>
      <c r="C2179" t="s">
        <v>80</v>
      </c>
      <c r="D2179" t="s">
        <v>2124</v>
      </c>
      <c r="E2179" s="2">
        <v>147.79</v>
      </c>
    </row>
    <row r="2180" spans="1:5" x14ac:dyDescent="0.25">
      <c r="A2180" s="1">
        <v>43439</v>
      </c>
      <c r="B2180">
        <v>120028</v>
      </c>
      <c r="C2180" t="s">
        <v>2125</v>
      </c>
      <c r="D2180" t="s">
        <v>2126</v>
      </c>
      <c r="E2180" s="2">
        <v>60</v>
      </c>
    </row>
    <row r="2181" spans="1:5" x14ac:dyDescent="0.25">
      <c r="A2181" s="1">
        <v>43439</v>
      </c>
      <c r="B2181">
        <v>120028</v>
      </c>
      <c r="C2181" t="s">
        <v>2125</v>
      </c>
      <c r="D2181" t="s">
        <v>2111</v>
      </c>
      <c r="E2181" s="2">
        <v>70</v>
      </c>
    </row>
    <row r="2182" spans="1:5" x14ac:dyDescent="0.25">
      <c r="A2182" s="1">
        <v>43439</v>
      </c>
      <c r="B2182">
        <v>120029</v>
      </c>
      <c r="C2182" t="s">
        <v>1110</v>
      </c>
      <c r="D2182" t="s">
        <v>717</v>
      </c>
      <c r="E2182" s="2">
        <v>843.73</v>
      </c>
    </row>
    <row r="2183" spans="1:5" x14ac:dyDescent="0.25">
      <c r="A2183" s="1">
        <v>43439</v>
      </c>
      <c r="B2183">
        <v>120029</v>
      </c>
      <c r="C2183" t="s">
        <v>1110</v>
      </c>
      <c r="D2183" t="s">
        <v>2127</v>
      </c>
      <c r="E2183" s="3">
        <v>-68.709999999999994</v>
      </c>
    </row>
    <row r="2184" spans="1:5" x14ac:dyDescent="0.25">
      <c r="A2184" s="1">
        <v>43439</v>
      </c>
      <c r="B2184">
        <v>120030</v>
      </c>
      <c r="C2184" t="s">
        <v>2128</v>
      </c>
      <c r="D2184" t="s">
        <v>2129</v>
      </c>
      <c r="E2184" s="2">
        <v>840.84</v>
      </c>
    </row>
    <row r="2185" spans="1:5" x14ac:dyDescent="0.25">
      <c r="A2185" s="1">
        <v>43439</v>
      </c>
      <c r="B2185">
        <v>120036</v>
      </c>
      <c r="C2185" t="s">
        <v>631</v>
      </c>
      <c r="D2185" t="s">
        <v>2130</v>
      </c>
      <c r="E2185" s="2">
        <v>39.979999999999997</v>
      </c>
    </row>
    <row r="2186" spans="1:5" x14ac:dyDescent="0.25">
      <c r="A2186" s="1">
        <v>43439</v>
      </c>
      <c r="B2186">
        <v>120036</v>
      </c>
      <c r="C2186" t="s">
        <v>631</v>
      </c>
      <c r="D2186" t="s">
        <v>2131</v>
      </c>
      <c r="E2186" s="2">
        <v>200.65</v>
      </c>
    </row>
    <row r="2187" spans="1:5" x14ac:dyDescent="0.25">
      <c r="A2187" s="1">
        <v>43439</v>
      </c>
      <c r="B2187">
        <v>120036</v>
      </c>
      <c r="C2187" t="s">
        <v>631</v>
      </c>
      <c r="D2187" t="s">
        <v>2132</v>
      </c>
      <c r="E2187" s="2">
        <v>536.70000000000005</v>
      </c>
    </row>
    <row r="2188" spans="1:5" x14ac:dyDescent="0.25">
      <c r="A2188" s="1">
        <v>43439</v>
      </c>
      <c r="B2188">
        <v>120036</v>
      </c>
      <c r="C2188" t="s">
        <v>631</v>
      </c>
      <c r="D2188" t="s">
        <v>2133</v>
      </c>
      <c r="E2188" s="2">
        <v>293.68</v>
      </c>
    </row>
    <row r="2189" spans="1:5" x14ac:dyDescent="0.25">
      <c r="A2189" s="1">
        <v>43439</v>
      </c>
      <c r="B2189">
        <v>120036</v>
      </c>
      <c r="C2189" t="s">
        <v>631</v>
      </c>
      <c r="D2189" t="s">
        <v>2134</v>
      </c>
      <c r="E2189" s="2">
        <v>96.58</v>
      </c>
    </row>
    <row r="2190" spans="1:5" x14ac:dyDescent="0.25">
      <c r="A2190" s="1">
        <v>43439</v>
      </c>
      <c r="B2190">
        <v>120036</v>
      </c>
      <c r="C2190" t="s">
        <v>631</v>
      </c>
      <c r="D2190" t="s">
        <v>2135</v>
      </c>
      <c r="E2190" s="2">
        <v>79.52</v>
      </c>
    </row>
    <row r="2191" spans="1:5" x14ac:dyDescent="0.25">
      <c r="A2191" s="1">
        <v>43439</v>
      </c>
      <c r="B2191">
        <v>120036</v>
      </c>
      <c r="C2191" t="s">
        <v>631</v>
      </c>
      <c r="D2191" t="s">
        <v>2136</v>
      </c>
      <c r="E2191" s="2">
        <v>66</v>
      </c>
    </row>
    <row r="2192" spans="1:5" x14ac:dyDescent="0.25">
      <c r="A2192" s="1">
        <v>43439</v>
      </c>
      <c r="B2192">
        <v>120036</v>
      </c>
      <c r="C2192" t="s">
        <v>631</v>
      </c>
      <c r="D2192" t="s">
        <v>2137</v>
      </c>
      <c r="E2192" s="2">
        <v>225.86</v>
      </c>
    </row>
    <row r="2193" spans="1:5" x14ac:dyDescent="0.25">
      <c r="A2193" s="1">
        <v>43439</v>
      </c>
      <c r="B2193">
        <v>120036</v>
      </c>
      <c r="C2193" t="s">
        <v>631</v>
      </c>
      <c r="D2193" t="s">
        <v>2138</v>
      </c>
      <c r="E2193" s="2">
        <v>97.74</v>
      </c>
    </row>
    <row r="2194" spans="1:5" x14ac:dyDescent="0.25">
      <c r="A2194" s="1">
        <v>43439</v>
      </c>
      <c r="B2194">
        <v>120036</v>
      </c>
      <c r="C2194" t="s">
        <v>631</v>
      </c>
      <c r="D2194" t="s">
        <v>2139</v>
      </c>
      <c r="E2194" s="2">
        <v>494.53</v>
      </c>
    </row>
    <row r="2195" spans="1:5" x14ac:dyDescent="0.25">
      <c r="A2195" s="1">
        <v>43439</v>
      </c>
      <c r="B2195">
        <v>120036</v>
      </c>
      <c r="C2195" t="s">
        <v>631</v>
      </c>
      <c r="D2195" t="s">
        <v>2140</v>
      </c>
      <c r="E2195" s="2">
        <v>693.18</v>
      </c>
    </row>
    <row r="2196" spans="1:5" x14ac:dyDescent="0.25">
      <c r="A2196" s="1">
        <v>43439</v>
      </c>
      <c r="B2196">
        <v>120036</v>
      </c>
      <c r="C2196" t="s">
        <v>631</v>
      </c>
      <c r="D2196" t="s">
        <v>2141</v>
      </c>
      <c r="E2196" s="2">
        <v>252.08</v>
      </c>
    </row>
    <row r="2197" spans="1:5" x14ac:dyDescent="0.25">
      <c r="A2197" s="1">
        <v>43439</v>
      </c>
      <c r="B2197">
        <v>120036</v>
      </c>
      <c r="C2197" t="s">
        <v>631</v>
      </c>
      <c r="D2197" t="s">
        <v>2141</v>
      </c>
      <c r="E2197" s="2">
        <v>224.33</v>
      </c>
    </row>
    <row r="2198" spans="1:5" x14ac:dyDescent="0.25">
      <c r="A2198" s="1">
        <v>43439</v>
      </c>
      <c r="B2198">
        <v>120036</v>
      </c>
      <c r="C2198" t="s">
        <v>631</v>
      </c>
      <c r="D2198" t="s">
        <v>2142</v>
      </c>
      <c r="E2198" s="2">
        <v>97.48</v>
      </c>
    </row>
    <row r="2199" spans="1:5" x14ac:dyDescent="0.25">
      <c r="A2199" s="1">
        <v>43439</v>
      </c>
      <c r="B2199">
        <v>120036</v>
      </c>
      <c r="C2199" t="s">
        <v>631</v>
      </c>
      <c r="D2199" t="s">
        <v>2143</v>
      </c>
      <c r="E2199" s="2">
        <v>8.7200000000000006</v>
      </c>
    </row>
    <row r="2200" spans="1:5" x14ac:dyDescent="0.25">
      <c r="A2200" s="1">
        <v>43439</v>
      </c>
      <c r="B2200">
        <v>120036</v>
      </c>
      <c r="C2200" t="s">
        <v>631</v>
      </c>
      <c r="D2200" t="s">
        <v>2144</v>
      </c>
      <c r="E2200" s="2">
        <v>132.37</v>
      </c>
    </row>
    <row r="2201" spans="1:5" x14ac:dyDescent="0.25">
      <c r="A2201" s="1">
        <v>43439</v>
      </c>
      <c r="B2201">
        <v>120036</v>
      </c>
      <c r="C2201" t="s">
        <v>631</v>
      </c>
      <c r="D2201" t="s">
        <v>2145</v>
      </c>
      <c r="E2201" s="2">
        <v>234.16</v>
      </c>
    </row>
    <row r="2202" spans="1:5" x14ac:dyDescent="0.25">
      <c r="A2202" s="1">
        <v>43439</v>
      </c>
      <c r="B2202">
        <v>120036</v>
      </c>
      <c r="C2202" t="s">
        <v>631</v>
      </c>
      <c r="D2202" t="s">
        <v>2146</v>
      </c>
      <c r="E2202" s="2">
        <v>193.15</v>
      </c>
    </row>
    <row r="2203" spans="1:5" x14ac:dyDescent="0.25">
      <c r="A2203" s="1">
        <v>43439</v>
      </c>
      <c r="B2203">
        <v>120036</v>
      </c>
      <c r="C2203" t="s">
        <v>631</v>
      </c>
      <c r="D2203" t="s">
        <v>2147</v>
      </c>
      <c r="E2203" s="2">
        <v>103.1</v>
      </c>
    </row>
    <row r="2204" spans="1:5" x14ac:dyDescent="0.25">
      <c r="A2204" s="1">
        <v>43439</v>
      </c>
      <c r="B2204">
        <v>120036</v>
      </c>
      <c r="C2204" t="s">
        <v>631</v>
      </c>
      <c r="D2204" t="s">
        <v>2148</v>
      </c>
      <c r="E2204" s="2">
        <v>88.13</v>
      </c>
    </row>
    <row r="2205" spans="1:5" x14ac:dyDescent="0.25">
      <c r="A2205" s="1">
        <v>43439</v>
      </c>
      <c r="B2205">
        <v>120036</v>
      </c>
      <c r="C2205" t="s">
        <v>631</v>
      </c>
      <c r="D2205" t="s">
        <v>2143</v>
      </c>
      <c r="E2205" s="2">
        <v>14.83</v>
      </c>
    </row>
    <row r="2206" spans="1:5" x14ac:dyDescent="0.25">
      <c r="A2206" s="1">
        <v>43439</v>
      </c>
      <c r="B2206">
        <v>120036</v>
      </c>
      <c r="C2206" t="s">
        <v>631</v>
      </c>
      <c r="D2206" t="s">
        <v>481</v>
      </c>
      <c r="E2206" s="2">
        <v>84.37</v>
      </c>
    </row>
    <row r="2207" spans="1:5" x14ac:dyDescent="0.25">
      <c r="A2207" s="1">
        <v>43439</v>
      </c>
      <c r="B2207">
        <v>120036</v>
      </c>
      <c r="C2207" t="s">
        <v>631</v>
      </c>
      <c r="D2207" t="s">
        <v>2149</v>
      </c>
      <c r="E2207" s="2">
        <v>98.98</v>
      </c>
    </row>
    <row r="2208" spans="1:5" x14ac:dyDescent="0.25">
      <c r="A2208" s="1">
        <v>43439</v>
      </c>
      <c r="B2208">
        <v>120037</v>
      </c>
      <c r="C2208" t="s">
        <v>16</v>
      </c>
      <c r="D2208" t="s">
        <v>2150</v>
      </c>
      <c r="E2208" s="2">
        <v>1003.4</v>
      </c>
    </row>
    <row r="2209" spans="1:5" x14ac:dyDescent="0.25">
      <c r="A2209" s="1">
        <v>43439</v>
      </c>
      <c r="B2209">
        <v>120038</v>
      </c>
      <c r="C2209" t="s">
        <v>2151</v>
      </c>
      <c r="D2209" t="s">
        <v>2152</v>
      </c>
      <c r="E2209" s="2">
        <v>50</v>
      </c>
    </row>
    <row r="2210" spans="1:5" x14ac:dyDescent="0.25">
      <c r="A2210" s="1">
        <v>43439</v>
      </c>
      <c r="B2210">
        <v>120039</v>
      </c>
      <c r="C2210" t="s">
        <v>2153</v>
      </c>
      <c r="D2210" t="s">
        <v>2154</v>
      </c>
      <c r="E2210" s="2">
        <v>1071.25</v>
      </c>
    </row>
    <row r="2211" spans="1:5" x14ac:dyDescent="0.25">
      <c r="A2211" s="1">
        <v>43439</v>
      </c>
      <c r="B2211">
        <v>120040</v>
      </c>
      <c r="C2211" t="s">
        <v>2155</v>
      </c>
      <c r="D2211" t="s">
        <v>2156</v>
      </c>
      <c r="E2211" s="2">
        <v>1470</v>
      </c>
    </row>
    <row r="2212" spans="1:5" x14ac:dyDescent="0.25">
      <c r="A2212" s="1">
        <v>43439</v>
      </c>
      <c r="B2212">
        <v>120041</v>
      </c>
      <c r="C2212" t="s">
        <v>94</v>
      </c>
      <c r="D2212" t="s">
        <v>2143</v>
      </c>
      <c r="E2212" s="2">
        <v>316.2</v>
      </c>
    </row>
    <row r="2213" spans="1:5" x14ac:dyDescent="0.25">
      <c r="A2213" s="1">
        <v>43439</v>
      </c>
      <c r="B2213">
        <v>120042</v>
      </c>
      <c r="C2213" t="s">
        <v>19</v>
      </c>
      <c r="D2213" t="s">
        <v>2157</v>
      </c>
      <c r="E2213" s="2">
        <v>1066</v>
      </c>
    </row>
    <row r="2214" spans="1:5" x14ac:dyDescent="0.25">
      <c r="A2214" s="1">
        <v>43439</v>
      </c>
      <c r="B2214">
        <v>120043</v>
      </c>
      <c r="C2214" t="s">
        <v>1371</v>
      </c>
      <c r="D2214" t="s">
        <v>2158</v>
      </c>
      <c r="E2214" s="2">
        <v>395.25</v>
      </c>
    </row>
    <row r="2215" spans="1:5" x14ac:dyDescent="0.25">
      <c r="A2215" s="1">
        <v>43439</v>
      </c>
      <c r="B2215">
        <v>181900112</v>
      </c>
      <c r="C2215" t="s">
        <v>2159</v>
      </c>
      <c r="D2215" t="s">
        <v>1980</v>
      </c>
      <c r="E2215" s="2">
        <v>398.4</v>
      </c>
    </row>
    <row r="2216" spans="1:5" x14ac:dyDescent="0.25">
      <c r="A2216" s="1">
        <v>43439</v>
      </c>
      <c r="B2216">
        <v>181900113</v>
      </c>
      <c r="C2216" t="s">
        <v>393</v>
      </c>
      <c r="D2216" t="s">
        <v>2160</v>
      </c>
      <c r="E2216" s="2">
        <v>178.3</v>
      </c>
    </row>
    <row r="2217" spans="1:5" x14ac:dyDescent="0.25">
      <c r="A2217" s="1">
        <v>43439</v>
      </c>
      <c r="B2217">
        <v>181900114</v>
      </c>
      <c r="C2217" t="s">
        <v>2161</v>
      </c>
      <c r="D2217" t="s">
        <v>2162</v>
      </c>
      <c r="E2217" s="2">
        <v>300</v>
      </c>
    </row>
    <row r="2218" spans="1:5" x14ac:dyDescent="0.25">
      <c r="A2218" s="1">
        <v>43439</v>
      </c>
      <c r="B2218">
        <v>181900115</v>
      </c>
      <c r="C2218" t="s">
        <v>2163</v>
      </c>
      <c r="D2218" t="s">
        <v>1980</v>
      </c>
      <c r="E2218" s="2">
        <v>60.24</v>
      </c>
    </row>
    <row r="2219" spans="1:5" x14ac:dyDescent="0.25">
      <c r="A2219" s="1">
        <v>43439</v>
      </c>
      <c r="B2219">
        <v>181900116</v>
      </c>
      <c r="C2219" t="s">
        <v>2164</v>
      </c>
      <c r="D2219" t="s">
        <v>1980</v>
      </c>
      <c r="E2219" s="2">
        <v>88.04</v>
      </c>
    </row>
    <row r="2220" spans="1:5" x14ac:dyDescent="0.25">
      <c r="A2220" s="1">
        <v>43440</v>
      </c>
      <c r="B2220">
        <v>120044</v>
      </c>
      <c r="C2220" t="s">
        <v>2165</v>
      </c>
      <c r="D2220" t="s">
        <v>2166</v>
      </c>
      <c r="E2220" s="2">
        <f>736.78+490+210+401.11+358.39</f>
        <v>2196.2799999999997</v>
      </c>
    </row>
    <row r="2221" spans="1:5" x14ac:dyDescent="0.25">
      <c r="A2221" s="1">
        <v>43440</v>
      </c>
      <c r="B2221">
        <v>120045</v>
      </c>
      <c r="C2221" t="s">
        <v>22</v>
      </c>
      <c r="D2221" t="s">
        <v>23</v>
      </c>
      <c r="E2221" s="2">
        <v>1633.65</v>
      </c>
    </row>
    <row r="2222" spans="1:5" x14ac:dyDescent="0.25">
      <c r="A2222" s="1">
        <v>43440</v>
      </c>
      <c r="B2222">
        <v>120046</v>
      </c>
      <c r="C2222" t="s">
        <v>97</v>
      </c>
      <c r="D2222" t="s">
        <v>2167</v>
      </c>
      <c r="E2222" s="2">
        <v>799.9</v>
      </c>
    </row>
    <row r="2223" spans="1:5" x14ac:dyDescent="0.25">
      <c r="A2223" s="1">
        <v>43440</v>
      </c>
      <c r="B2223">
        <v>120047</v>
      </c>
      <c r="C2223" t="s">
        <v>100</v>
      </c>
      <c r="D2223" t="s">
        <v>2168</v>
      </c>
      <c r="E2223" s="2">
        <f>170.77+1425.44+673.34</f>
        <v>2269.5500000000002</v>
      </c>
    </row>
    <row r="2224" spans="1:5" x14ac:dyDescent="0.25">
      <c r="A2224" s="1">
        <v>43440</v>
      </c>
      <c r="B2224">
        <v>120048</v>
      </c>
      <c r="C2224" t="s">
        <v>2169</v>
      </c>
      <c r="D2224" t="s">
        <v>36</v>
      </c>
      <c r="E2224" s="2">
        <v>28.5</v>
      </c>
    </row>
    <row r="2225" spans="1:5" x14ac:dyDescent="0.25">
      <c r="A2225" s="1">
        <v>43440</v>
      </c>
      <c r="B2225">
        <v>120049</v>
      </c>
      <c r="C2225" t="s">
        <v>828</v>
      </c>
      <c r="D2225" t="s">
        <v>2170</v>
      </c>
      <c r="E2225" s="2">
        <v>250</v>
      </c>
    </row>
    <row r="2226" spans="1:5" x14ac:dyDescent="0.25">
      <c r="A2226" s="1">
        <v>43440</v>
      </c>
      <c r="B2226">
        <v>120050</v>
      </c>
      <c r="C2226" t="s">
        <v>241</v>
      </c>
      <c r="D2226" t="s">
        <v>242</v>
      </c>
      <c r="E2226" s="2">
        <v>2100</v>
      </c>
    </row>
    <row r="2227" spans="1:5" x14ac:dyDescent="0.25">
      <c r="A2227" s="1">
        <v>43440</v>
      </c>
      <c r="B2227">
        <v>120051</v>
      </c>
      <c r="C2227" t="s">
        <v>662</v>
      </c>
      <c r="D2227" t="s">
        <v>2171</v>
      </c>
      <c r="E2227" s="2">
        <v>99</v>
      </c>
    </row>
    <row r="2228" spans="1:5" x14ac:dyDescent="0.25">
      <c r="A2228" s="1">
        <v>43440</v>
      </c>
      <c r="B2228">
        <v>120052</v>
      </c>
      <c r="C2228" t="s">
        <v>31</v>
      </c>
      <c r="D2228" t="s">
        <v>2172</v>
      </c>
      <c r="E2228" s="2">
        <v>239.52</v>
      </c>
    </row>
    <row r="2229" spans="1:5" x14ac:dyDescent="0.25">
      <c r="A2229" s="1">
        <v>43440</v>
      </c>
      <c r="B2229">
        <v>120053</v>
      </c>
      <c r="C2229" t="s">
        <v>2173</v>
      </c>
      <c r="D2229" t="s">
        <v>2174</v>
      </c>
      <c r="E2229" s="2">
        <v>55.36</v>
      </c>
    </row>
    <row r="2230" spans="1:5" x14ac:dyDescent="0.25">
      <c r="A2230" s="1">
        <v>43440</v>
      </c>
      <c r="B2230">
        <v>120054</v>
      </c>
      <c r="C2230" t="s">
        <v>68</v>
      </c>
      <c r="D2230" t="s">
        <v>2175</v>
      </c>
      <c r="E2230" s="2">
        <v>85.49</v>
      </c>
    </row>
    <row r="2231" spans="1:5" x14ac:dyDescent="0.25">
      <c r="A2231" s="1">
        <v>43440</v>
      </c>
      <c r="B2231">
        <v>120054</v>
      </c>
      <c r="C2231" t="s">
        <v>68</v>
      </c>
      <c r="D2231" t="s">
        <v>2176</v>
      </c>
      <c r="E2231" s="2">
        <v>23.94</v>
      </c>
    </row>
    <row r="2232" spans="1:5" x14ac:dyDescent="0.25">
      <c r="A2232" s="1">
        <v>43440</v>
      </c>
      <c r="B2232">
        <v>120055</v>
      </c>
      <c r="C2232" t="s">
        <v>1180</v>
      </c>
      <c r="D2232" t="s">
        <v>2177</v>
      </c>
      <c r="E2232" s="2">
        <f>428.9+367.8</f>
        <v>796.7</v>
      </c>
    </row>
    <row r="2233" spans="1:5" x14ac:dyDescent="0.25">
      <c r="A2233" s="1">
        <v>43440</v>
      </c>
      <c r="B2233">
        <v>120056</v>
      </c>
      <c r="C2233" t="s">
        <v>1002</v>
      </c>
      <c r="D2233" t="s">
        <v>2178</v>
      </c>
      <c r="E2233" s="2">
        <v>2015</v>
      </c>
    </row>
    <row r="2234" spans="1:5" x14ac:dyDescent="0.25">
      <c r="A2234" s="1">
        <v>43440</v>
      </c>
      <c r="B2234">
        <v>120057</v>
      </c>
      <c r="C2234" t="s">
        <v>2179</v>
      </c>
      <c r="D2234" t="s">
        <v>2180</v>
      </c>
      <c r="E2234" s="2">
        <v>700</v>
      </c>
    </row>
    <row r="2235" spans="1:5" x14ac:dyDescent="0.25">
      <c r="A2235" s="1">
        <v>43440</v>
      </c>
      <c r="B2235">
        <v>120058</v>
      </c>
      <c r="C2235" t="s">
        <v>2181</v>
      </c>
      <c r="D2235" t="s">
        <v>2182</v>
      </c>
      <c r="E2235" s="2">
        <v>250</v>
      </c>
    </row>
    <row r="2236" spans="1:5" x14ac:dyDescent="0.25">
      <c r="A2236" s="1">
        <v>43440</v>
      </c>
      <c r="B2236">
        <v>120059</v>
      </c>
      <c r="C2236" t="s">
        <v>852</v>
      </c>
      <c r="D2236" t="s">
        <v>2183</v>
      </c>
      <c r="E2236" s="2">
        <v>250</v>
      </c>
    </row>
    <row r="2237" spans="1:5" x14ac:dyDescent="0.25">
      <c r="A2237" s="1">
        <v>43440</v>
      </c>
      <c r="B2237">
        <v>120060</v>
      </c>
      <c r="C2237" t="s">
        <v>2184</v>
      </c>
      <c r="D2237" t="s">
        <v>2185</v>
      </c>
      <c r="E2237" s="2">
        <v>703</v>
      </c>
    </row>
    <row r="2238" spans="1:5" x14ac:dyDescent="0.25">
      <c r="A2238" s="1">
        <v>43440</v>
      </c>
      <c r="B2238">
        <v>120061</v>
      </c>
      <c r="C2238" t="s">
        <v>256</v>
      </c>
      <c r="D2238" t="s">
        <v>2186</v>
      </c>
      <c r="E2238" s="2">
        <v>692.58</v>
      </c>
    </row>
    <row r="2239" spans="1:5" x14ac:dyDescent="0.25">
      <c r="A2239" s="1">
        <v>43440</v>
      </c>
      <c r="B2239">
        <v>120061</v>
      </c>
      <c r="C2239" t="s">
        <v>256</v>
      </c>
      <c r="D2239" t="s">
        <v>2187</v>
      </c>
      <c r="E2239" s="2">
        <v>350</v>
      </c>
    </row>
    <row r="2240" spans="1:5" x14ac:dyDescent="0.25">
      <c r="A2240" s="1">
        <v>43440</v>
      </c>
      <c r="B2240">
        <v>120061</v>
      </c>
      <c r="C2240" t="s">
        <v>256</v>
      </c>
      <c r="D2240" t="s">
        <v>464</v>
      </c>
      <c r="E2240" s="2">
        <v>1325.25</v>
      </c>
    </row>
    <row r="2241" spans="1:5" x14ac:dyDescent="0.25">
      <c r="A2241" s="1">
        <v>43440</v>
      </c>
      <c r="B2241">
        <v>120062</v>
      </c>
      <c r="C2241" t="s">
        <v>2188</v>
      </c>
      <c r="D2241" t="s">
        <v>2189</v>
      </c>
      <c r="E2241" s="2">
        <v>2371.4</v>
      </c>
    </row>
    <row r="2242" spans="1:5" x14ac:dyDescent="0.25">
      <c r="A2242" s="1">
        <v>43440</v>
      </c>
      <c r="B2242">
        <v>120063</v>
      </c>
      <c r="C2242" t="s">
        <v>199</v>
      </c>
      <c r="D2242" t="s">
        <v>2190</v>
      </c>
      <c r="E2242" s="2">
        <v>156</v>
      </c>
    </row>
    <row r="2243" spans="1:5" x14ac:dyDescent="0.25">
      <c r="A2243" s="1">
        <v>43440</v>
      </c>
      <c r="B2243">
        <v>120066</v>
      </c>
      <c r="C2243" t="s">
        <v>123</v>
      </c>
      <c r="D2243" t="s">
        <v>500</v>
      </c>
      <c r="E2243" s="2">
        <f>109.38+75.22+25.5+25.5+314.94+99.77+159.77+1188.09+216.7+47.05+41.98+11</f>
        <v>2314.9</v>
      </c>
    </row>
    <row r="2244" spans="1:5" x14ac:dyDescent="0.25">
      <c r="A2244" s="1">
        <v>43440</v>
      </c>
      <c r="B2244">
        <v>120067</v>
      </c>
      <c r="C2244" t="s">
        <v>855</v>
      </c>
      <c r="D2244" t="s">
        <v>2191</v>
      </c>
      <c r="E2244" s="2">
        <f>41.93+71.88</f>
        <v>113.81</v>
      </c>
    </row>
    <row r="2245" spans="1:5" x14ac:dyDescent="0.25">
      <c r="A2245" s="1">
        <v>43440</v>
      </c>
      <c r="B2245">
        <v>120068</v>
      </c>
      <c r="C2245" t="s">
        <v>365</v>
      </c>
      <c r="D2245" t="s">
        <v>2192</v>
      </c>
      <c r="E2245" s="2">
        <v>16.329999999999998</v>
      </c>
    </row>
    <row r="2246" spans="1:5" x14ac:dyDescent="0.25">
      <c r="A2246" s="1">
        <v>43440</v>
      </c>
      <c r="B2246">
        <v>120069</v>
      </c>
      <c r="C2246" t="s">
        <v>265</v>
      </c>
      <c r="D2246" t="s">
        <v>2193</v>
      </c>
      <c r="E2246" s="2">
        <v>3365.28</v>
      </c>
    </row>
    <row r="2247" spans="1:5" x14ac:dyDescent="0.25">
      <c r="A2247" s="1">
        <v>43440</v>
      </c>
      <c r="B2247">
        <v>120070</v>
      </c>
      <c r="C2247" t="s">
        <v>2194</v>
      </c>
      <c r="D2247" t="s">
        <v>2195</v>
      </c>
      <c r="E2247" s="2">
        <v>577</v>
      </c>
    </row>
    <row r="2248" spans="1:5" x14ac:dyDescent="0.25">
      <c r="A2248" s="1">
        <v>43440</v>
      </c>
      <c r="B2248">
        <v>120072</v>
      </c>
      <c r="C2248" t="s">
        <v>274</v>
      </c>
      <c r="D2248" t="s">
        <v>2196</v>
      </c>
      <c r="E2248" s="2">
        <v>290.32</v>
      </c>
    </row>
    <row r="2249" spans="1:5" x14ac:dyDescent="0.25">
      <c r="A2249" s="1">
        <v>43440</v>
      </c>
      <c r="B2249">
        <v>120072</v>
      </c>
      <c r="C2249" t="s">
        <v>274</v>
      </c>
      <c r="D2249" t="s">
        <v>2197</v>
      </c>
      <c r="E2249" s="2">
        <v>498.32</v>
      </c>
    </row>
    <row r="2250" spans="1:5" x14ac:dyDescent="0.25">
      <c r="A2250" s="1">
        <v>43440</v>
      </c>
      <c r="B2250">
        <v>120072</v>
      </c>
      <c r="C2250" t="s">
        <v>274</v>
      </c>
      <c r="D2250" t="s">
        <v>2198</v>
      </c>
      <c r="E2250" s="2">
        <v>3594.71</v>
      </c>
    </row>
    <row r="2251" spans="1:5" x14ac:dyDescent="0.25">
      <c r="A2251" s="1">
        <v>43440</v>
      </c>
      <c r="B2251">
        <v>120072</v>
      </c>
      <c r="C2251" t="s">
        <v>274</v>
      </c>
      <c r="D2251" t="s">
        <v>2199</v>
      </c>
      <c r="E2251" s="2">
        <v>624.24</v>
      </c>
    </row>
    <row r="2252" spans="1:5" x14ac:dyDescent="0.25">
      <c r="A2252" s="1">
        <v>43440</v>
      </c>
      <c r="B2252">
        <v>120072</v>
      </c>
      <c r="C2252" t="s">
        <v>274</v>
      </c>
      <c r="D2252" t="s">
        <v>2200</v>
      </c>
      <c r="E2252" s="2">
        <v>807.88</v>
      </c>
    </row>
    <row r="2253" spans="1:5" x14ac:dyDescent="0.25">
      <c r="A2253" s="1">
        <v>43440</v>
      </c>
      <c r="B2253">
        <v>120073</v>
      </c>
      <c r="C2253" t="s">
        <v>275</v>
      </c>
      <c r="D2253" t="s">
        <v>1013</v>
      </c>
      <c r="E2253" s="2">
        <v>260</v>
      </c>
    </row>
    <row r="2254" spans="1:5" x14ac:dyDescent="0.25">
      <c r="A2254" s="1">
        <v>43440</v>
      </c>
      <c r="B2254">
        <v>120074</v>
      </c>
      <c r="C2254" t="s">
        <v>2201</v>
      </c>
      <c r="D2254" t="s">
        <v>2202</v>
      </c>
      <c r="E2254" s="2">
        <v>500</v>
      </c>
    </row>
    <row r="2255" spans="1:5" x14ac:dyDescent="0.25">
      <c r="A2255" s="1">
        <v>43440</v>
      </c>
      <c r="B2255">
        <v>120075</v>
      </c>
      <c r="C2255" t="s">
        <v>708</v>
      </c>
      <c r="D2255" t="s">
        <v>1206</v>
      </c>
      <c r="E2255" s="2">
        <v>7767.77</v>
      </c>
    </row>
    <row r="2256" spans="1:5" x14ac:dyDescent="0.25">
      <c r="A2256" s="1">
        <v>43440</v>
      </c>
      <c r="B2256">
        <v>120076</v>
      </c>
      <c r="C2256" t="s">
        <v>1460</v>
      </c>
      <c r="D2256" t="s">
        <v>2203</v>
      </c>
      <c r="E2256" s="2">
        <v>247.5</v>
      </c>
    </row>
    <row r="2257" spans="1:5" x14ac:dyDescent="0.25">
      <c r="A2257" s="1">
        <v>43440</v>
      </c>
      <c r="B2257">
        <v>120077</v>
      </c>
      <c r="C2257" t="s">
        <v>2204</v>
      </c>
      <c r="D2257" t="s">
        <v>2202</v>
      </c>
      <c r="E2257" s="2">
        <v>500</v>
      </c>
    </row>
    <row r="2258" spans="1:5" x14ac:dyDescent="0.25">
      <c r="A2258" s="1">
        <v>43440</v>
      </c>
      <c r="B2258">
        <v>120078</v>
      </c>
      <c r="C2258" t="s">
        <v>2205</v>
      </c>
      <c r="D2258" t="s">
        <v>2206</v>
      </c>
      <c r="E2258" s="2">
        <v>240</v>
      </c>
    </row>
    <row r="2259" spans="1:5" x14ac:dyDescent="0.25">
      <c r="A2259" s="1">
        <v>43440</v>
      </c>
      <c r="B2259">
        <v>120079</v>
      </c>
      <c r="C2259" t="s">
        <v>2207</v>
      </c>
      <c r="D2259" t="s">
        <v>2202</v>
      </c>
      <c r="E2259" s="2">
        <v>500</v>
      </c>
    </row>
    <row r="2260" spans="1:5" x14ac:dyDescent="0.25">
      <c r="A2260" s="1">
        <v>43440</v>
      </c>
      <c r="B2260">
        <v>120080</v>
      </c>
      <c r="C2260" t="s">
        <v>48</v>
      </c>
      <c r="D2260" t="s">
        <v>2208</v>
      </c>
      <c r="E2260" s="2">
        <v>3644.7</v>
      </c>
    </row>
    <row r="2261" spans="1:5" x14ac:dyDescent="0.25">
      <c r="A2261" s="1">
        <v>43440</v>
      </c>
      <c r="B2261">
        <v>120081</v>
      </c>
      <c r="C2261" t="s">
        <v>2209</v>
      </c>
      <c r="D2261" t="s">
        <v>2210</v>
      </c>
      <c r="E2261" s="2">
        <v>500</v>
      </c>
    </row>
    <row r="2262" spans="1:5" x14ac:dyDescent="0.25">
      <c r="A2262" s="1">
        <v>43440</v>
      </c>
      <c r="B2262">
        <v>120083</v>
      </c>
      <c r="C2262" t="s">
        <v>74</v>
      </c>
      <c r="D2262" t="s">
        <v>2211</v>
      </c>
      <c r="E2262" s="2">
        <v>358.8</v>
      </c>
    </row>
    <row r="2263" spans="1:5" x14ac:dyDescent="0.25">
      <c r="A2263" s="1">
        <v>43440</v>
      </c>
      <c r="B2263">
        <v>120083</v>
      </c>
      <c r="C2263" t="s">
        <v>74</v>
      </c>
      <c r="D2263" t="s">
        <v>2212</v>
      </c>
      <c r="E2263" s="2">
        <v>13.49</v>
      </c>
    </row>
    <row r="2264" spans="1:5" x14ac:dyDescent="0.25">
      <c r="A2264" s="1">
        <v>43440</v>
      </c>
      <c r="B2264">
        <v>120083</v>
      </c>
      <c r="C2264" t="s">
        <v>74</v>
      </c>
      <c r="D2264" t="s">
        <v>2213</v>
      </c>
      <c r="E2264" s="2">
        <v>1200.8</v>
      </c>
    </row>
    <row r="2265" spans="1:5" x14ac:dyDescent="0.25">
      <c r="A2265" s="1">
        <v>43440</v>
      </c>
      <c r="B2265">
        <v>120083</v>
      </c>
      <c r="C2265" t="s">
        <v>74</v>
      </c>
      <c r="D2265" t="s">
        <v>2214</v>
      </c>
      <c r="E2265" s="2">
        <v>74.55</v>
      </c>
    </row>
    <row r="2266" spans="1:5" x14ac:dyDescent="0.25">
      <c r="A2266" s="1">
        <v>43440</v>
      </c>
      <c r="B2266">
        <v>120083</v>
      </c>
      <c r="C2266" t="s">
        <v>74</v>
      </c>
      <c r="D2266" t="s">
        <v>2215</v>
      </c>
      <c r="E2266" s="2">
        <v>664.7</v>
      </c>
    </row>
    <row r="2267" spans="1:5" x14ac:dyDescent="0.25">
      <c r="A2267" s="1">
        <v>43440</v>
      </c>
      <c r="B2267">
        <v>120083</v>
      </c>
      <c r="C2267" t="s">
        <v>74</v>
      </c>
      <c r="D2267" t="s">
        <v>278</v>
      </c>
      <c r="E2267" s="2">
        <v>2890</v>
      </c>
    </row>
    <row r="2268" spans="1:5" x14ac:dyDescent="0.25">
      <c r="A2268" s="1">
        <v>43440</v>
      </c>
      <c r="B2268">
        <v>120083</v>
      </c>
      <c r="C2268" t="s">
        <v>74</v>
      </c>
      <c r="D2268" t="s">
        <v>2216</v>
      </c>
      <c r="E2268" s="2">
        <v>155.27000000000001</v>
      </c>
    </row>
    <row r="2269" spans="1:5" x14ac:dyDescent="0.25">
      <c r="A2269" s="1">
        <v>43440</v>
      </c>
      <c r="B2269">
        <v>120085</v>
      </c>
      <c r="C2269" t="s">
        <v>142</v>
      </c>
      <c r="D2269" t="s">
        <v>1686</v>
      </c>
      <c r="E2269" s="2">
        <f>25.5+25.5+25.5+25.5</f>
        <v>102</v>
      </c>
    </row>
    <row r="2270" spans="1:5" x14ac:dyDescent="0.25">
      <c r="A2270" s="1">
        <v>43440</v>
      </c>
      <c r="B2270">
        <v>120086</v>
      </c>
      <c r="C2270" t="s">
        <v>1019</v>
      </c>
      <c r="D2270" t="s">
        <v>2217</v>
      </c>
      <c r="E2270" s="2">
        <v>229</v>
      </c>
    </row>
    <row r="2271" spans="1:5" x14ac:dyDescent="0.25">
      <c r="A2271" s="1">
        <v>43440</v>
      </c>
      <c r="B2271">
        <v>120087</v>
      </c>
      <c r="C2271" t="s">
        <v>2218</v>
      </c>
      <c r="D2271" t="s">
        <v>2219</v>
      </c>
      <c r="E2271" s="2">
        <f>308+308+308+308+308</f>
        <v>1540</v>
      </c>
    </row>
    <row r="2272" spans="1:5" x14ac:dyDescent="0.25">
      <c r="A2272" s="1">
        <v>43440</v>
      </c>
      <c r="B2272">
        <v>120088</v>
      </c>
      <c r="C2272" t="s">
        <v>146</v>
      </c>
      <c r="D2272" t="s">
        <v>464</v>
      </c>
      <c r="E2272" s="2">
        <v>388.54</v>
      </c>
    </row>
    <row r="2273" spans="1:5" x14ac:dyDescent="0.25">
      <c r="A2273" s="1">
        <v>43440</v>
      </c>
      <c r="B2273">
        <v>120089</v>
      </c>
      <c r="C2273" t="s">
        <v>734</v>
      </c>
      <c r="D2273" t="s">
        <v>2220</v>
      </c>
      <c r="E2273" s="2">
        <v>160</v>
      </c>
    </row>
    <row r="2274" spans="1:5" x14ac:dyDescent="0.25">
      <c r="A2274" s="1">
        <v>43440</v>
      </c>
      <c r="B2274">
        <v>120091</v>
      </c>
      <c r="C2274" t="s">
        <v>75</v>
      </c>
      <c r="D2274" t="s">
        <v>2221</v>
      </c>
      <c r="E2274" s="2">
        <f>61.29+2.38</f>
        <v>63.67</v>
      </c>
    </row>
    <row r="2275" spans="1:5" x14ac:dyDescent="0.25">
      <c r="A2275" s="1">
        <v>43440</v>
      </c>
      <c r="B2275">
        <v>120091</v>
      </c>
      <c r="C2275" t="s">
        <v>75</v>
      </c>
      <c r="D2275" t="s">
        <v>2222</v>
      </c>
      <c r="E2275" s="2">
        <v>12.16</v>
      </c>
    </row>
    <row r="2276" spans="1:5" x14ac:dyDescent="0.25">
      <c r="A2276" s="1">
        <v>43440</v>
      </c>
      <c r="B2276">
        <v>120091</v>
      </c>
      <c r="C2276" t="s">
        <v>75</v>
      </c>
      <c r="D2276" t="s">
        <v>2223</v>
      </c>
      <c r="E2276" s="2">
        <v>27.84</v>
      </c>
    </row>
    <row r="2277" spans="1:5" x14ac:dyDescent="0.25">
      <c r="A2277" s="1">
        <v>43440</v>
      </c>
      <c r="B2277">
        <v>120091</v>
      </c>
      <c r="C2277" t="s">
        <v>75</v>
      </c>
      <c r="D2277" t="s">
        <v>2222</v>
      </c>
      <c r="E2277" s="2">
        <v>12.16</v>
      </c>
    </row>
    <row r="2278" spans="1:5" x14ac:dyDescent="0.25">
      <c r="A2278" s="1">
        <v>43440</v>
      </c>
      <c r="B2278">
        <v>120092</v>
      </c>
      <c r="C2278" t="s">
        <v>875</v>
      </c>
      <c r="D2278" t="s">
        <v>2224</v>
      </c>
      <c r="E2278" s="2">
        <v>250</v>
      </c>
    </row>
    <row r="2279" spans="1:5" x14ac:dyDescent="0.25">
      <c r="A2279" s="1">
        <v>43440</v>
      </c>
      <c r="B2279">
        <v>120093</v>
      </c>
      <c r="C2279" t="s">
        <v>1491</v>
      </c>
      <c r="D2279" t="s">
        <v>538</v>
      </c>
      <c r="E2279" s="2">
        <v>132.5</v>
      </c>
    </row>
    <row r="2280" spans="1:5" x14ac:dyDescent="0.25">
      <c r="A2280" s="1">
        <v>43440</v>
      </c>
      <c r="B2280">
        <v>120094</v>
      </c>
      <c r="C2280" t="s">
        <v>744</v>
      </c>
      <c r="D2280" t="s">
        <v>745</v>
      </c>
      <c r="E2280" s="2">
        <v>3000</v>
      </c>
    </row>
    <row r="2281" spans="1:5" x14ac:dyDescent="0.25">
      <c r="A2281" s="1">
        <v>43440</v>
      </c>
      <c r="B2281">
        <v>120095</v>
      </c>
      <c r="C2281" t="s">
        <v>49</v>
      </c>
      <c r="D2281" t="s">
        <v>1224</v>
      </c>
      <c r="E2281" s="2">
        <v>939.65</v>
      </c>
    </row>
    <row r="2282" spans="1:5" x14ac:dyDescent="0.25">
      <c r="A2282" s="1">
        <v>43440</v>
      </c>
      <c r="B2282">
        <v>120096</v>
      </c>
      <c r="C2282" t="s">
        <v>2225</v>
      </c>
      <c r="D2282" t="s">
        <v>2226</v>
      </c>
      <c r="E2282" s="2">
        <v>178.2</v>
      </c>
    </row>
    <row r="2283" spans="1:5" x14ac:dyDescent="0.25">
      <c r="A2283" s="1">
        <v>43440</v>
      </c>
      <c r="B2283">
        <v>120097</v>
      </c>
      <c r="C2283" t="s">
        <v>51</v>
      </c>
      <c r="D2283" t="s">
        <v>2227</v>
      </c>
      <c r="E2283" s="2">
        <f>38.75+38</f>
        <v>76.75</v>
      </c>
    </row>
    <row r="2284" spans="1:5" x14ac:dyDescent="0.25">
      <c r="A2284" s="1">
        <v>43440</v>
      </c>
      <c r="B2284">
        <v>120098</v>
      </c>
      <c r="C2284" t="s">
        <v>151</v>
      </c>
      <c r="D2284" t="s">
        <v>2228</v>
      </c>
      <c r="E2284" s="2">
        <v>64</v>
      </c>
    </row>
    <row r="2285" spans="1:5" x14ac:dyDescent="0.25">
      <c r="A2285" s="1">
        <v>43440</v>
      </c>
      <c r="B2285">
        <v>120099</v>
      </c>
      <c r="C2285" t="s">
        <v>301</v>
      </c>
      <c r="D2285" t="s">
        <v>2229</v>
      </c>
      <c r="E2285" s="2">
        <v>3798.5</v>
      </c>
    </row>
    <row r="2286" spans="1:5" x14ac:dyDescent="0.25">
      <c r="A2286" s="1">
        <v>43440</v>
      </c>
      <c r="B2286">
        <v>120100</v>
      </c>
      <c r="C2286" t="s">
        <v>2230</v>
      </c>
      <c r="D2286" t="s">
        <v>2231</v>
      </c>
      <c r="E2286" s="2">
        <v>1599</v>
      </c>
    </row>
    <row r="2287" spans="1:5" x14ac:dyDescent="0.25">
      <c r="A2287" s="1">
        <v>43440</v>
      </c>
      <c r="B2287">
        <v>120101</v>
      </c>
      <c r="C2287" t="s">
        <v>631</v>
      </c>
      <c r="D2287" t="s">
        <v>2232</v>
      </c>
      <c r="E2287" s="2">
        <v>0</v>
      </c>
    </row>
    <row r="2288" spans="1:5" x14ac:dyDescent="0.25">
      <c r="A2288" s="1">
        <v>43440</v>
      </c>
      <c r="B2288">
        <v>120103</v>
      </c>
      <c r="C2288" t="s">
        <v>631</v>
      </c>
      <c r="D2288" t="s">
        <v>567</v>
      </c>
      <c r="E2288" s="2">
        <v>85.22</v>
      </c>
    </row>
    <row r="2289" spans="1:5" x14ac:dyDescent="0.25">
      <c r="A2289" s="1">
        <v>43440</v>
      </c>
      <c r="B2289">
        <v>120103</v>
      </c>
      <c r="C2289" t="s">
        <v>631</v>
      </c>
      <c r="D2289" t="s">
        <v>2233</v>
      </c>
      <c r="E2289" s="2">
        <v>608.98</v>
      </c>
    </row>
    <row r="2290" spans="1:5" x14ac:dyDescent="0.25">
      <c r="A2290" s="1">
        <v>43440</v>
      </c>
      <c r="B2290">
        <v>120103</v>
      </c>
      <c r="C2290" t="s">
        <v>631</v>
      </c>
      <c r="D2290" t="s">
        <v>2234</v>
      </c>
      <c r="E2290" s="2">
        <v>27.92</v>
      </c>
    </row>
    <row r="2291" spans="1:5" x14ac:dyDescent="0.25">
      <c r="A2291" s="1">
        <v>43440</v>
      </c>
      <c r="B2291">
        <v>120103</v>
      </c>
      <c r="C2291" t="s">
        <v>631</v>
      </c>
      <c r="D2291" t="s">
        <v>2235</v>
      </c>
      <c r="E2291" s="2">
        <v>28.94</v>
      </c>
    </row>
    <row r="2292" spans="1:5" x14ac:dyDescent="0.25">
      <c r="A2292" s="1">
        <v>43440</v>
      </c>
      <c r="B2292">
        <v>120103</v>
      </c>
      <c r="C2292" t="s">
        <v>631</v>
      </c>
      <c r="D2292" t="s">
        <v>2236</v>
      </c>
      <c r="E2292" s="2">
        <v>128.51</v>
      </c>
    </row>
    <row r="2293" spans="1:5" x14ac:dyDescent="0.25">
      <c r="A2293" s="1">
        <v>43440</v>
      </c>
      <c r="B2293">
        <v>120103</v>
      </c>
      <c r="C2293" t="s">
        <v>631</v>
      </c>
      <c r="D2293" t="s">
        <v>2237</v>
      </c>
      <c r="E2293" s="2">
        <v>167.33</v>
      </c>
    </row>
    <row r="2294" spans="1:5" x14ac:dyDescent="0.25">
      <c r="A2294" s="1">
        <v>43440</v>
      </c>
      <c r="B2294">
        <v>120103</v>
      </c>
      <c r="C2294" t="s">
        <v>631</v>
      </c>
      <c r="D2294" t="s">
        <v>2238</v>
      </c>
      <c r="E2294" s="2">
        <v>53.83</v>
      </c>
    </row>
    <row r="2295" spans="1:5" x14ac:dyDescent="0.25">
      <c r="A2295" s="1">
        <v>43440</v>
      </c>
      <c r="B2295">
        <v>120104</v>
      </c>
      <c r="C2295" t="s">
        <v>2239</v>
      </c>
      <c r="D2295" t="s">
        <v>2240</v>
      </c>
      <c r="E2295" s="2">
        <v>500</v>
      </c>
    </row>
    <row r="2296" spans="1:5" x14ac:dyDescent="0.25">
      <c r="A2296" s="1">
        <v>43440</v>
      </c>
      <c r="B2296">
        <v>120105</v>
      </c>
      <c r="C2296" t="s">
        <v>308</v>
      </c>
      <c r="D2296" t="s">
        <v>2241</v>
      </c>
      <c r="E2296" s="2">
        <v>511</v>
      </c>
    </row>
    <row r="2297" spans="1:5" x14ac:dyDescent="0.25">
      <c r="A2297" s="1">
        <v>43440</v>
      </c>
      <c r="B2297">
        <v>120106</v>
      </c>
      <c r="C2297" t="s">
        <v>2242</v>
      </c>
      <c r="D2297" t="s">
        <v>2243</v>
      </c>
      <c r="E2297" s="2">
        <v>13920</v>
      </c>
    </row>
    <row r="2298" spans="1:5" x14ac:dyDescent="0.25">
      <c r="A2298" s="1">
        <v>43440</v>
      </c>
      <c r="B2298">
        <v>120107</v>
      </c>
      <c r="C2298" t="s">
        <v>2244</v>
      </c>
      <c r="D2298" t="s">
        <v>2245</v>
      </c>
      <c r="E2298" s="2">
        <v>92.94</v>
      </c>
    </row>
    <row r="2299" spans="1:5" x14ac:dyDescent="0.25">
      <c r="A2299" s="1">
        <v>43440</v>
      </c>
      <c r="B2299">
        <v>120108</v>
      </c>
      <c r="C2299" t="s">
        <v>2246</v>
      </c>
      <c r="D2299" t="s">
        <v>2247</v>
      </c>
      <c r="E2299" s="2">
        <v>187</v>
      </c>
    </row>
    <row r="2300" spans="1:5" x14ac:dyDescent="0.25">
      <c r="A2300" s="1">
        <v>43440</v>
      </c>
      <c r="B2300">
        <v>120109</v>
      </c>
      <c r="C2300" t="s">
        <v>2248</v>
      </c>
      <c r="D2300" t="s">
        <v>2249</v>
      </c>
      <c r="E2300" s="2">
        <v>366.55</v>
      </c>
    </row>
    <row r="2301" spans="1:5" x14ac:dyDescent="0.25">
      <c r="A2301" s="1">
        <v>43440</v>
      </c>
      <c r="B2301">
        <v>120110</v>
      </c>
      <c r="C2301" t="s">
        <v>2250</v>
      </c>
      <c r="D2301" t="s">
        <v>2251</v>
      </c>
      <c r="E2301" s="2">
        <v>2</v>
      </c>
    </row>
    <row r="2302" spans="1:5" x14ac:dyDescent="0.25">
      <c r="A2302" s="1">
        <v>43440</v>
      </c>
      <c r="B2302">
        <v>120111</v>
      </c>
      <c r="C2302" t="s">
        <v>2252</v>
      </c>
      <c r="D2302" t="s">
        <v>2253</v>
      </c>
      <c r="E2302" s="2">
        <v>1503.13</v>
      </c>
    </row>
    <row r="2303" spans="1:5" x14ac:dyDescent="0.25">
      <c r="A2303" s="1">
        <v>43440</v>
      </c>
      <c r="B2303">
        <v>120112</v>
      </c>
      <c r="C2303" t="s">
        <v>88</v>
      </c>
      <c r="D2303" t="s">
        <v>2254</v>
      </c>
      <c r="E2303" s="2">
        <v>1000</v>
      </c>
    </row>
    <row r="2304" spans="1:5" x14ac:dyDescent="0.25">
      <c r="A2304" s="1">
        <v>43440</v>
      </c>
      <c r="B2304">
        <v>120113</v>
      </c>
      <c r="C2304" t="s">
        <v>2255</v>
      </c>
      <c r="D2304" t="s">
        <v>2256</v>
      </c>
      <c r="E2304" s="2">
        <f>85+85+85</f>
        <v>255</v>
      </c>
    </row>
    <row r="2305" spans="1:5" x14ac:dyDescent="0.25">
      <c r="A2305" s="1">
        <v>43440</v>
      </c>
      <c r="B2305">
        <v>120114</v>
      </c>
      <c r="C2305" t="s">
        <v>1270</v>
      </c>
      <c r="D2305" t="s">
        <v>2257</v>
      </c>
      <c r="E2305" s="2">
        <v>127.44</v>
      </c>
    </row>
    <row r="2306" spans="1:5" x14ac:dyDescent="0.25">
      <c r="A2306" s="1">
        <v>43440</v>
      </c>
      <c r="B2306">
        <v>120115</v>
      </c>
      <c r="C2306" t="s">
        <v>1275</v>
      </c>
      <c r="D2306" t="s">
        <v>1276</v>
      </c>
      <c r="E2306" s="2">
        <v>23400</v>
      </c>
    </row>
    <row r="2307" spans="1:5" x14ac:dyDescent="0.25">
      <c r="A2307" s="1">
        <v>43440</v>
      </c>
      <c r="B2307">
        <v>120116</v>
      </c>
      <c r="C2307" t="s">
        <v>179</v>
      </c>
      <c r="D2307" t="s">
        <v>538</v>
      </c>
      <c r="E2307" s="2">
        <v>73.680000000000007</v>
      </c>
    </row>
    <row r="2308" spans="1:5" x14ac:dyDescent="0.25">
      <c r="A2308" s="1">
        <v>43440</v>
      </c>
      <c r="B2308">
        <v>120117</v>
      </c>
      <c r="C2308" t="s">
        <v>61</v>
      </c>
      <c r="D2308" t="s">
        <v>2258</v>
      </c>
      <c r="E2308" s="2">
        <v>69.69</v>
      </c>
    </row>
    <row r="2309" spans="1:5" x14ac:dyDescent="0.25">
      <c r="A2309" s="1">
        <v>43440</v>
      </c>
      <c r="B2309">
        <v>120118</v>
      </c>
      <c r="C2309" t="s">
        <v>2259</v>
      </c>
      <c r="D2309" t="s">
        <v>598</v>
      </c>
      <c r="E2309" s="2">
        <v>0</v>
      </c>
    </row>
    <row r="2310" spans="1:5" x14ac:dyDescent="0.25">
      <c r="A2310" s="1">
        <v>43440</v>
      </c>
      <c r="B2310">
        <v>120119</v>
      </c>
      <c r="C2310" t="s">
        <v>631</v>
      </c>
      <c r="D2310" t="s">
        <v>2260</v>
      </c>
      <c r="E2310" s="2">
        <v>188.16</v>
      </c>
    </row>
    <row r="2311" spans="1:5" x14ac:dyDescent="0.25">
      <c r="A2311" s="1">
        <v>43440</v>
      </c>
      <c r="B2311">
        <v>120119</v>
      </c>
      <c r="C2311" t="s">
        <v>631</v>
      </c>
      <c r="D2311" t="s">
        <v>481</v>
      </c>
      <c r="E2311" s="2">
        <v>295.52</v>
      </c>
    </row>
    <row r="2312" spans="1:5" x14ac:dyDescent="0.25">
      <c r="A2312" s="1">
        <v>43440</v>
      </c>
      <c r="B2312">
        <v>120119</v>
      </c>
      <c r="C2312" t="s">
        <v>631</v>
      </c>
      <c r="D2312" t="s">
        <v>2261</v>
      </c>
      <c r="E2312" s="2">
        <v>608.98</v>
      </c>
    </row>
    <row r="2313" spans="1:5" x14ac:dyDescent="0.25">
      <c r="A2313" s="1">
        <v>43440</v>
      </c>
      <c r="B2313">
        <v>181900117</v>
      </c>
      <c r="C2313" t="s">
        <v>2262</v>
      </c>
      <c r="D2313" t="s">
        <v>1980</v>
      </c>
      <c r="E2313" s="2">
        <v>119</v>
      </c>
    </row>
    <row r="2314" spans="1:5" x14ac:dyDescent="0.25">
      <c r="A2314" s="1">
        <v>43440</v>
      </c>
      <c r="B2314">
        <v>181900118</v>
      </c>
      <c r="C2314" t="s">
        <v>1874</v>
      </c>
      <c r="D2314" t="s">
        <v>1980</v>
      </c>
      <c r="E2314" s="2">
        <v>36.04</v>
      </c>
    </row>
    <row r="2315" spans="1:5" x14ac:dyDescent="0.25">
      <c r="A2315" s="1">
        <v>43440</v>
      </c>
      <c r="B2315">
        <v>181900119</v>
      </c>
      <c r="C2315" t="s">
        <v>2263</v>
      </c>
      <c r="D2315" t="s">
        <v>1980</v>
      </c>
      <c r="E2315" s="2">
        <v>25.81</v>
      </c>
    </row>
    <row r="2316" spans="1:5" x14ac:dyDescent="0.25">
      <c r="A2316" s="1">
        <v>43440</v>
      </c>
      <c r="B2316">
        <v>181900120</v>
      </c>
      <c r="C2316" t="s">
        <v>2264</v>
      </c>
      <c r="D2316" t="s">
        <v>1980</v>
      </c>
      <c r="E2316" s="2">
        <v>39</v>
      </c>
    </row>
    <row r="2317" spans="1:5" x14ac:dyDescent="0.25">
      <c r="A2317" s="1">
        <v>43440</v>
      </c>
      <c r="B2317">
        <v>181900121</v>
      </c>
      <c r="C2317" t="s">
        <v>1062</v>
      </c>
      <c r="D2317" t="s">
        <v>1980</v>
      </c>
      <c r="E2317" s="2">
        <v>32.020000000000003</v>
      </c>
    </row>
    <row r="2318" spans="1:5" x14ac:dyDescent="0.25">
      <c r="A2318" s="1">
        <v>43440</v>
      </c>
      <c r="B2318">
        <v>181900122</v>
      </c>
      <c r="C2318" t="s">
        <v>2265</v>
      </c>
      <c r="D2318" t="s">
        <v>1980</v>
      </c>
      <c r="E2318" s="2">
        <v>66.84</v>
      </c>
    </row>
    <row r="2319" spans="1:5" x14ac:dyDescent="0.25">
      <c r="A2319" s="1">
        <v>43440</v>
      </c>
      <c r="B2319">
        <v>181900123</v>
      </c>
      <c r="C2319" t="s">
        <v>1295</v>
      </c>
      <c r="D2319" t="s">
        <v>1980</v>
      </c>
      <c r="E2319" s="2">
        <v>25.08</v>
      </c>
    </row>
    <row r="2320" spans="1:5" x14ac:dyDescent="0.25">
      <c r="A2320" s="1">
        <v>43440</v>
      </c>
      <c r="B2320">
        <v>181900124</v>
      </c>
      <c r="C2320" t="s">
        <v>2266</v>
      </c>
      <c r="D2320" t="s">
        <v>1980</v>
      </c>
      <c r="E2320" s="2">
        <v>37.71</v>
      </c>
    </row>
    <row r="2321" spans="1:5" x14ac:dyDescent="0.25">
      <c r="A2321" s="1">
        <v>43440</v>
      </c>
      <c r="B2321">
        <v>181900125</v>
      </c>
      <c r="C2321" t="s">
        <v>2267</v>
      </c>
      <c r="D2321" t="s">
        <v>1980</v>
      </c>
      <c r="E2321" s="2">
        <v>118.87</v>
      </c>
    </row>
    <row r="2322" spans="1:5" x14ac:dyDescent="0.25">
      <c r="A2322" s="1">
        <v>43441</v>
      </c>
      <c r="B2322">
        <v>201800114</v>
      </c>
      <c r="C2322" t="s">
        <v>2268</v>
      </c>
      <c r="D2322" t="s">
        <v>2269</v>
      </c>
      <c r="E2322" s="2">
        <v>43</v>
      </c>
    </row>
    <row r="2323" spans="1:5" x14ac:dyDescent="0.25">
      <c r="A2323" s="1">
        <v>43441</v>
      </c>
      <c r="B2323">
        <v>201800114</v>
      </c>
      <c r="C2323" t="s">
        <v>2268</v>
      </c>
      <c r="D2323" t="s">
        <v>2270</v>
      </c>
      <c r="E2323" s="2">
        <v>19</v>
      </c>
    </row>
    <row r="2324" spans="1:5" x14ac:dyDescent="0.25">
      <c r="A2324" s="1">
        <v>43441</v>
      </c>
      <c r="B2324">
        <v>201800115</v>
      </c>
      <c r="C2324" t="s">
        <v>928</v>
      </c>
      <c r="D2324" t="s">
        <v>2271</v>
      </c>
      <c r="E2324" s="2">
        <v>51.39</v>
      </c>
    </row>
    <row r="2325" spans="1:5" x14ac:dyDescent="0.25">
      <c r="A2325" s="1">
        <v>43441</v>
      </c>
      <c r="B2325">
        <v>201800115</v>
      </c>
      <c r="C2325" t="s">
        <v>928</v>
      </c>
      <c r="D2325" t="s">
        <v>2271</v>
      </c>
      <c r="E2325" s="2">
        <v>72.680000000000007</v>
      </c>
    </row>
    <row r="2326" spans="1:5" x14ac:dyDescent="0.25">
      <c r="A2326" s="1">
        <v>43441</v>
      </c>
      <c r="B2326">
        <v>201800116</v>
      </c>
      <c r="C2326" t="s">
        <v>2272</v>
      </c>
      <c r="D2326" t="s">
        <v>1410</v>
      </c>
      <c r="E2326" s="2">
        <v>119.96</v>
      </c>
    </row>
    <row r="2327" spans="1:5" x14ac:dyDescent="0.25">
      <c r="A2327" s="1">
        <v>43441</v>
      </c>
      <c r="B2327">
        <v>201800117</v>
      </c>
      <c r="C2327" t="s">
        <v>404</v>
      </c>
      <c r="D2327" t="s">
        <v>1743</v>
      </c>
      <c r="E2327" s="2">
        <f>48+48+48+48</f>
        <v>192</v>
      </c>
    </row>
    <row r="2328" spans="1:5" x14ac:dyDescent="0.25">
      <c r="A2328" s="1">
        <v>43441</v>
      </c>
      <c r="B2328">
        <v>201800118</v>
      </c>
      <c r="C2328" t="s">
        <v>2061</v>
      </c>
      <c r="D2328" t="s">
        <v>2273</v>
      </c>
      <c r="E2328" s="2">
        <v>149.25</v>
      </c>
    </row>
    <row r="2329" spans="1:5" x14ac:dyDescent="0.25">
      <c r="A2329" s="1">
        <v>43441</v>
      </c>
      <c r="B2329">
        <v>201800119</v>
      </c>
      <c r="C2329" t="s">
        <v>2274</v>
      </c>
      <c r="D2329" t="s">
        <v>481</v>
      </c>
      <c r="E2329" s="2">
        <v>455.8</v>
      </c>
    </row>
    <row r="2330" spans="1:5" x14ac:dyDescent="0.25">
      <c r="A2330" s="1">
        <v>43441</v>
      </c>
      <c r="B2330">
        <v>201800120</v>
      </c>
      <c r="C2330" t="s">
        <v>2275</v>
      </c>
      <c r="D2330" t="s">
        <v>481</v>
      </c>
      <c r="E2330" s="2">
        <v>516.28</v>
      </c>
    </row>
    <row r="2331" spans="1:5" x14ac:dyDescent="0.25">
      <c r="A2331" s="1">
        <v>43441</v>
      </c>
      <c r="B2331">
        <v>201800121</v>
      </c>
      <c r="C2331" t="s">
        <v>166</v>
      </c>
      <c r="D2331" t="s">
        <v>773</v>
      </c>
      <c r="E2331" s="2">
        <f>135+135</f>
        <v>270</v>
      </c>
    </row>
    <row r="2332" spans="1:5" x14ac:dyDescent="0.25">
      <c r="A2332" s="1">
        <v>43441</v>
      </c>
      <c r="B2332">
        <v>201800122</v>
      </c>
      <c r="C2332" t="s">
        <v>2276</v>
      </c>
      <c r="D2332" t="s">
        <v>2277</v>
      </c>
      <c r="E2332" s="2">
        <v>55</v>
      </c>
    </row>
    <row r="2333" spans="1:5" x14ac:dyDescent="0.25">
      <c r="A2333" s="1">
        <v>43441</v>
      </c>
      <c r="B2333">
        <v>201800123</v>
      </c>
      <c r="C2333" t="s">
        <v>2278</v>
      </c>
      <c r="D2333" t="s">
        <v>2279</v>
      </c>
      <c r="E2333" s="2">
        <v>602.59</v>
      </c>
    </row>
    <row r="2334" spans="1:5" x14ac:dyDescent="0.25">
      <c r="A2334" s="1">
        <v>43441</v>
      </c>
      <c r="B2334">
        <v>201800124</v>
      </c>
      <c r="C2334" t="s">
        <v>787</v>
      </c>
      <c r="D2334" t="s">
        <v>2280</v>
      </c>
      <c r="E2334" s="2">
        <v>28.29</v>
      </c>
    </row>
    <row r="2335" spans="1:5" x14ac:dyDescent="0.25">
      <c r="A2335" s="1">
        <v>43441</v>
      </c>
      <c r="B2335">
        <v>201800125</v>
      </c>
      <c r="C2335" t="s">
        <v>2281</v>
      </c>
      <c r="D2335" t="s">
        <v>2282</v>
      </c>
      <c r="E2335" s="2">
        <v>47.16</v>
      </c>
    </row>
    <row r="2336" spans="1:5" x14ac:dyDescent="0.25">
      <c r="A2336" s="1">
        <v>43446</v>
      </c>
      <c r="B2336">
        <v>120120</v>
      </c>
      <c r="C2336" t="s">
        <v>188</v>
      </c>
      <c r="D2336" t="s">
        <v>2283</v>
      </c>
      <c r="E2336" s="2">
        <v>253.5</v>
      </c>
    </row>
    <row r="2337" spans="1:5" x14ac:dyDescent="0.25">
      <c r="A2337" s="1">
        <v>43446</v>
      </c>
      <c r="B2337">
        <v>120121</v>
      </c>
      <c r="C2337" t="s">
        <v>64</v>
      </c>
      <c r="D2337" t="s">
        <v>2284</v>
      </c>
      <c r="E2337" s="2">
        <v>959</v>
      </c>
    </row>
    <row r="2338" spans="1:5" x14ac:dyDescent="0.25">
      <c r="A2338" s="1">
        <v>43446</v>
      </c>
      <c r="B2338">
        <v>120121</v>
      </c>
      <c r="C2338" t="s">
        <v>64</v>
      </c>
      <c r="D2338" t="s">
        <v>2285</v>
      </c>
      <c r="E2338" s="2">
        <f>1402.5+760</f>
        <v>2162.5</v>
      </c>
    </row>
    <row r="2339" spans="1:5" x14ac:dyDescent="0.25">
      <c r="A2339" s="1">
        <v>43446</v>
      </c>
      <c r="B2339">
        <v>120122</v>
      </c>
      <c r="C2339" t="s">
        <v>2286</v>
      </c>
      <c r="D2339" t="s">
        <v>2287</v>
      </c>
      <c r="E2339" s="2">
        <v>21141</v>
      </c>
    </row>
    <row r="2340" spans="1:5" x14ac:dyDescent="0.25">
      <c r="A2340" s="1">
        <v>43446</v>
      </c>
      <c r="B2340">
        <v>120123</v>
      </c>
      <c r="C2340" t="s">
        <v>1092</v>
      </c>
      <c r="D2340" t="s">
        <v>2288</v>
      </c>
      <c r="E2340" s="2">
        <v>58</v>
      </c>
    </row>
    <row r="2341" spans="1:5" x14ac:dyDescent="0.25">
      <c r="A2341" s="1">
        <v>43446</v>
      </c>
      <c r="B2341">
        <v>120124</v>
      </c>
      <c r="C2341" t="s">
        <v>70</v>
      </c>
      <c r="D2341" t="s">
        <v>2203</v>
      </c>
      <c r="E2341" s="2">
        <v>1785</v>
      </c>
    </row>
    <row r="2342" spans="1:5" x14ac:dyDescent="0.25">
      <c r="A2342" s="1">
        <v>43446</v>
      </c>
      <c r="B2342">
        <v>120125</v>
      </c>
      <c r="C2342" t="s">
        <v>70</v>
      </c>
      <c r="D2342" t="s">
        <v>2289</v>
      </c>
      <c r="E2342" s="2">
        <v>7096</v>
      </c>
    </row>
    <row r="2343" spans="1:5" x14ac:dyDescent="0.25">
      <c r="A2343" s="1">
        <v>43446</v>
      </c>
      <c r="B2343">
        <v>120126</v>
      </c>
      <c r="C2343" t="s">
        <v>269</v>
      </c>
      <c r="D2343" t="s">
        <v>2290</v>
      </c>
      <c r="E2343" s="2">
        <f>207.9+438.04</f>
        <v>645.94000000000005</v>
      </c>
    </row>
    <row r="2344" spans="1:5" x14ac:dyDescent="0.25">
      <c r="A2344" s="1">
        <v>43446</v>
      </c>
      <c r="B2344">
        <v>120127</v>
      </c>
      <c r="C2344" t="s">
        <v>10</v>
      </c>
      <c r="D2344" t="s">
        <v>2291</v>
      </c>
      <c r="E2344" s="2">
        <v>25</v>
      </c>
    </row>
    <row r="2345" spans="1:5" x14ac:dyDescent="0.25">
      <c r="A2345" s="1">
        <v>43446</v>
      </c>
      <c r="B2345">
        <v>120128</v>
      </c>
      <c r="C2345" t="s">
        <v>2292</v>
      </c>
      <c r="D2345" t="s">
        <v>2293</v>
      </c>
      <c r="E2345" s="2">
        <v>485.38</v>
      </c>
    </row>
    <row r="2346" spans="1:5" x14ac:dyDescent="0.25">
      <c r="A2346" s="1">
        <v>43446</v>
      </c>
      <c r="B2346">
        <v>120129</v>
      </c>
      <c r="C2346" t="s">
        <v>77</v>
      </c>
      <c r="D2346" t="s">
        <v>2294</v>
      </c>
      <c r="E2346" s="2">
        <v>49.21</v>
      </c>
    </row>
    <row r="2347" spans="1:5" x14ac:dyDescent="0.25">
      <c r="A2347" s="1">
        <v>43446</v>
      </c>
      <c r="B2347">
        <v>120130</v>
      </c>
      <c r="C2347" t="s">
        <v>77</v>
      </c>
      <c r="D2347" t="s">
        <v>2295</v>
      </c>
      <c r="E2347" s="2">
        <v>92.77</v>
      </c>
    </row>
    <row r="2348" spans="1:5" x14ac:dyDescent="0.25">
      <c r="A2348" s="1">
        <v>43446</v>
      </c>
      <c r="B2348">
        <v>120131</v>
      </c>
      <c r="C2348" t="s">
        <v>2296</v>
      </c>
      <c r="D2348" t="s">
        <v>2297</v>
      </c>
      <c r="E2348" s="2">
        <v>617</v>
      </c>
    </row>
    <row r="2349" spans="1:5" x14ac:dyDescent="0.25">
      <c r="A2349" s="1">
        <v>43446</v>
      </c>
      <c r="B2349">
        <v>120132</v>
      </c>
      <c r="C2349" t="s">
        <v>2296</v>
      </c>
      <c r="D2349" t="s">
        <v>2298</v>
      </c>
      <c r="E2349" s="2">
        <v>553.15</v>
      </c>
    </row>
    <row r="2350" spans="1:5" x14ac:dyDescent="0.25">
      <c r="A2350" s="1">
        <v>43446</v>
      </c>
      <c r="B2350">
        <v>120133</v>
      </c>
      <c r="C2350" t="s">
        <v>1359</v>
      </c>
      <c r="D2350" t="s">
        <v>2299</v>
      </c>
      <c r="E2350" s="2">
        <v>140.4</v>
      </c>
    </row>
    <row r="2351" spans="1:5" x14ac:dyDescent="0.25">
      <c r="A2351" s="1">
        <v>43446</v>
      </c>
      <c r="B2351">
        <v>120134</v>
      </c>
      <c r="C2351" t="s">
        <v>2300</v>
      </c>
      <c r="D2351" t="s">
        <v>2301</v>
      </c>
      <c r="E2351" s="2">
        <v>600</v>
      </c>
    </row>
    <row r="2352" spans="1:5" x14ac:dyDescent="0.25">
      <c r="A2352" s="1">
        <v>43446</v>
      </c>
      <c r="B2352">
        <v>120135</v>
      </c>
      <c r="C2352" t="s">
        <v>92</v>
      </c>
      <c r="D2352" t="s">
        <v>2116</v>
      </c>
      <c r="E2352" s="2">
        <v>6.7</v>
      </c>
    </row>
    <row r="2353" spans="1:5" x14ac:dyDescent="0.25">
      <c r="A2353" s="1">
        <v>43446</v>
      </c>
      <c r="B2353">
        <v>120136</v>
      </c>
      <c r="C2353" t="s">
        <v>2302</v>
      </c>
      <c r="D2353" t="s">
        <v>2303</v>
      </c>
      <c r="E2353" s="2">
        <v>200</v>
      </c>
    </row>
    <row r="2354" spans="1:5" x14ac:dyDescent="0.25">
      <c r="A2354" s="1">
        <v>43446</v>
      </c>
      <c r="B2354">
        <v>120137</v>
      </c>
      <c r="C2354" t="s">
        <v>2304</v>
      </c>
      <c r="D2354" t="s">
        <v>2305</v>
      </c>
      <c r="E2354" s="2">
        <v>2649.5</v>
      </c>
    </row>
    <row r="2355" spans="1:5" x14ac:dyDescent="0.25">
      <c r="A2355" s="1">
        <v>43446</v>
      </c>
      <c r="B2355">
        <v>181900126</v>
      </c>
      <c r="C2355" t="s">
        <v>650</v>
      </c>
      <c r="D2355" t="s">
        <v>2306</v>
      </c>
      <c r="E2355" s="2">
        <v>150</v>
      </c>
    </row>
    <row r="2356" spans="1:5" x14ac:dyDescent="0.25">
      <c r="A2356" s="1">
        <v>43446</v>
      </c>
      <c r="B2356">
        <v>181900126</v>
      </c>
      <c r="C2356" t="s">
        <v>650</v>
      </c>
      <c r="D2356" t="s">
        <v>2306</v>
      </c>
      <c r="E2356" s="2">
        <v>210</v>
      </c>
    </row>
    <row r="2357" spans="1:5" x14ac:dyDescent="0.25">
      <c r="A2357" s="1">
        <v>43446</v>
      </c>
      <c r="B2357">
        <v>181900127</v>
      </c>
      <c r="C2357" t="s">
        <v>2307</v>
      </c>
      <c r="D2357" t="s">
        <v>1980</v>
      </c>
      <c r="E2357" s="2">
        <v>383</v>
      </c>
    </row>
    <row r="2358" spans="1:5" x14ac:dyDescent="0.25">
      <c r="A2358" s="1">
        <v>43446</v>
      </c>
      <c r="B2358">
        <v>181900128</v>
      </c>
      <c r="C2358" t="s">
        <v>393</v>
      </c>
      <c r="D2358" t="s">
        <v>2308</v>
      </c>
      <c r="E2358" s="2">
        <f>203+36.71</f>
        <v>239.71</v>
      </c>
    </row>
    <row r="2359" spans="1:5" x14ac:dyDescent="0.25">
      <c r="A2359" s="1">
        <v>43447</v>
      </c>
      <c r="B2359">
        <v>120138</v>
      </c>
      <c r="C2359" t="s">
        <v>125</v>
      </c>
      <c r="D2359" t="s">
        <v>2309</v>
      </c>
      <c r="E2359" s="2">
        <f>463.64+724.58</f>
        <v>1188.22</v>
      </c>
    </row>
    <row r="2360" spans="1:5" x14ac:dyDescent="0.25">
      <c r="A2360" s="1">
        <v>43447</v>
      </c>
      <c r="B2360">
        <v>120138</v>
      </c>
      <c r="C2360" t="s">
        <v>125</v>
      </c>
      <c r="D2360" t="s">
        <v>2310</v>
      </c>
      <c r="E2360" s="2">
        <v>66.73</v>
      </c>
    </row>
    <row r="2361" spans="1:5" x14ac:dyDescent="0.25">
      <c r="A2361" s="1">
        <v>43448</v>
      </c>
      <c r="B2361">
        <v>120139</v>
      </c>
      <c r="C2361" t="s">
        <v>2311</v>
      </c>
      <c r="D2361" t="s">
        <v>2312</v>
      </c>
      <c r="E2361" s="2">
        <v>318.5</v>
      </c>
    </row>
    <row r="2362" spans="1:5" x14ac:dyDescent="0.25">
      <c r="A2362" s="1">
        <v>43448</v>
      </c>
      <c r="B2362">
        <v>120140</v>
      </c>
      <c r="C2362" t="s">
        <v>64</v>
      </c>
      <c r="D2362" t="s">
        <v>2313</v>
      </c>
      <c r="E2362" s="2">
        <v>181</v>
      </c>
    </row>
    <row r="2363" spans="1:5" x14ac:dyDescent="0.25">
      <c r="A2363" s="1">
        <v>43448</v>
      </c>
      <c r="B2363">
        <v>120141</v>
      </c>
      <c r="C2363" t="s">
        <v>226</v>
      </c>
      <c r="D2363" t="s">
        <v>2314</v>
      </c>
      <c r="E2363" s="2">
        <v>73.16</v>
      </c>
    </row>
    <row r="2364" spans="1:5" x14ac:dyDescent="0.25">
      <c r="A2364" s="1">
        <v>43448</v>
      </c>
      <c r="B2364">
        <v>120158</v>
      </c>
      <c r="C2364" t="s">
        <v>189</v>
      </c>
      <c r="D2364" t="s">
        <v>2315</v>
      </c>
      <c r="E2364" s="2">
        <v>129.38999999999999</v>
      </c>
    </row>
    <row r="2365" spans="1:5" x14ac:dyDescent="0.25">
      <c r="A2365" s="1">
        <v>43448</v>
      </c>
      <c r="B2365">
        <v>120158</v>
      </c>
      <c r="C2365" t="s">
        <v>189</v>
      </c>
      <c r="D2365" t="s">
        <v>2316</v>
      </c>
      <c r="E2365" s="2">
        <v>26.24</v>
      </c>
    </row>
    <row r="2366" spans="1:5" x14ac:dyDescent="0.25">
      <c r="A2366" s="1">
        <v>43448</v>
      </c>
      <c r="B2366">
        <v>120158</v>
      </c>
      <c r="C2366" t="s">
        <v>189</v>
      </c>
      <c r="D2366" t="s">
        <v>2317</v>
      </c>
      <c r="E2366" s="2">
        <v>76.25</v>
      </c>
    </row>
    <row r="2367" spans="1:5" x14ac:dyDescent="0.25">
      <c r="A2367" s="1">
        <v>43448</v>
      </c>
      <c r="B2367">
        <v>120158</v>
      </c>
      <c r="C2367" t="s">
        <v>189</v>
      </c>
      <c r="D2367" t="s">
        <v>2318</v>
      </c>
      <c r="E2367" s="2">
        <v>155.77000000000001</v>
      </c>
    </row>
    <row r="2368" spans="1:5" x14ac:dyDescent="0.25">
      <c r="A2368" s="1">
        <v>43448</v>
      </c>
      <c r="B2368">
        <v>120158</v>
      </c>
      <c r="C2368" t="s">
        <v>189</v>
      </c>
      <c r="D2368" t="s">
        <v>2319</v>
      </c>
      <c r="E2368" s="2">
        <v>67.5</v>
      </c>
    </row>
    <row r="2369" spans="1:5" x14ac:dyDescent="0.25">
      <c r="A2369" s="1">
        <v>43448</v>
      </c>
      <c r="B2369">
        <v>120158</v>
      </c>
      <c r="C2369" t="s">
        <v>189</v>
      </c>
      <c r="D2369" t="s">
        <v>2024</v>
      </c>
      <c r="E2369" s="2">
        <v>137.06</v>
      </c>
    </row>
    <row r="2370" spans="1:5" x14ac:dyDescent="0.25">
      <c r="A2370" s="1">
        <v>43448</v>
      </c>
      <c r="B2370">
        <v>120158</v>
      </c>
      <c r="C2370" t="s">
        <v>189</v>
      </c>
      <c r="D2370" t="s">
        <v>2320</v>
      </c>
      <c r="E2370" s="2">
        <v>285.85000000000002</v>
      </c>
    </row>
    <row r="2371" spans="1:5" x14ac:dyDescent="0.25">
      <c r="A2371" s="1">
        <v>43448</v>
      </c>
      <c r="B2371">
        <v>120158</v>
      </c>
      <c r="C2371" t="s">
        <v>189</v>
      </c>
      <c r="D2371" t="s">
        <v>1224</v>
      </c>
      <c r="E2371" s="2">
        <v>249.45</v>
      </c>
    </row>
    <row r="2372" spans="1:5" x14ac:dyDescent="0.25">
      <c r="A2372" s="1">
        <v>43448</v>
      </c>
      <c r="B2372">
        <v>120158</v>
      </c>
      <c r="C2372" t="s">
        <v>189</v>
      </c>
      <c r="D2372" t="s">
        <v>2321</v>
      </c>
      <c r="E2372" s="2">
        <v>29.98</v>
      </c>
    </row>
    <row r="2373" spans="1:5" x14ac:dyDescent="0.25">
      <c r="A2373" s="1">
        <v>43448</v>
      </c>
      <c r="B2373">
        <v>120158</v>
      </c>
      <c r="C2373" t="s">
        <v>189</v>
      </c>
      <c r="D2373" t="s">
        <v>2322</v>
      </c>
      <c r="E2373" s="2">
        <v>155.91</v>
      </c>
    </row>
    <row r="2374" spans="1:5" x14ac:dyDescent="0.25">
      <c r="A2374" s="1">
        <v>43448</v>
      </c>
      <c r="B2374">
        <v>120158</v>
      </c>
      <c r="C2374" t="s">
        <v>189</v>
      </c>
      <c r="D2374" t="s">
        <v>2323</v>
      </c>
      <c r="E2374" s="2">
        <f>22.65+44.99+2.42</f>
        <v>70.06</v>
      </c>
    </row>
    <row r="2375" spans="1:5" x14ac:dyDescent="0.25">
      <c r="A2375" s="1">
        <v>43448</v>
      </c>
      <c r="B2375">
        <v>120158</v>
      </c>
      <c r="C2375" t="s">
        <v>189</v>
      </c>
      <c r="D2375" t="s">
        <v>2324</v>
      </c>
      <c r="E2375" s="2">
        <v>50.36</v>
      </c>
    </row>
    <row r="2376" spans="1:5" x14ac:dyDescent="0.25">
      <c r="A2376" s="1">
        <v>43448</v>
      </c>
      <c r="B2376">
        <v>120158</v>
      </c>
      <c r="C2376" t="s">
        <v>189</v>
      </c>
      <c r="D2376" t="s">
        <v>2325</v>
      </c>
      <c r="E2376" s="2">
        <v>18.97</v>
      </c>
    </row>
    <row r="2377" spans="1:5" x14ac:dyDescent="0.25">
      <c r="A2377" s="1">
        <v>43448</v>
      </c>
      <c r="B2377">
        <v>120158</v>
      </c>
      <c r="C2377" t="s">
        <v>189</v>
      </c>
      <c r="D2377" t="s">
        <v>1382</v>
      </c>
      <c r="E2377" s="2">
        <v>98.59</v>
      </c>
    </row>
    <row r="2378" spans="1:5" x14ac:dyDescent="0.25">
      <c r="A2378" s="1">
        <v>43448</v>
      </c>
      <c r="B2378">
        <v>120158</v>
      </c>
      <c r="C2378" t="s">
        <v>189</v>
      </c>
      <c r="D2378" t="s">
        <v>1047</v>
      </c>
      <c r="E2378" s="2">
        <v>126.28</v>
      </c>
    </row>
    <row r="2379" spans="1:5" x14ac:dyDescent="0.25">
      <c r="A2379" s="1">
        <v>43448</v>
      </c>
      <c r="B2379">
        <v>120158</v>
      </c>
      <c r="C2379" t="s">
        <v>189</v>
      </c>
      <c r="D2379" t="s">
        <v>2326</v>
      </c>
      <c r="E2379" s="2">
        <v>48.89</v>
      </c>
    </row>
    <row r="2380" spans="1:5" x14ac:dyDescent="0.25">
      <c r="A2380" s="1">
        <v>43448</v>
      </c>
      <c r="B2380">
        <v>120158</v>
      </c>
      <c r="C2380" t="s">
        <v>189</v>
      </c>
      <c r="D2380" t="s">
        <v>2327</v>
      </c>
      <c r="E2380" s="2">
        <v>124.22</v>
      </c>
    </row>
    <row r="2381" spans="1:5" x14ac:dyDescent="0.25">
      <c r="A2381" s="1">
        <v>43448</v>
      </c>
      <c r="B2381">
        <v>120158</v>
      </c>
      <c r="C2381" t="s">
        <v>189</v>
      </c>
      <c r="D2381" t="s">
        <v>1028</v>
      </c>
      <c r="E2381" s="2">
        <v>116.08</v>
      </c>
    </row>
    <row r="2382" spans="1:5" x14ac:dyDescent="0.25">
      <c r="A2382" s="1">
        <v>43448</v>
      </c>
      <c r="B2382">
        <v>120158</v>
      </c>
      <c r="C2382" t="s">
        <v>189</v>
      </c>
      <c r="D2382" t="s">
        <v>2328</v>
      </c>
      <c r="E2382" s="2">
        <v>24.98</v>
      </c>
    </row>
    <row r="2383" spans="1:5" x14ac:dyDescent="0.25">
      <c r="A2383" s="1">
        <v>43448</v>
      </c>
      <c r="B2383">
        <v>120158</v>
      </c>
      <c r="C2383" t="s">
        <v>189</v>
      </c>
      <c r="D2383" t="s">
        <v>1028</v>
      </c>
      <c r="E2383" s="2">
        <v>63.98</v>
      </c>
    </row>
    <row r="2384" spans="1:5" x14ac:dyDescent="0.25">
      <c r="A2384" s="1">
        <v>43448</v>
      </c>
      <c r="B2384">
        <v>120158</v>
      </c>
      <c r="C2384" t="s">
        <v>189</v>
      </c>
      <c r="D2384" t="s">
        <v>2329</v>
      </c>
      <c r="E2384" s="2">
        <v>29.97</v>
      </c>
    </row>
    <row r="2385" spans="1:5" x14ac:dyDescent="0.25">
      <c r="A2385" s="1">
        <v>43448</v>
      </c>
      <c r="B2385">
        <v>120158</v>
      </c>
      <c r="C2385" t="s">
        <v>189</v>
      </c>
      <c r="D2385" t="s">
        <v>2330</v>
      </c>
      <c r="E2385" s="2">
        <v>596.91999999999996</v>
      </c>
    </row>
    <row r="2386" spans="1:5" x14ac:dyDescent="0.25">
      <c r="A2386" s="1">
        <v>43448</v>
      </c>
      <c r="B2386">
        <v>120158</v>
      </c>
      <c r="C2386" t="s">
        <v>189</v>
      </c>
      <c r="D2386" t="s">
        <v>2330</v>
      </c>
      <c r="E2386" s="2">
        <v>4.29</v>
      </c>
    </row>
    <row r="2387" spans="1:5" x14ac:dyDescent="0.25">
      <c r="A2387" s="1">
        <v>43448</v>
      </c>
      <c r="B2387">
        <v>120158</v>
      </c>
      <c r="C2387" t="s">
        <v>189</v>
      </c>
      <c r="D2387" t="s">
        <v>2331</v>
      </c>
      <c r="E2387" s="2">
        <v>48</v>
      </c>
    </row>
    <row r="2388" spans="1:5" x14ac:dyDescent="0.25">
      <c r="A2388" s="1">
        <v>43448</v>
      </c>
      <c r="B2388">
        <v>120158</v>
      </c>
      <c r="C2388" t="s">
        <v>189</v>
      </c>
      <c r="D2388" t="s">
        <v>2331</v>
      </c>
      <c r="E2388" s="2">
        <v>44.99</v>
      </c>
    </row>
    <row r="2389" spans="1:5" x14ac:dyDescent="0.25">
      <c r="A2389" s="1">
        <v>43448</v>
      </c>
      <c r="B2389">
        <v>120158</v>
      </c>
      <c r="C2389" t="s">
        <v>189</v>
      </c>
      <c r="D2389" t="s">
        <v>2332</v>
      </c>
      <c r="E2389" s="2">
        <v>310.19</v>
      </c>
    </row>
    <row r="2390" spans="1:5" x14ac:dyDescent="0.25">
      <c r="A2390" s="1">
        <v>43448</v>
      </c>
      <c r="B2390">
        <v>120158</v>
      </c>
      <c r="C2390" t="s">
        <v>189</v>
      </c>
      <c r="D2390" t="s">
        <v>2333</v>
      </c>
      <c r="E2390" s="2">
        <v>110.61</v>
      </c>
    </row>
    <row r="2391" spans="1:5" x14ac:dyDescent="0.25">
      <c r="A2391" s="1">
        <v>43448</v>
      </c>
      <c r="B2391">
        <v>120158</v>
      </c>
      <c r="C2391" t="s">
        <v>189</v>
      </c>
      <c r="D2391" t="s">
        <v>2323</v>
      </c>
      <c r="E2391" s="2">
        <v>188.56</v>
      </c>
    </row>
    <row r="2392" spans="1:5" x14ac:dyDescent="0.25">
      <c r="A2392" s="1">
        <v>43448</v>
      </c>
      <c r="B2392">
        <v>120158</v>
      </c>
      <c r="C2392" t="s">
        <v>189</v>
      </c>
      <c r="D2392" t="s">
        <v>2334</v>
      </c>
      <c r="E2392" s="2">
        <v>30.6</v>
      </c>
    </row>
    <row r="2393" spans="1:5" x14ac:dyDescent="0.25">
      <c r="A2393" s="1">
        <v>43448</v>
      </c>
      <c r="B2393">
        <v>120158</v>
      </c>
      <c r="C2393" t="s">
        <v>189</v>
      </c>
      <c r="D2393" t="s">
        <v>2335</v>
      </c>
      <c r="E2393" s="2">
        <v>151.72999999999999</v>
      </c>
    </row>
    <row r="2394" spans="1:5" x14ac:dyDescent="0.25">
      <c r="A2394" s="1">
        <v>43448</v>
      </c>
      <c r="B2394">
        <v>120158</v>
      </c>
      <c r="C2394" t="s">
        <v>189</v>
      </c>
      <c r="D2394" t="s">
        <v>2336</v>
      </c>
      <c r="E2394" s="2">
        <v>24.44</v>
      </c>
    </row>
    <row r="2395" spans="1:5" x14ac:dyDescent="0.25">
      <c r="A2395" s="1">
        <v>43448</v>
      </c>
      <c r="B2395">
        <v>120158</v>
      </c>
      <c r="C2395" t="s">
        <v>189</v>
      </c>
      <c r="D2395" t="s">
        <v>2334</v>
      </c>
      <c r="E2395" s="2">
        <f>14.98+18.95+48.98+0.99</f>
        <v>83.899999999999991</v>
      </c>
    </row>
    <row r="2396" spans="1:5" x14ac:dyDescent="0.25">
      <c r="A2396" s="1">
        <v>43448</v>
      </c>
      <c r="B2396">
        <v>120158</v>
      </c>
      <c r="C2396" t="s">
        <v>189</v>
      </c>
      <c r="D2396" t="s">
        <v>2337</v>
      </c>
      <c r="E2396" s="2">
        <v>29.47</v>
      </c>
    </row>
    <row r="2397" spans="1:5" x14ac:dyDescent="0.25">
      <c r="A2397" s="1">
        <v>43448</v>
      </c>
      <c r="B2397">
        <v>120158</v>
      </c>
      <c r="C2397" t="s">
        <v>189</v>
      </c>
      <c r="D2397" t="s">
        <v>2338</v>
      </c>
      <c r="E2397" s="2">
        <v>74</v>
      </c>
    </row>
    <row r="2398" spans="1:5" x14ac:dyDescent="0.25">
      <c r="A2398" s="1">
        <v>43448</v>
      </c>
      <c r="B2398">
        <v>120158</v>
      </c>
      <c r="C2398" t="s">
        <v>189</v>
      </c>
      <c r="D2398" t="s">
        <v>2339</v>
      </c>
      <c r="E2398" s="2">
        <v>59.96</v>
      </c>
    </row>
    <row r="2399" spans="1:5" x14ac:dyDescent="0.25">
      <c r="A2399" s="1">
        <v>43448</v>
      </c>
      <c r="B2399">
        <v>120158</v>
      </c>
      <c r="C2399" t="s">
        <v>189</v>
      </c>
      <c r="D2399" t="s">
        <v>2339</v>
      </c>
      <c r="E2399" s="2">
        <v>25.99</v>
      </c>
    </row>
    <row r="2400" spans="1:5" x14ac:dyDescent="0.25">
      <c r="A2400" s="1">
        <v>43448</v>
      </c>
      <c r="B2400">
        <v>120158</v>
      </c>
      <c r="C2400" t="s">
        <v>189</v>
      </c>
      <c r="D2400" t="s">
        <v>2340</v>
      </c>
      <c r="E2400" s="2">
        <v>35.380000000000003</v>
      </c>
    </row>
    <row r="2401" spans="1:5" x14ac:dyDescent="0.25">
      <c r="A2401" s="1">
        <v>43448</v>
      </c>
      <c r="B2401">
        <v>120158</v>
      </c>
      <c r="C2401" t="s">
        <v>189</v>
      </c>
      <c r="D2401" t="s">
        <v>2079</v>
      </c>
      <c r="E2401" s="2">
        <v>32.99</v>
      </c>
    </row>
    <row r="2402" spans="1:5" x14ac:dyDescent="0.25">
      <c r="A2402" s="1">
        <v>43448</v>
      </c>
      <c r="B2402">
        <v>120158</v>
      </c>
      <c r="C2402" t="s">
        <v>189</v>
      </c>
      <c r="D2402" t="s">
        <v>2334</v>
      </c>
      <c r="E2402" s="2">
        <v>794.79</v>
      </c>
    </row>
    <row r="2403" spans="1:5" x14ac:dyDescent="0.25">
      <c r="A2403" s="1">
        <v>43448</v>
      </c>
      <c r="B2403">
        <v>120158</v>
      </c>
      <c r="C2403" t="s">
        <v>189</v>
      </c>
      <c r="D2403" t="s">
        <v>2079</v>
      </c>
      <c r="E2403" s="2">
        <v>17.96</v>
      </c>
    </row>
    <row r="2404" spans="1:5" x14ac:dyDescent="0.25">
      <c r="A2404" s="1">
        <v>43448</v>
      </c>
      <c r="B2404">
        <v>120158</v>
      </c>
      <c r="C2404" t="s">
        <v>189</v>
      </c>
      <c r="D2404" t="s">
        <v>2341</v>
      </c>
      <c r="E2404" s="2">
        <v>61.66</v>
      </c>
    </row>
    <row r="2405" spans="1:5" x14ac:dyDescent="0.25">
      <c r="A2405" s="1">
        <v>43448</v>
      </c>
      <c r="B2405">
        <v>120158</v>
      </c>
      <c r="C2405" t="s">
        <v>189</v>
      </c>
      <c r="D2405" t="s">
        <v>2342</v>
      </c>
      <c r="E2405" s="2">
        <v>56.85</v>
      </c>
    </row>
    <row r="2406" spans="1:5" x14ac:dyDescent="0.25">
      <c r="A2406" s="1">
        <v>43448</v>
      </c>
      <c r="B2406">
        <v>120158</v>
      </c>
      <c r="C2406" t="s">
        <v>189</v>
      </c>
      <c r="D2406" t="s">
        <v>2334</v>
      </c>
      <c r="E2406" s="2">
        <v>25.75</v>
      </c>
    </row>
    <row r="2407" spans="1:5" x14ac:dyDescent="0.25">
      <c r="A2407" s="1">
        <v>43448</v>
      </c>
      <c r="B2407">
        <v>120158</v>
      </c>
      <c r="C2407" t="s">
        <v>189</v>
      </c>
      <c r="D2407" t="s">
        <v>2343</v>
      </c>
      <c r="E2407" s="2">
        <v>61.83</v>
      </c>
    </row>
    <row r="2408" spans="1:5" x14ac:dyDescent="0.25">
      <c r="A2408" s="1">
        <v>43448</v>
      </c>
      <c r="B2408">
        <v>120158</v>
      </c>
      <c r="C2408" t="s">
        <v>189</v>
      </c>
      <c r="D2408" t="s">
        <v>2344</v>
      </c>
      <c r="E2408" s="2">
        <v>334.48</v>
      </c>
    </row>
    <row r="2409" spans="1:5" x14ac:dyDescent="0.25">
      <c r="A2409" s="1">
        <v>43448</v>
      </c>
      <c r="B2409">
        <v>120158</v>
      </c>
      <c r="C2409" t="s">
        <v>189</v>
      </c>
      <c r="D2409" t="s">
        <v>2345</v>
      </c>
      <c r="E2409" s="2">
        <v>2350.4</v>
      </c>
    </row>
    <row r="2410" spans="1:5" x14ac:dyDescent="0.25">
      <c r="A2410" s="1">
        <v>43448</v>
      </c>
      <c r="B2410">
        <v>120158</v>
      </c>
      <c r="C2410" t="s">
        <v>189</v>
      </c>
      <c r="D2410" t="s">
        <v>2079</v>
      </c>
      <c r="E2410" s="2">
        <v>37.94</v>
      </c>
    </row>
    <row r="2411" spans="1:5" x14ac:dyDescent="0.25">
      <c r="A2411" s="1">
        <v>43448</v>
      </c>
      <c r="B2411">
        <v>120158</v>
      </c>
      <c r="C2411" t="s">
        <v>189</v>
      </c>
      <c r="D2411" t="s">
        <v>2346</v>
      </c>
      <c r="E2411" s="2">
        <v>57.63</v>
      </c>
    </row>
    <row r="2412" spans="1:5" x14ac:dyDescent="0.25">
      <c r="A2412" s="1">
        <v>43448</v>
      </c>
      <c r="B2412">
        <v>120158</v>
      </c>
      <c r="C2412" t="s">
        <v>189</v>
      </c>
      <c r="D2412" t="s">
        <v>1028</v>
      </c>
      <c r="E2412" s="2">
        <v>179.86</v>
      </c>
    </row>
    <row r="2413" spans="1:5" x14ac:dyDescent="0.25">
      <c r="A2413" s="1">
        <v>43448</v>
      </c>
      <c r="B2413">
        <v>120158</v>
      </c>
      <c r="C2413" t="s">
        <v>189</v>
      </c>
      <c r="D2413" t="s">
        <v>2347</v>
      </c>
      <c r="E2413" s="2">
        <v>110.26</v>
      </c>
    </row>
    <row r="2414" spans="1:5" x14ac:dyDescent="0.25">
      <c r="A2414" s="1">
        <v>43448</v>
      </c>
      <c r="B2414">
        <v>120158</v>
      </c>
      <c r="C2414" t="s">
        <v>189</v>
      </c>
      <c r="D2414" t="s">
        <v>2346</v>
      </c>
      <c r="E2414" s="2">
        <v>34.950000000000003</v>
      </c>
    </row>
    <row r="2415" spans="1:5" x14ac:dyDescent="0.25">
      <c r="A2415" s="1">
        <v>43448</v>
      </c>
      <c r="B2415">
        <v>120158</v>
      </c>
      <c r="C2415" t="s">
        <v>189</v>
      </c>
      <c r="D2415" t="s">
        <v>2346</v>
      </c>
      <c r="E2415" s="2">
        <v>71.38</v>
      </c>
    </row>
    <row r="2416" spans="1:5" x14ac:dyDescent="0.25">
      <c r="A2416" s="1">
        <v>43448</v>
      </c>
      <c r="B2416">
        <v>120158</v>
      </c>
      <c r="C2416" t="s">
        <v>189</v>
      </c>
      <c r="D2416" t="s">
        <v>1224</v>
      </c>
      <c r="E2416" s="2">
        <v>156.13</v>
      </c>
    </row>
    <row r="2417" spans="1:5" x14ac:dyDescent="0.25">
      <c r="A2417" s="1">
        <v>43448</v>
      </c>
      <c r="B2417">
        <v>120158</v>
      </c>
      <c r="C2417" t="s">
        <v>189</v>
      </c>
      <c r="D2417" t="s">
        <v>2348</v>
      </c>
      <c r="E2417" s="2">
        <v>323.14</v>
      </c>
    </row>
    <row r="2418" spans="1:5" x14ac:dyDescent="0.25">
      <c r="A2418" s="1">
        <v>43448</v>
      </c>
      <c r="B2418">
        <v>120158</v>
      </c>
      <c r="C2418" t="s">
        <v>189</v>
      </c>
      <c r="D2418" t="s">
        <v>1486</v>
      </c>
      <c r="E2418" s="2">
        <v>811.38</v>
      </c>
    </row>
    <row r="2419" spans="1:5" x14ac:dyDescent="0.25">
      <c r="A2419" s="1">
        <v>43448</v>
      </c>
      <c r="B2419">
        <v>120158</v>
      </c>
      <c r="C2419" t="s">
        <v>189</v>
      </c>
      <c r="D2419" t="s">
        <v>2349</v>
      </c>
      <c r="E2419" s="2">
        <v>47.98</v>
      </c>
    </row>
    <row r="2420" spans="1:5" x14ac:dyDescent="0.25">
      <c r="A2420" s="1">
        <v>43448</v>
      </c>
      <c r="B2420">
        <v>120158</v>
      </c>
      <c r="C2420" t="s">
        <v>189</v>
      </c>
      <c r="D2420" t="s">
        <v>2350</v>
      </c>
      <c r="E2420" s="2">
        <v>57.66</v>
      </c>
    </row>
    <row r="2421" spans="1:5" x14ac:dyDescent="0.25">
      <c r="A2421" s="1">
        <v>43448</v>
      </c>
      <c r="B2421">
        <v>120158</v>
      </c>
      <c r="C2421" t="s">
        <v>189</v>
      </c>
      <c r="D2421" t="s">
        <v>2334</v>
      </c>
      <c r="E2421" s="2">
        <v>33.700000000000003</v>
      </c>
    </row>
    <row r="2422" spans="1:5" x14ac:dyDescent="0.25">
      <c r="A2422" s="1">
        <v>43448</v>
      </c>
      <c r="B2422">
        <v>120158</v>
      </c>
      <c r="C2422" t="s">
        <v>189</v>
      </c>
      <c r="D2422" t="s">
        <v>2351</v>
      </c>
      <c r="E2422" s="2">
        <v>27.5</v>
      </c>
    </row>
    <row r="2423" spans="1:5" x14ac:dyDescent="0.25">
      <c r="A2423" s="1">
        <v>43448</v>
      </c>
      <c r="B2423">
        <v>120158</v>
      </c>
      <c r="C2423" t="s">
        <v>189</v>
      </c>
      <c r="D2423" t="s">
        <v>2352</v>
      </c>
      <c r="E2423" s="2">
        <v>59.47</v>
      </c>
    </row>
    <row r="2424" spans="1:5" x14ac:dyDescent="0.25">
      <c r="A2424" s="1">
        <v>43448</v>
      </c>
      <c r="B2424">
        <v>120158</v>
      </c>
      <c r="C2424" t="s">
        <v>189</v>
      </c>
      <c r="D2424" t="s">
        <v>2353</v>
      </c>
      <c r="E2424" s="2">
        <v>1376.6</v>
      </c>
    </row>
    <row r="2425" spans="1:5" x14ac:dyDescent="0.25">
      <c r="A2425" s="1">
        <v>43448</v>
      </c>
      <c r="B2425">
        <v>120158</v>
      </c>
      <c r="C2425" t="s">
        <v>189</v>
      </c>
      <c r="D2425" t="s">
        <v>2354</v>
      </c>
      <c r="E2425" s="2">
        <v>370.32</v>
      </c>
    </row>
    <row r="2426" spans="1:5" x14ac:dyDescent="0.25">
      <c r="A2426" s="1">
        <v>43448</v>
      </c>
      <c r="B2426">
        <v>120158</v>
      </c>
      <c r="C2426" t="s">
        <v>189</v>
      </c>
      <c r="D2426" t="s">
        <v>2355</v>
      </c>
      <c r="E2426" s="2">
        <v>42.48</v>
      </c>
    </row>
    <row r="2427" spans="1:5" x14ac:dyDescent="0.25">
      <c r="A2427" s="1">
        <v>43448</v>
      </c>
      <c r="B2427">
        <v>120158</v>
      </c>
      <c r="C2427" t="s">
        <v>189</v>
      </c>
      <c r="D2427" t="s">
        <v>2356</v>
      </c>
      <c r="E2427" s="2">
        <v>6.99</v>
      </c>
    </row>
    <row r="2428" spans="1:5" x14ac:dyDescent="0.25">
      <c r="A2428" s="1">
        <v>43448</v>
      </c>
      <c r="B2428">
        <v>120158</v>
      </c>
      <c r="C2428" t="s">
        <v>189</v>
      </c>
      <c r="D2428" t="s">
        <v>1224</v>
      </c>
      <c r="E2428" s="2">
        <v>11.19</v>
      </c>
    </row>
    <row r="2429" spans="1:5" x14ac:dyDescent="0.25">
      <c r="A2429" s="1">
        <v>43448</v>
      </c>
      <c r="B2429">
        <v>120158</v>
      </c>
      <c r="C2429" t="s">
        <v>189</v>
      </c>
      <c r="D2429" t="s">
        <v>1224</v>
      </c>
      <c r="E2429" s="2">
        <v>52.67</v>
      </c>
    </row>
    <row r="2430" spans="1:5" x14ac:dyDescent="0.25">
      <c r="A2430" s="1">
        <v>43448</v>
      </c>
      <c r="B2430">
        <v>120158</v>
      </c>
      <c r="C2430" t="s">
        <v>189</v>
      </c>
      <c r="D2430" t="s">
        <v>2357</v>
      </c>
      <c r="E2430" s="2">
        <v>204.92</v>
      </c>
    </row>
    <row r="2431" spans="1:5" x14ac:dyDescent="0.25">
      <c r="A2431" s="1">
        <v>43448</v>
      </c>
      <c r="B2431">
        <v>120158</v>
      </c>
      <c r="C2431" t="s">
        <v>189</v>
      </c>
      <c r="D2431" t="s">
        <v>2358</v>
      </c>
      <c r="E2431" s="2">
        <v>33.92</v>
      </c>
    </row>
    <row r="2432" spans="1:5" x14ac:dyDescent="0.25">
      <c r="A2432" s="1">
        <v>43448</v>
      </c>
      <c r="B2432">
        <v>120158</v>
      </c>
      <c r="C2432" t="s">
        <v>189</v>
      </c>
      <c r="D2432" t="s">
        <v>416</v>
      </c>
      <c r="E2432" s="3">
        <f>-26.35-13.83-18.99</f>
        <v>-59.17</v>
      </c>
    </row>
    <row r="2433" spans="1:5" x14ac:dyDescent="0.25">
      <c r="A2433" s="1">
        <v>43448</v>
      </c>
      <c r="B2433">
        <v>120158</v>
      </c>
      <c r="C2433" t="s">
        <v>189</v>
      </c>
      <c r="D2433" t="s">
        <v>2359</v>
      </c>
      <c r="E2433" s="2">
        <f>39.94+35.02+239.12</f>
        <v>314.08000000000004</v>
      </c>
    </row>
    <row r="2434" spans="1:5" x14ac:dyDescent="0.25">
      <c r="A2434" s="1">
        <v>43448</v>
      </c>
      <c r="B2434">
        <v>120158</v>
      </c>
      <c r="C2434" t="s">
        <v>189</v>
      </c>
      <c r="D2434" t="s">
        <v>1224</v>
      </c>
      <c r="E2434" s="2">
        <v>89.19</v>
      </c>
    </row>
    <row r="2435" spans="1:5" x14ac:dyDescent="0.25">
      <c r="A2435" s="1">
        <v>43448</v>
      </c>
      <c r="B2435">
        <v>120158</v>
      </c>
      <c r="C2435" t="s">
        <v>189</v>
      </c>
      <c r="D2435" t="s">
        <v>1394</v>
      </c>
      <c r="E2435" s="2">
        <v>181.38</v>
      </c>
    </row>
    <row r="2436" spans="1:5" x14ac:dyDescent="0.25">
      <c r="A2436" s="1">
        <v>43448</v>
      </c>
      <c r="B2436">
        <v>120158</v>
      </c>
      <c r="C2436" t="s">
        <v>189</v>
      </c>
      <c r="D2436" t="s">
        <v>948</v>
      </c>
      <c r="E2436" s="2">
        <v>348.2</v>
      </c>
    </row>
    <row r="2437" spans="1:5" x14ac:dyDescent="0.25">
      <c r="A2437" s="1">
        <v>43448</v>
      </c>
      <c r="B2437">
        <v>120158</v>
      </c>
      <c r="C2437" t="s">
        <v>189</v>
      </c>
      <c r="D2437" t="s">
        <v>2360</v>
      </c>
      <c r="E2437" s="2">
        <v>1778.26</v>
      </c>
    </row>
    <row r="2438" spans="1:5" x14ac:dyDescent="0.25">
      <c r="A2438" s="1">
        <v>43448</v>
      </c>
      <c r="B2438">
        <v>120159</v>
      </c>
      <c r="C2438" t="s">
        <v>235</v>
      </c>
      <c r="D2438" t="s">
        <v>464</v>
      </c>
      <c r="E2438" s="2">
        <v>1423</v>
      </c>
    </row>
    <row r="2439" spans="1:5" x14ac:dyDescent="0.25">
      <c r="A2439" s="1">
        <v>43448</v>
      </c>
      <c r="B2439">
        <v>120160</v>
      </c>
      <c r="C2439" t="s">
        <v>22</v>
      </c>
      <c r="D2439" t="s">
        <v>24</v>
      </c>
      <c r="E2439" s="2">
        <v>3981.86</v>
      </c>
    </row>
    <row r="2440" spans="1:5" x14ac:dyDescent="0.25">
      <c r="A2440" s="1">
        <v>43448</v>
      </c>
      <c r="B2440">
        <v>120163</v>
      </c>
      <c r="C2440" t="s">
        <v>238</v>
      </c>
      <c r="D2440" t="s">
        <v>437</v>
      </c>
      <c r="E2440" s="2">
        <f>318.57+579.87+702.17+155.9+550+142+439.24+316.2+1090.89+1378.31</f>
        <v>5673.15</v>
      </c>
    </row>
    <row r="2441" spans="1:5" x14ac:dyDescent="0.25">
      <c r="A2441" s="1">
        <v>43448</v>
      </c>
      <c r="B2441">
        <v>120164</v>
      </c>
      <c r="C2441" t="s">
        <v>823</v>
      </c>
      <c r="D2441" t="s">
        <v>2361</v>
      </c>
      <c r="E2441" s="2">
        <v>500</v>
      </c>
    </row>
    <row r="2442" spans="1:5" x14ac:dyDescent="0.25">
      <c r="A2442" s="1">
        <v>43448</v>
      </c>
      <c r="B2442">
        <v>120165</v>
      </c>
      <c r="C2442" t="s">
        <v>826</v>
      </c>
      <c r="D2442" t="s">
        <v>328</v>
      </c>
      <c r="E2442" s="2">
        <f>1244.7+165</f>
        <v>1409.7</v>
      </c>
    </row>
    <row r="2443" spans="1:5" x14ac:dyDescent="0.25">
      <c r="A2443" s="1">
        <v>43448</v>
      </c>
      <c r="B2443">
        <v>120166</v>
      </c>
      <c r="C2443" t="s">
        <v>2362</v>
      </c>
      <c r="D2443" t="s">
        <v>2363</v>
      </c>
      <c r="E2443" s="2">
        <v>17500</v>
      </c>
    </row>
    <row r="2444" spans="1:5" x14ac:dyDescent="0.25">
      <c r="A2444" s="1">
        <v>43448</v>
      </c>
      <c r="B2444">
        <v>120168</v>
      </c>
      <c r="C2444" t="s">
        <v>662</v>
      </c>
      <c r="D2444" t="s">
        <v>1645</v>
      </c>
      <c r="E2444" s="2">
        <v>216</v>
      </c>
    </row>
    <row r="2445" spans="1:5" x14ac:dyDescent="0.25">
      <c r="A2445" s="1">
        <v>43448</v>
      </c>
      <c r="B2445">
        <v>120168</v>
      </c>
      <c r="C2445" t="s">
        <v>662</v>
      </c>
      <c r="D2445" t="s">
        <v>2364</v>
      </c>
      <c r="E2445" s="2">
        <v>297</v>
      </c>
    </row>
    <row r="2446" spans="1:5" x14ac:dyDescent="0.25">
      <c r="A2446" s="1">
        <v>43448</v>
      </c>
      <c r="B2446">
        <v>120168</v>
      </c>
      <c r="C2446" t="s">
        <v>662</v>
      </c>
      <c r="D2446" t="s">
        <v>1645</v>
      </c>
      <c r="E2446" s="2">
        <v>1467</v>
      </c>
    </row>
    <row r="2447" spans="1:5" x14ac:dyDescent="0.25">
      <c r="A2447" s="1">
        <v>43448</v>
      </c>
      <c r="B2447">
        <v>120168</v>
      </c>
      <c r="C2447" t="s">
        <v>662</v>
      </c>
      <c r="D2447" t="s">
        <v>2365</v>
      </c>
      <c r="E2447" s="2">
        <v>255.56</v>
      </c>
    </row>
    <row r="2448" spans="1:5" x14ac:dyDescent="0.25">
      <c r="A2448" s="1">
        <v>43448</v>
      </c>
      <c r="B2448">
        <v>120168</v>
      </c>
      <c r="C2448" t="s">
        <v>662</v>
      </c>
      <c r="D2448" t="s">
        <v>2366</v>
      </c>
      <c r="E2448" s="2">
        <v>165.9</v>
      </c>
    </row>
    <row r="2449" spans="1:5" x14ac:dyDescent="0.25">
      <c r="A2449" s="1">
        <v>43448</v>
      </c>
      <c r="B2449">
        <v>120168</v>
      </c>
      <c r="C2449" t="s">
        <v>662</v>
      </c>
      <c r="D2449" t="s">
        <v>2367</v>
      </c>
      <c r="E2449" s="2">
        <v>192.06</v>
      </c>
    </row>
    <row r="2450" spans="1:5" x14ac:dyDescent="0.25">
      <c r="A2450" s="1">
        <v>43448</v>
      </c>
      <c r="B2450">
        <v>120168</v>
      </c>
      <c r="C2450" t="s">
        <v>662</v>
      </c>
      <c r="D2450" t="s">
        <v>2368</v>
      </c>
      <c r="E2450" s="2">
        <v>297</v>
      </c>
    </row>
    <row r="2451" spans="1:5" x14ac:dyDescent="0.25">
      <c r="A2451" s="1">
        <v>43448</v>
      </c>
      <c r="B2451">
        <v>120168</v>
      </c>
      <c r="C2451" t="s">
        <v>662</v>
      </c>
      <c r="D2451" t="s">
        <v>2369</v>
      </c>
      <c r="E2451" s="2">
        <v>910.1</v>
      </c>
    </row>
    <row r="2452" spans="1:5" x14ac:dyDescent="0.25">
      <c r="A2452" s="1">
        <v>43448</v>
      </c>
      <c r="B2452">
        <v>120169</v>
      </c>
      <c r="C2452" t="s">
        <v>2370</v>
      </c>
      <c r="D2452" t="s">
        <v>2371</v>
      </c>
      <c r="E2452" s="2">
        <v>2378.06</v>
      </c>
    </row>
    <row r="2453" spans="1:5" x14ac:dyDescent="0.25">
      <c r="A2453" s="1">
        <v>43448</v>
      </c>
      <c r="B2453">
        <v>120170</v>
      </c>
      <c r="C2453" t="s">
        <v>673</v>
      </c>
      <c r="D2453" t="s">
        <v>674</v>
      </c>
      <c r="E2453" s="2">
        <v>44.97</v>
      </c>
    </row>
    <row r="2454" spans="1:5" x14ac:dyDescent="0.25">
      <c r="A2454" s="1">
        <v>43448</v>
      </c>
      <c r="B2454">
        <v>120174</v>
      </c>
      <c r="C2454" t="s">
        <v>106</v>
      </c>
      <c r="D2454" t="s">
        <v>424</v>
      </c>
      <c r="E2454" s="2">
        <f>190.55+423.66+178.98+330.89+411.33+56.84+1094.36+4209.32+178.98+339.36+1436.4+46.63+298.18+616.88+330.89+1076.4</f>
        <v>11219.649999999996</v>
      </c>
    </row>
    <row r="2455" spans="1:5" x14ac:dyDescent="0.25">
      <c r="A2455" s="1">
        <v>43448</v>
      </c>
      <c r="B2455">
        <v>120175</v>
      </c>
      <c r="C2455" t="s">
        <v>1434</v>
      </c>
      <c r="D2455" t="s">
        <v>2372</v>
      </c>
      <c r="E2455" s="2">
        <v>52</v>
      </c>
    </row>
    <row r="2456" spans="1:5" x14ac:dyDescent="0.25">
      <c r="A2456" s="1">
        <v>43448</v>
      </c>
      <c r="B2456">
        <v>120176</v>
      </c>
      <c r="C2456" t="s">
        <v>2003</v>
      </c>
      <c r="D2456" t="s">
        <v>773</v>
      </c>
      <c r="E2456" s="2">
        <v>879</v>
      </c>
    </row>
    <row r="2457" spans="1:5" x14ac:dyDescent="0.25">
      <c r="A2457" s="1">
        <v>43448</v>
      </c>
      <c r="B2457">
        <v>120177</v>
      </c>
      <c r="C2457" t="s">
        <v>1173</v>
      </c>
      <c r="D2457" t="s">
        <v>2361</v>
      </c>
      <c r="E2457" s="2">
        <v>250</v>
      </c>
    </row>
    <row r="2458" spans="1:5" x14ac:dyDescent="0.25">
      <c r="A2458" s="1">
        <v>43448</v>
      </c>
      <c r="B2458">
        <v>120178</v>
      </c>
      <c r="C2458" t="s">
        <v>68</v>
      </c>
      <c r="D2458" t="s">
        <v>490</v>
      </c>
      <c r="E2458" s="2">
        <v>101463</v>
      </c>
    </row>
    <row r="2459" spans="1:5" x14ac:dyDescent="0.25">
      <c r="A2459" s="1">
        <v>43448</v>
      </c>
      <c r="B2459">
        <v>120178</v>
      </c>
      <c r="C2459" t="s">
        <v>68</v>
      </c>
      <c r="D2459" t="s">
        <v>491</v>
      </c>
      <c r="E2459" s="2">
        <v>317.26</v>
      </c>
    </row>
    <row r="2460" spans="1:5" x14ac:dyDescent="0.25">
      <c r="A2460" s="1">
        <v>43448</v>
      </c>
      <c r="B2460">
        <v>120179</v>
      </c>
      <c r="C2460" t="s">
        <v>842</v>
      </c>
      <c r="D2460" t="s">
        <v>2373</v>
      </c>
      <c r="E2460" s="2">
        <v>192.95</v>
      </c>
    </row>
    <row r="2461" spans="1:5" x14ac:dyDescent="0.25">
      <c r="A2461" s="1">
        <v>43448</v>
      </c>
      <c r="B2461">
        <v>120179</v>
      </c>
      <c r="C2461" t="s">
        <v>842</v>
      </c>
      <c r="D2461" t="s">
        <v>2374</v>
      </c>
      <c r="E2461" s="2">
        <v>227.71</v>
      </c>
    </row>
    <row r="2462" spans="1:5" x14ac:dyDescent="0.25">
      <c r="A2462" s="1">
        <v>43448</v>
      </c>
      <c r="B2462">
        <v>120179</v>
      </c>
      <c r="C2462" t="s">
        <v>842</v>
      </c>
      <c r="D2462" t="s">
        <v>2375</v>
      </c>
      <c r="E2462" s="2">
        <v>110.78</v>
      </c>
    </row>
    <row r="2463" spans="1:5" x14ac:dyDescent="0.25">
      <c r="A2463" s="1">
        <v>43448</v>
      </c>
      <c r="B2463">
        <v>120189</v>
      </c>
      <c r="C2463" t="s">
        <v>110</v>
      </c>
      <c r="D2463" t="s">
        <v>2010</v>
      </c>
      <c r="E2463" s="2">
        <f>7722.65+11630.09+6089.8+154.9+268.98+1811.63+1603.81+66.14+2012.34+7233.32+9.77+8.29+24.83+1065.58+2809.96+6756.78+8.97+3295.77+19.78+5566.48+5272.79+209.78+14.79+14.79+8.29+1192.31+479.57+526.44+128.36+897.93+440.01+19.78+24.52+149.77+1208.52+18.03+608.43+77.95+2157.33+229.85</f>
        <v>71839.109999999986</v>
      </c>
    </row>
    <row r="2464" spans="1:5" x14ac:dyDescent="0.25">
      <c r="A2464" s="1">
        <v>43448</v>
      </c>
      <c r="B2464">
        <v>120191</v>
      </c>
      <c r="C2464" t="s">
        <v>2376</v>
      </c>
      <c r="D2464" t="s">
        <v>2377</v>
      </c>
      <c r="E2464" s="2">
        <v>89.25</v>
      </c>
    </row>
    <row r="2465" spans="1:5" x14ac:dyDescent="0.25">
      <c r="A2465" s="1">
        <v>43448</v>
      </c>
      <c r="B2465">
        <v>120192</v>
      </c>
      <c r="C2465" t="s">
        <v>2378</v>
      </c>
      <c r="D2465" t="s">
        <v>2379</v>
      </c>
      <c r="E2465" s="2">
        <v>324</v>
      </c>
    </row>
    <row r="2466" spans="1:5" x14ac:dyDescent="0.25">
      <c r="A2466" s="1">
        <v>43448</v>
      </c>
      <c r="B2466">
        <v>120193</v>
      </c>
      <c r="C2466" t="s">
        <v>2380</v>
      </c>
      <c r="D2466" t="s">
        <v>2381</v>
      </c>
      <c r="E2466" s="2">
        <v>2155</v>
      </c>
    </row>
    <row r="2467" spans="1:5" x14ac:dyDescent="0.25">
      <c r="A2467" s="1">
        <v>43448</v>
      </c>
      <c r="B2467">
        <v>120194</v>
      </c>
      <c r="C2467" t="s">
        <v>2382</v>
      </c>
      <c r="D2467" t="s">
        <v>880</v>
      </c>
      <c r="E2467" s="2">
        <v>94.33</v>
      </c>
    </row>
    <row r="2468" spans="1:5" x14ac:dyDescent="0.25">
      <c r="A2468" s="1">
        <v>43448</v>
      </c>
      <c r="B2468">
        <v>120195</v>
      </c>
      <c r="C2468" t="s">
        <v>1452</v>
      </c>
      <c r="D2468" t="s">
        <v>2383</v>
      </c>
      <c r="E2468" s="2">
        <v>706.46</v>
      </c>
    </row>
    <row r="2469" spans="1:5" x14ac:dyDescent="0.25">
      <c r="A2469" s="1">
        <v>43448</v>
      </c>
      <c r="B2469">
        <v>120197</v>
      </c>
      <c r="C2469" t="s">
        <v>364</v>
      </c>
      <c r="D2469" t="s">
        <v>2384</v>
      </c>
      <c r="E2469" s="2">
        <v>326.7</v>
      </c>
    </row>
    <row r="2470" spans="1:5" x14ac:dyDescent="0.25">
      <c r="A2470" s="1">
        <v>43448</v>
      </c>
      <c r="B2470">
        <v>120203</v>
      </c>
      <c r="C2470" t="s">
        <v>125</v>
      </c>
      <c r="D2470" t="s">
        <v>464</v>
      </c>
      <c r="E2470" s="2">
        <f>2041.34+179.17+455.9+132.12</f>
        <v>2808.5299999999997</v>
      </c>
    </row>
    <row r="2471" spans="1:5" x14ac:dyDescent="0.25">
      <c r="A2471" s="1">
        <v>43448</v>
      </c>
      <c r="B2471">
        <v>120203</v>
      </c>
      <c r="C2471" t="s">
        <v>125</v>
      </c>
      <c r="D2471" t="s">
        <v>2385</v>
      </c>
      <c r="E2471" s="2">
        <v>164.22</v>
      </c>
    </row>
    <row r="2472" spans="1:5" x14ac:dyDescent="0.25">
      <c r="A2472" s="1">
        <v>43448</v>
      </c>
      <c r="B2472">
        <v>120203</v>
      </c>
      <c r="C2472" t="s">
        <v>125</v>
      </c>
      <c r="D2472" t="s">
        <v>2386</v>
      </c>
      <c r="E2472" s="2">
        <f>30.26+20.02+23.33+77.27</f>
        <v>150.88</v>
      </c>
    </row>
    <row r="2473" spans="1:5" x14ac:dyDescent="0.25">
      <c r="A2473" s="1">
        <v>43448</v>
      </c>
      <c r="B2473">
        <v>120203</v>
      </c>
      <c r="C2473" t="s">
        <v>125</v>
      </c>
      <c r="D2473" t="s">
        <v>2387</v>
      </c>
      <c r="E2473" s="2">
        <v>145.74</v>
      </c>
    </row>
    <row r="2474" spans="1:5" x14ac:dyDescent="0.25">
      <c r="A2474" s="1">
        <v>43448</v>
      </c>
      <c r="B2474">
        <v>120203</v>
      </c>
      <c r="C2474" t="s">
        <v>125</v>
      </c>
      <c r="D2474" t="s">
        <v>2388</v>
      </c>
      <c r="E2474" s="2">
        <v>96.77</v>
      </c>
    </row>
    <row r="2475" spans="1:5" x14ac:dyDescent="0.25">
      <c r="A2475" s="1">
        <v>43448</v>
      </c>
      <c r="B2475">
        <v>120203</v>
      </c>
      <c r="C2475" t="s">
        <v>125</v>
      </c>
      <c r="D2475" t="s">
        <v>2389</v>
      </c>
      <c r="E2475" s="2">
        <v>237.96</v>
      </c>
    </row>
    <row r="2476" spans="1:5" x14ac:dyDescent="0.25">
      <c r="A2476" s="1">
        <v>43448</v>
      </c>
      <c r="B2476">
        <v>120203</v>
      </c>
      <c r="C2476" t="s">
        <v>125</v>
      </c>
      <c r="D2476" t="s">
        <v>2390</v>
      </c>
      <c r="E2476" s="2">
        <v>34.159999999999997</v>
      </c>
    </row>
    <row r="2477" spans="1:5" x14ac:dyDescent="0.25">
      <c r="A2477" s="1">
        <v>43448</v>
      </c>
      <c r="B2477">
        <v>120203</v>
      </c>
      <c r="C2477" t="s">
        <v>125</v>
      </c>
      <c r="D2477" t="s">
        <v>2391</v>
      </c>
      <c r="E2477" s="2">
        <v>148.52000000000001</v>
      </c>
    </row>
    <row r="2478" spans="1:5" x14ac:dyDescent="0.25">
      <c r="A2478" s="1">
        <v>43448</v>
      </c>
      <c r="B2478">
        <v>120203</v>
      </c>
      <c r="C2478" t="s">
        <v>125</v>
      </c>
      <c r="D2478" t="s">
        <v>2387</v>
      </c>
      <c r="E2478" s="2">
        <v>272.92</v>
      </c>
    </row>
    <row r="2479" spans="1:5" x14ac:dyDescent="0.25">
      <c r="A2479" s="1">
        <v>43448</v>
      </c>
      <c r="B2479">
        <v>120203</v>
      </c>
      <c r="C2479" t="s">
        <v>125</v>
      </c>
      <c r="D2479" t="s">
        <v>2392</v>
      </c>
      <c r="E2479" s="2">
        <v>1249.99</v>
      </c>
    </row>
    <row r="2480" spans="1:5" x14ac:dyDescent="0.25">
      <c r="A2480" s="1">
        <v>43448</v>
      </c>
      <c r="B2480">
        <v>120203</v>
      </c>
      <c r="C2480" t="s">
        <v>125</v>
      </c>
      <c r="D2480" t="s">
        <v>2386</v>
      </c>
      <c r="E2480" s="2">
        <v>20.39</v>
      </c>
    </row>
    <row r="2481" spans="1:5" x14ac:dyDescent="0.25">
      <c r="A2481" s="1">
        <v>43448</v>
      </c>
      <c r="B2481">
        <v>120203</v>
      </c>
      <c r="C2481" t="s">
        <v>125</v>
      </c>
      <c r="D2481" t="s">
        <v>2389</v>
      </c>
      <c r="E2481" s="2">
        <v>1664.62</v>
      </c>
    </row>
    <row r="2482" spans="1:5" x14ac:dyDescent="0.25">
      <c r="A2482" s="1">
        <v>43448</v>
      </c>
      <c r="B2482">
        <v>120204</v>
      </c>
      <c r="C2482" t="s">
        <v>2393</v>
      </c>
      <c r="D2482" t="s">
        <v>773</v>
      </c>
      <c r="E2482" s="2">
        <v>463.24</v>
      </c>
    </row>
    <row r="2483" spans="1:5" x14ac:dyDescent="0.25">
      <c r="A2483" s="1">
        <v>43448</v>
      </c>
      <c r="B2483">
        <v>120205</v>
      </c>
      <c r="C2483" t="s">
        <v>2394</v>
      </c>
      <c r="D2483" t="s">
        <v>2395</v>
      </c>
      <c r="E2483" s="2">
        <v>1177.45</v>
      </c>
    </row>
    <row r="2484" spans="1:5" x14ac:dyDescent="0.25">
      <c r="A2484" s="1">
        <v>43448</v>
      </c>
      <c r="B2484">
        <v>120206</v>
      </c>
      <c r="C2484" t="s">
        <v>2396</v>
      </c>
      <c r="D2484" t="s">
        <v>2397</v>
      </c>
      <c r="E2484" s="2">
        <v>308.75</v>
      </c>
    </row>
    <row r="2485" spans="1:5" x14ac:dyDescent="0.25">
      <c r="A2485" s="1">
        <v>43448</v>
      </c>
      <c r="B2485">
        <v>120207</v>
      </c>
      <c r="C2485" t="s">
        <v>269</v>
      </c>
      <c r="D2485" t="s">
        <v>367</v>
      </c>
      <c r="E2485" s="2">
        <v>47.94</v>
      </c>
    </row>
    <row r="2486" spans="1:5" x14ac:dyDescent="0.25">
      <c r="A2486" s="1">
        <v>43448</v>
      </c>
      <c r="B2486">
        <v>120208</v>
      </c>
      <c r="C2486" t="s">
        <v>44</v>
      </c>
      <c r="D2486" t="s">
        <v>2398</v>
      </c>
      <c r="E2486" s="2">
        <v>144.80000000000001</v>
      </c>
    </row>
    <row r="2487" spans="1:5" x14ac:dyDescent="0.25">
      <c r="A2487" s="1">
        <v>43448</v>
      </c>
      <c r="B2487">
        <v>120209</v>
      </c>
      <c r="C2487" t="s">
        <v>1200</v>
      </c>
      <c r="D2487" t="s">
        <v>2399</v>
      </c>
      <c r="E2487" s="2">
        <v>157.28</v>
      </c>
    </row>
    <row r="2488" spans="1:5" x14ac:dyDescent="0.25">
      <c r="A2488" s="1">
        <v>43448</v>
      </c>
      <c r="B2488">
        <v>120212</v>
      </c>
      <c r="C2488" t="s">
        <v>274</v>
      </c>
      <c r="D2488" t="s">
        <v>583</v>
      </c>
      <c r="E2488" s="2">
        <v>138.4</v>
      </c>
    </row>
    <row r="2489" spans="1:5" x14ac:dyDescent="0.25">
      <c r="A2489" s="1">
        <v>43448</v>
      </c>
      <c r="B2489">
        <v>120212</v>
      </c>
      <c r="C2489" t="s">
        <v>274</v>
      </c>
      <c r="D2489" t="s">
        <v>2400</v>
      </c>
      <c r="E2489" s="2">
        <v>4688.59</v>
      </c>
    </row>
    <row r="2490" spans="1:5" x14ac:dyDescent="0.25">
      <c r="A2490" s="1">
        <v>43448</v>
      </c>
      <c r="B2490">
        <v>120212</v>
      </c>
      <c r="C2490" t="s">
        <v>274</v>
      </c>
      <c r="D2490" t="s">
        <v>583</v>
      </c>
      <c r="E2490" s="2">
        <v>223.38</v>
      </c>
    </row>
    <row r="2491" spans="1:5" x14ac:dyDescent="0.25">
      <c r="A2491" s="1">
        <v>43448</v>
      </c>
      <c r="B2491">
        <v>120212</v>
      </c>
      <c r="C2491" t="s">
        <v>274</v>
      </c>
      <c r="D2491" t="s">
        <v>2401</v>
      </c>
      <c r="E2491" s="2">
        <v>557.24</v>
      </c>
    </row>
    <row r="2492" spans="1:5" x14ac:dyDescent="0.25">
      <c r="A2492" s="1">
        <v>43448</v>
      </c>
      <c r="B2492">
        <v>120212</v>
      </c>
      <c r="C2492" t="s">
        <v>274</v>
      </c>
      <c r="D2492" t="s">
        <v>2402</v>
      </c>
      <c r="E2492" s="2">
        <v>211.16</v>
      </c>
    </row>
    <row r="2493" spans="1:5" x14ac:dyDescent="0.25">
      <c r="A2493" s="1">
        <v>43448</v>
      </c>
      <c r="B2493">
        <v>120212</v>
      </c>
      <c r="C2493" t="s">
        <v>274</v>
      </c>
      <c r="D2493" t="s">
        <v>2403</v>
      </c>
      <c r="E2493" s="2">
        <v>385.18</v>
      </c>
    </row>
    <row r="2494" spans="1:5" x14ac:dyDescent="0.25">
      <c r="A2494" s="1">
        <v>43448</v>
      </c>
      <c r="B2494">
        <v>120212</v>
      </c>
      <c r="C2494" t="s">
        <v>274</v>
      </c>
      <c r="D2494" t="s">
        <v>2404</v>
      </c>
      <c r="E2494" s="2">
        <v>25</v>
      </c>
    </row>
    <row r="2495" spans="1:5" x14ac:dyDescent="0.25">
      <c r="A2495" s="1">
        <v>43448</v>
      </c>
      <c r="B2495">
        <v>120213</v>
      </c>
      <c r="C2495" t="s">
        <v>710</v>
      </c>
      <c r="D2495" t="s">
        <v>2405</v>
      </c>
      <c r="E2495" s="2">
        <v>722.85</v>
      </c>
    </row>
    <row r="2496" spans="1:5" x14ac:dyDescent="0.25">
      <c r="A2496" s="1">
        <v>43448</v>
      </c>
      <c r="B2496">
        <v>120214</v>
      </c>
      <c r="C2496" t="s">
        <v>2406</v>
      </c>
      <c r="D2496" t="s">
        <v>2407</v>
      </c>
      <c r="E2496" s="2">
        <f>235+235+1410</f>
        <v>1880</v>
      </c>
    </row>
    <row r="2497" spans="1:5" x14ac:dyDescent="0.25">
      <c r="A2497" s="1">
        <v>43448</v>
      </c>
      <c r="B2497">
        <v>120215</v>
      </c>
      <c r="C2497" t="s">
        <v>48</v>
      </c>
      <c r="D2497" t="s">
        <v>2208</v>
      </c>
      <c r="E2497" s="2">
        <f>3644.7+10574.68</f>
        <v>14219.380000000001</v>
      </c>
    </row>
    <row r="2498" spans="1:5" x14ac:dyDescent="0.25">
      <c r="A2498" s="1">
        <v>43448</v>
      </c>
      <c r="B2498">
        <v>120216</v>
      </c>
      <c r="C2498" t="s">
        <v>74</v>
      </c>
      <c r="D2498" t="s">
        <v>2408</v>
      </c>
      <c r="E2498" s="2">
        <v>599.70000000000005</v>
      </c>
    </row>
    <row r="2499" spans="1:5" x14ac:dyDescent="0.25">
      <c r="A2499" s="1">
        <v>43448</v>
      </c>
      <c r="B2499">
        <v>120216</v>
      </c>
      <c r="C2499" t="s">
        <v>74</v>
      </c>
      <c r="D2499" t="s">
        <v>228</v>
      </c>
      <c r="E2499" s="2">
        <v>283.2</v>
      </c>
    </row>
    <row r="2500" spans="1:5" x14ac:dyDescent="0.25">
      <c r="A2500" s="1">
        <v>43448</v>
      </c>
      <c r="B2500">
        <v>120216</v>
      </c>
      <c r="C2500" t="s">
        <v>74</v>
      </c>
      <c r="D2500" t="s">
        <v>2409</v>
      </c>
      <c r="E2500" s="2">
        <v>271.39</v>
      </c>
    </row>
    <row r="2501" spans="1:5" x14ac:dyDescent="0.25">
      <c r="A2501" s="1">
        <v>43448</v>
      </c>
      <c r="B2501">
        <v>120217</v>
      </c>
      <c r="C2501" t="s">
        <v>283</v>
      </c>
      <c r="D2501" t="s">
        <v>441</v>
      </c>
      <c r="E2501" s="2">
        <v>1019.08</v>
      </c>
    </row>
    <row r="2502" spans="1:5" x14ac:dyDescent="0.25">
      <c r="A2502" s="1">
        <v>43448</v>
      </c>
      <c r="B2502">
        <v>120218</v>
      </c>
      <c r="C2502" t="s">
        <v>146</v>
      </c>
      <c r="D2502" t="s">
        <v>2028</v>
      </c>
      <c r="E2502" s="2">
        <v>435.34</v>
      </c>
    </row>
    <row r="2503" spans="1:5" x14ac:dyDescent="0.25">
      <c r="A2503" s="1">
        <v>43448</v>
      </c>
      <c r="B2503">
        <v>120218</v>
      </c>
      <c r="C2503" t="s">
        <v>146</v>
      </c>
      <c r="D2503" t="s">
        <v>2410</v>
      </c>
      <c r="E2503" s="2">
        <v>155.5</v>
      </c>
    </row>
    <row r="2504" spans="1:5" x14ac:dyDescent="0.25">
      <c r="A2504" s="1">
        <v>43448</v>
      </c>
      <c r="B2504">
        <v>120219</v>
      </c>
      <c r="C2504" t="s">
        <v>2411</v>
      </c>
      <c r="D2504" t="s">
        <v>2412</v>
      </c>
      <c r="E2504" s="2">
        <v>25</v>
      </c>
    </row>
    <row r="2505" spans="1:5" x14ac:dyDescent="0.25">
      <c r="A2505" s="1">
        <v>43448</v>
      </c>
      <c r="B2505">
        <v>120220</v>
      </c>
      <c r="C2505" t="s">
        <v>2413</v>
      </c>
      <c r="D2505" t="s">
        <v>2414</v>
      </c>
      <c r="E2505" s="2">
        <v>662.64</v>
      </c>
    </row>
    <row r="2506" spans="1:5" x14ac:dyDescent="0.25">
      <c r="A2506" s="1">
        <v>43448</v>
      </c>
      <c r="B2506">
        <v>120221</v>
      </c>
      <c r="C2506" t="s">
        <v>75</v>
      </c>
      <c r="D2506" t="s">
        <v>2415</v>
      </c>
      <c r="E2506" s="2">
        <v>32.909999999999997</v>
      </c>
    </row>
    <row r="2507" spans="1:5" x14ac:dyDescent="0.25">
      <c r="A2507" s="1">
        <v>43448</v>
      </c>
      <c r="B2507">
        <v>120223</v>
      </c>
      <c r="C2507" t="s">
        <v>11</v>
      </c>
      <c r="D2507" t="s">
        <v>2416</v>
      </c>
      <c r="E2507" s="2">
        <v>84.99</v>
      </c>
    </row>
    <row r="2508" spans="1:5" x14ac:dyDescent="0.25">
      <c r="A2508" s="1">
        <v>43448</v>
      </c>
      <c r="B2508">
        <v>120223</v>
      </c>
      <c r="C2508" t="s">
        <v>11</v>
      </c>
      <c r="D2508" t="s">
        <v>2416</v>
      </c>
      <c r="E2508" s="2">
        <v>34.99</v>
      </c>
    </row>
    <row r="2509" spans="1:5" x14ac:dyDescent="0.25">
      <c r="A2509" s="1">
        <v>43448</v>
      </c>
      <c r="B2509">
        <v>120223</v>
      </c>
      <c r="C2509" t="s">
        <v>11</v>
      </c>
      <c r="D2509" t="s">
        <v>1224</v>
      </c>
      <c r="E2509" s="2">
        <f>238.16+79.47+988.1+24.31</f>
        <v>1330.04</v>
      </c>
    </row>
    <row r="2510" spans="1:5" x14ac:dyDescent="0.25">
      <c r="A2510" s="1">
        <v>43448</v>
      </c>
      <c r="B2510">
        <v>120223</v>
      </c>
      <c r="C2510" t="s">
        <v>11</v>
      </c>
      <c r="D2510" t="s">
        <v>2417</v>
      </c>
      <c r="E2510" s="2">
        <f>169.98+62.63+9.33</f>
        <v>241.94</v>
      </c>
    </row>
    <row r="2511" spans="1:5" x14ac:dyDescent="0.25">
      <c r="A2511" s="1">
        <v>43448</v>
      </c>
      <c r="B2511">
        <v>120224</v>
      </c>
      <c r="C2511" t="s">
        <v>12</v>
      </c>
      <c r="D2511" t="s">
        <v>481</v>
      </c>
      <c r="E2511" s="2">
        <v>41.11</v>
      </c>
    </row>
    <row r="2512" spans="1:5" x14ac:dyDescent="0.25">
      <c r="A2512" s="1">
        <v>43448</v>
      </c>
      <c r="B2512">
        <v>120224</v>
      </c>
      <c r="C2512" t="s">
        <v>12</v>
      </c>
      <c r="D2512" t="s">
        <v>2418</v>
      </c>
      <c r="E2512" s="2">
        <v>102.56</v>
      </c>
    </row>
    <row r="2513" spans="1:5" x14ac:dyDescent="0.25">
      <c r="A2513" s="1">
        <v>43448</v>
      </c>
      <c r="B2513">
        <v>120225</v>
      </c>
      <c r="C2513" t="s">
        <v>2045</v>
      </c>
      <c r="D2513" t="s">
        <v>2046</v>
      </c>
      <c r="E2513" s="2">
        <v>2250</v>
      </c>
    </row>
    <row r="2514" spans="1:5" x14ac:dyDescent="0.25">
      <c r="A2514" s="1">
        <v>43448</v>
      </c>
      <c r="B2514">
        <v>120226</v>
      </c>
      <c r="C2514" t="s">
        <v>1228</v>
      </c>
      <c r="D2514" t="s">
        <v>1229</v>
      </c>
      <c r="E2514" s="2">
        <v>38.200000000000003</v>
      </c>
    </row>
    <row r="2515" spans="1:5" x14ac:dyDescent="0.25">
      <c r="A2515" s="1">
        <v>43448</v>
      </c>
      <c r="B2515">
        <v>120227</v>
      </c>
      <c r="C2515" t="s">
        <v>1345</v>
      </c>
      <c r="D2515" t="s">
        <v>1842</v>
      </c>
      <c r="E2515" s="2">
        <v>22.76</v>
      </c>
    </row>
    <row r="2516" spans="1:5" x14ac:dyDescent="0.25">
      <c r="A2516" s="1">
        <v>43448</v>
      </c>
      <c r="B2516">
        <v>120228</v>
      </c>
      <c r="C2516" t="s">
        <v>148</v>
      </c>
      <c r="D2516" t="s">
        <v>2419</v>
      </c>
      <c r="E2516" s="2">
        <v>1617</v>
      </c>
    </row>
    <row r="2517" spans="1:5" x14ac:dyDescent="0.25">
      <c r="A2517" s="1">
        <v>43448</v>
      </c>
      <c r="B2517">
        <v>120229</v>
      </c>
      <c r="C2517" t="s">
        <v>296</v>
      </c>
      <c r="D2517" t="s">
        <v>2420</v>
      </c>
      <c r="E2517" s="2">
        <v>279.95</v>
      </c>
    </row>
    <row r="2518" spans="1:5" x14ac:dyDescent="0.25">
      <c r="A2518" s="1">
        <v>43448</v>
      </c>
      <c r="B2518">
        <v>120230</v>
      </c>
      <c r="C2518" t="s">
        <v>50</v>
      </c>
      <c r="D2518" t="s">
        <v>2047</v>
      </c>
      <c r="E2518" s="2">
        <v>5685</v>
      </c>
    </row>
    <row r="2519" spans="1:5" x14ac:dyDescent="0.25">
      <c r="A2519" s="1">
        <v>43448</v>
      </c>
      <c r="B2519">
        <v>120231</v>
      </c>
      <c r="C2519" t="s">
        <v>51</v>
      </c>
      <c r="D2519" t="s">
        <v>2421</v>
      </c>
      <c r="E2519" s="2">
        <f>110.03+81.09</f>
        <v>191.12</v>
      </c>
    </row>
    <row r="2520" spans="1:5" x14ac:dyDescent="0.25">
      <c r="A2520" s="1">
        <v>43448</v>
      </c>
      <c r="B2520">
        <v>120232</v>
      </c>
      <c r="C2520" t="s">
        <v>2422</v>
      </c>
      <c r="D2520" t="s">
        <v>1015</v>
      </c>
      <c r="E2520" s="2">
        <f>22.59+17.29+103.15</f>
        <v>143.03</v>
      </c>
    </row>
    <row r="2521" spans="1:5" x14ac:dyDescent="0.25">
      <c r="A2521" s="1">
        <v>43448</v>
      </c>
      <c r="B2521">
        <v>120233</v>
      </c>
      <c r="C2521" t="s">
        <v>80</v>
      </c>
      <c r="D2521" t="s">
        <v>153</v>
      </c>
      <c r="E2521" s="2">
        <v>86.87</v>
      </c>
    </row>
    <row r="2522" spans="1:5" x14ac:dyDescent="0.25">
      <c r="A2522" s="1">
        <v>43448</v>
      </c>
      <c r="B2522">
        <v>120234</v>
      </c>
      <c r="C2522" t="s">
        <v>877</v>
      </c>
      <c r="D2522" t="s">
        <v>1224</v>
      </c>
      <c r="E2522" s="2">
        <v>229.5</v>
      </c>
    </row>
    <row r="2523" spans="1:5" x14ac:dyDescent="0.25">
      <c r="A2523" s="1">
        <v>43448</v>
      </c>
      <c r="B2523">
        <v>120235</v>
      </c>
      <c r="C2523" t="s">
        <v>154</v>
      </c>
      <c r="D2523" t="s">
        <v>2423</v>
      </c>
      <c r="E2523" s="2">
        <v>980</v>
      </c>
    </row>
    <row r="2524" spans="1:5" x14ac:dyDescent="0.25">
      <c r="A2524" s="1">
        <v>43448</v>
      </c>
      <c r="B2524">
        <v>120236</v>
      </c>
      <c r="C2524" t="s">
        <v>382</v>
      </c>
      <c r="D2524" t="s">
        <v>759</v>
      </c>
      <c r="E2524" s="2">
        <v>198.61</v>
      </c>
    </row>
    <row r="2525" spans="1:5" x14ac:dyDescent="0.25">
      <c r="A2525" s="1">
        <v>43448</v>
      </c>
      <c r="B2525">
        <v>120237</v>
      </c>
      <c r="C2525" t="s">
        <v>760</v>
      </c>
      <c r="D2525" t="s">
        <v>2424</v>
      </c>
      <c r="E2525" s="2">
        <v>498.84</v>
      </c>
    </row>
    <row r="2526" spans="1:5" x14ac:dyDescent="0.25">
      <c r="A2526" s="1">
        <v>43448</v>
      </c>
      <c r="B2526">
        <v>120237</v>
      </c>
      <c r="C2526" t="s">
        <v>760</v>
      </c>
      <c r="D2526" t="s">
        <v>1723</v>
      </c>
      <c r="E2526" s="2">
        <v>58.04</v>
      </c>
    </row>
    <row r="2527" spans="1:5" x14ac:dyDescent="0.25">
      <c r="A2527" s="1">
        <v>43448</v>
      </c>
      <c r="B2527">
        <v>120238</v>
      </c>
      <c r="C2527" t="s">
        <v>211</v>
      </c>
      <c r="D2527" t="s">
        <v>2425</v>
      </c>
      <c r="E2527" s="2">
        <v>242.5</v>
      </c>
    </row>
    <row r="2528" spans="1:5" x14ac:dyDescent="0.25">
      <c r="A2528" s="1">
        <v>43448</v>
      </c>
      <c r="B2528">
        <v>120239</v>
      </c>
      <c r="C2528" t="s">
        <v>158</v>
      </c>
      <c r="D2528" t="s">
        <v>2426</v>
      </c>
      <c r="E2528" s="2">
        <v>270</v>
      </c>
    </row>
    <row r="2529" spans="1:5" x14ac:dyDescent="0.25">
      <c r="A2529" s="1">
        <v>43448</v>
      </c>
      <c r="B2529">
        <v>120240</v>
      </c>
      <c r="C2529" t="s">
        <v>309</v>
      </c>
      <c r="D2529" t="s">
        <v>2427</v>
      </c>
      <c r="E2529" s="2">
        <v>1296</v>
      </c>
    </row>
    <row r="2530" spans="1:5" x14ac:dyDescent="0.25">
      <c r="A2530" s="1">
        <v>43448</v>
      </c>
      <c r="B2530">
        <v>120241</v>
      </c>
      <c r="C2530" t="s">
        <v>2061</v>
      </c>
      <c r="D2530" t="s">
        <v>2428</v>
      </c>
      <c r="E2530" s="2">
        <v>199</v>
      </c>
    </row>
    <row r="2531" spans="1:5" x14ac:dyDescent="0.25">
      <c r="A2531" s="1">
        <v>43448</v>
      </c>
      <c r="B2531">
        <v>120242</v>
      </c>
      <c r="C2531" t="s">
        <v>2429</v>
      </c>
      <c r="D2531" t="s">
        <v>2430</v>
      </c>
      <c r="E2531" s="2">
        <v>2378.06</v>
      </c>
    </row>
    <row r="2532" spans="1:5" x14ac:dyDescent="0.25">
      <c r="A2532" s="1">
        <v>43448</v>
      </c>
      <c r="B2532">
        <v>120243</v>
      </c>
      <c r="C2532" t="s">
        <v>2431</v>
      </c>
      <c r="D2532" t="s">
        <v>2432</v>
      </c>
      <c r="E2532" s="2">
        <v>312.44</v>
      </c>
    </row>
    <row r="2533" spans="1:5" x14ac:dyDescent="0.25">
      <c r="A2533" s="1">
        <v>43448</v>
      </c>
      <c r="B2533">
        <v>120245</v>
      </c>
      <c r="C2533" t="s">
        <v>318</v>
      </c>
      <c r="D2533" t="s">
        <v>2433</v>
      </c>
      <c r="E2533" s="2">
        <v>88573.11</v>
      </c>
    </row>
    <row r="2534" spans="1:5" x14ac:dyDescent="0.25">
      <c r="A2534" s="1">
        <v>43448</v>
      </c>
      <c r="B2534">
        <v>120245</v>
      </c>
      <c r="C2534" t="s">
        <v>318</v>
      </c>
      <c r="D2534" t="s">
        <v>2434</v>
      </c>
      <c r="E2534" s="2">
        <v>2638.65</v>
      </c>
    </row>
    <row r="2535" spans="1:5" x14ac:dyDescent="0.25">
      <c r="A2535" s="1">
        <v>43448</v>
      </c>
      <c r="B2535">
        <v>120245</v>
      </c>
      <c r="C2535" t="s">
        <v>318</v>
      </c>
      <c r="D2535" t="s">
        <v>2435</v>
      </c>
      <c r="E2535" s="2">
        <v>11954.63</v>
      </c>
    </row>
    <row r="2536" spans="1:5" x14ac:dyDescent="0.25">
      <c r="A2536" s="1">
        <v>43448</v>
      </c>
      <c r="B2536">
        <v>120246</v>
      </c>
      <c r="C2536" t="s">
        <v>597</v>
      </c>
      <c r="D2536" t="s">
        <v>598</v>
      </c>
      <c r="E2536" s="2">
        <v>0</v>
      </c>
    </row>
    <row r="2537" spans="1:5" x14ac:dyDescent="0.25">
      <c r="A2537" s="1">
        <v>43448</v>
      </c>
      <c r="B2537">
        <v>120247</v>
      </c>
      <c r="C2537" t="s">
        <v>164</v>
      </c>
      <c r="D2537" t="s">
        <v>2436</v>
      </c>
      <c r="E2537" s="2" t="s">
        <v>2437</v>
      </c>
    </row>
    <row r="2538" spans="1:5" x14ac:dyDescent="0.25">
      <c r="A2538" s="1">
        <v>43448</v>
      </c>
      <c r="B2538">
        <v>120248</v>
      </c>
      <c r="C2538" t="s">
        <v>166</v>
      </c>
      <c r="D2538" t="s">
        <v>2438</v>
      </c>
      <c r="E2538" s="2">
        <v>350</v>
      </c>
    </row>
    <row r="2539" spans="1:5" x14ac:dyDescent="0.25">
      <c r="A2539" s="1">
        <v>43448</v>
      </c>
      <c r="B2539">
        <v>120248</v>
      </c>
      <c r="C2539" t="s">
        <v>166</v>
      </c>
      <c r="D2539" t="s">
        <v>2439</v>
      </c>
      <c r="E2539" s="2">
        <v>75</v>
      </c>
    </row>
    <row r="2540" spans="1:5" x14ac:dyDescent="0.25">
      <c r="A2540" s="1">
        <v>43448</v>
      </c>
      <c r="B2540">
        <v>120248</v>
      </c>
      <c r="C2540" t="s">
        <v>166</v>
      </c>
      <c r="D2540" t="s">
        <v>2440</v>
      </c>
      <c r="E2540" s="2">
        <v>135</v>
      </c>
    </row>
    <row r="2541" spans="1:5" x14ac:dyDescent="0.25">
      <c r="A2541" s="1">
        <v>43448</v>
      </c>
      <c r="B2541">
        <v>120249</v>
      </c>
      <c r="C2541" t="s">
        <v>2441</v>
      </c>
      <c r="D2541" t="s">
        <v>2442</v>
      </c>
      <c r="E2541" s="2">
        <v>313.58999999999997</v>
      </c>
    </row>
    <row r="2542" spans="1:5" x14ac:dyDescent="0.25">
      <c r="A2542" s="1">
        <v>43448</v>
      </c>
      <c r="B2542">
        <v>120250</v>
      </c>
      <c r="C2542" t="s">
        <v>893</v>
      </c>
      <c r="D2542" t="s">
        <v>2443</v>
      </c>
      <c r="E2542" s="2">
        <v>100</v>
      </c>
    </row>
    <row r="2543" spans="1:5" x14ac:dyDescent="0.25">
      <c r="A2543" s="1">
        <v>43448</v>
      </c>
      <c r="B2543">
        <v>120251</v>
      </c>
      <c r="C2543" t="s">
        <v>1261</v>
      </c>
      <c r="D2543" t="s">
        <v>2444</v>
      </c>
      <c r="E2543" s="2">
        <f>280+3071.33+239</f>
        <v>3590.33</v>
      </c>
    </row>
    <row r="2544" spans="1:5" x14ac:dyDescent="0.25">
      <c r="A2544" s="1">
        <v>43448</v>
      </c>
      <c r="B2544">
        <v>120252</v>
      </c>
      <c r="C2544" t="s">
        <v>88</v>
      </c>
      <c r="D2544" t="s">
        <v>2445</v>
      </c>
      <c r="E2544" s="2">
        <v>510</v>
      </c>
    </row>
    <row r="2545" spans="1:5" x14ac:dyDescent="0.25">
      <c r="A2545" s="1">
        <v>43448</v>
      </c>
      <c r="B2545">
        <v>120253</v>
      </c>
      <c r="C2545" t="s">
        <v>2446</v>
      </c>
      <c r="D2545" t="s">
        <v>2447</v>
      </c>
      <c r="E2545" s="2">
        <v>21956.36</v>
      </c>
    </row>
    <row r="2546" spans="1:5" x14ac:dyDescent="0.25">
      <c r="A2546" s="1">
        <v>43448</v>
      </c>
      <c r="B2546">
        <v>120254</v>
      </c>
      <c r="C2546" t="s">
        <v>174</v>
      </c>
      <c r="D2546" t="s">
        <v>175</v>
      </c>
      <c r="E2546" s="2">
        <v>1941.06</v>
      </c>
    </row>
    <row r="2547" spans="1:5" x14ac:dyDescent="0.25">
      <c r="A2547" s="1">
        <v>43448</v>
      </c>
      <c r="B2547">
        <v>120255</v>
      </c>
      <c r="C2547" t="s">
        <v>1726</v>
      </c>
      <c r="D2547" t="s">
        <v>2448</v>
      </c>
      <c r="E2547" s="2">
        <v>40</v>
      </c>
    </row>
    <row r="2548" spans="1:5" x14ac:dyDescent="0.25">
      <c r="A2548" s="1">
        <v>43448</v>
      </c>
      <c r="B2548">
        <v>120256</v>
      </c>
      <c r="C2548" t="s">
        <v>2449</v>
      </c>
      <c r="D2548" t="s">
        <v>2450</v>
      </c>
      <c r="E2548" s="2">
        <v>250</v>
      </c>
    </row>
    <row r="2549" spans="1:5" x14ac:dyDescent="0.25">
      <c r="A2549" s="1">
        <v>43448</v>
      </c>
      <c r="B2549">
        <v>120257</v>
      </c>
      <c r="C2549" t="s">
        <v>59</v>
      </c>
      <c r="D2549" t="s">
        <v>2451</v>
      </c>
      <c r="E2549" s="2">
        <v>686.08</v>
      </c>
    </row>
    <row r="2550" spans="1:5" x14ac:dyDescent="0.25">
      <c r="A2550" s="1">
        <v>43448</v>
      </c>
      <c r="B2550">
        <v>120257</v>
      </c>
      <c r="C2550" t="s">
        <v>59</v>
      </c>
      <c r="D2550" t="s">
        <v>2452</v>
      </c>
      <c r="E2550" s="2">
        <v>1998.08</v>
      </c>
    </row>
    <row r="2551" spans="1:5" x14ac:dyDescent="0.25">
      <c r="A2551" s="1">
        <v>43448</v>
      </c>
      <c r="B2551">
        <v>120258</v>
      </c>
      <c r="C2551" t="s">
        <v>179</v>
      </c>
      <c r="D2551" t="s">
        <v>2453</v>
      </c>
      <c r="E2551" s="2">
        <v>102.2</v>
      </c>
    </row>
    <row r="2552" spans="1:5" x14ac:dyDescent="0.25">
      <c r="A2552" s="1">
        <v>43448</v>
      </c>
      <c r="B2552">
        <v>120259</v>
      </c>
      <c r="C2552" t="s">
        <v>181</v>
      </c>
      <c r="D2552" t="s">
        <v>2454</v>
      </c>
      <c r="E2552" s="2">
        <v>1709.55</v>
      </c>
    </row>
    <row r="2553" spans="1:5" x14ac:dyDescent="0.25">
      <c r="A2553" s="1">
        <v>43448</v>
      </c>
      <c r="B2553">
        <v>120261</v>
      </c>
      <c r="C2553" t="s">
        <v>327</v>
      </c>
      <c r="D2553" t="s">
        <v>2455</v>
      </c>
      <c r="E2553" s="2">
        <f>2043.2+2043.2</f>
        <v>4086.4</v>
      </c>
    </row>
    <row r="2554" spans="1:5" x14ac:dyDescent="0.25">
      <c r="A2554" s="1">
        <v>43448</v>
      </c>
      <c r="B2554">
        <v>120261</v>
      </c>
      <c r="C2554" t="s">
        <v>327</v>
      </c>
      <c r="D2554" t="s">
        <v>328</v>
      </c>
      <c r="E2554" s="2">
        <f>1151.1+55</f>
        <v>1206.0999999999999</v>
      </c>
    </row>
    <row r="2555" spans="1:5" x14ac:dyDescent="0.25">
      <c r="A2555" s="1">
        <v>43448</v>
      </c>
      <c r="B2555">
        <v>120262</v>
      </c>
      <c r="C2555" t="s">
        <v>388</v>
      </c>
      <c r="D2555" t="s">
        <v>777</v>
      </c>
      <c r="E2555" s="2">
        <v>449.03</v>
      </c>
    </row>
    <row r="2556" spans="1:5" x14ac:dyDescent="0.25">
      <c r="A2556" s="1">
        <v>43448</v>
      </c>
      <c r="B2556">
        <v>120264</v>
      </c>
      <c r="C2556" t="s">
        <v>644</v>
      </c>
      <c r="D2556" t="s">
        <v>2456</v>
      </c>
      <c r="E2556" s="2">
        <f>89+46.01</f>
        <v>135.01</v>
      </c>
    </row>
    <row r="2557" spans="1:5" x14ac:dyDescent="0.25">
      <c r="A2557" s="1">
        <v>43448</v>
      </c>
      <c r="B2557">
        <v>120264</v>
      </c>
      <c r="C2557" t="s">
        <v>644</v>
      </c>
      <c r="D2557" t="s">
        <v>2457</v>
      </c>
      <c r="E2557" s="2">
        <f>27+40</f>
        <v>67</v>
      </c>
    </row>
    <row r="2558" spans="1:5" x14ac:dyDescent="0.25">
      <c r="A2558" s="1">
        <v>43448</v>
      </c>
      <c r="B2558">
        <v>120266</v>
      </c>
      <c r="C2558" t="s">
        <v>392</v>
      </c>
      <c r="D2558" t="s">
        <v>2458</v>
      </c>
      <c r="E2558" s="2">
        <v>15628.41</v>
      </c>
    </row>
    <row r="2559" spans="1:5" x14ac:dyDescent="0.25">
      <c r="A2559" s="1">
        <v>43448</v>
      </c>
      <c r="B2559">
        <v>120267</v>
      </c>
      <c r="C2559" t="s">
        <v>189</v>
      </c>
      <c r="D2559" t="s">
        <v>2459</v>
      </c>
      <c r="E2559" s="2">
        <v>47.55</v>
      </c>
    </row>
    <row r="2560" spans="1:5" x14ac:dyDescent="0.25">
      <c r="A2560" s="1">
        <v>43448</v>
      </c>
      <c r="B2560">
        <v>181900129</v>
      </c>
      <c r="C2560" t="s">
        <v>2460</v>
      </c>
      <c r="D2560" t="s">
        <v>1980</v>
      </c>
      <c r="E2560" s="2">
        <v>16</v>
      </c>
    </row>
    <row r="2561" spans="1:5" x14ac:dyDescent="0.25">
      <c r="A2561" s="1">
        <v>43448</v>
      </c>
      <c r="B2561">
        <v>181900130</v>
      </c>
      <c r="C2561" t="s">
        <v>2461</v>
      </c>
      <c r="D2561" t="s">
        <v>1980</v>
      </c>
      <c r="E2561" s="2">
        <v>103.22</v>
      </c>
    </row>
    <row r="2562" spans="1:5" x14ac:dyDescent="0.25">
      <c r="A2562" s="1">
        <v>43448</v>
      </c>
      <c r="B2562">
        <v>181900131</v>
      </c>
      <c r="C2562" t="s">
        <v>2462</v>
      </c>
      <c r="D2562" t="s">
        <v>1980</v>
      </c>
      <c r="E2562" s="2">
        <v>44.22</v>
      </c>
    </row>
    <row r="2563" spans="1:5" x14ac:dyDescent="0.25">
      <c r="A2563" s="1">
        <v>43448</v>
      </c>
      <c r="B2563">
        <v>181900132</v>
      </c>
      <c r="C2563" t="s">
        <v>1546</v>
      </c>
      <c r="D2563" t="s">
        <v>1980</v>
      </c>
      <c r="E2563" s="2">
        <v>55.65</v>
      </c>
    </row>
    <row r="2564" spans="1:5" x14ac:dyDescent="0.25">
      <c r="A2564" s="1">
        <v>43448</v>
      </c>
      <c r="B2564">
        <v>181900133</v>
      </c>
      <c r="C2564" t="s">
        <v>398</v>
      </c>
      <c r="D2564" t="s">
        <v>2463</v>
      </c>
      <c r="E2564" s="2">
        <v>129701.31</v>
      </c>
    </row>
    <row r="2565" spans="1:5" x14ac:dyDescent="0.25">
      <c r="A2565" s="1">
        <v>43448</v>
      </c>
      <c r="B2565">
        <v>181900134</v>
      </c>
      <c r="C2565" t="s">
        <v>2464</v>
      </c>
      <c r="D2565" t="s">
        <v>1980</v>
      </c>
      <c r="E2565" s="2">
        <v>24.83</v>
      </c>
    </row>
    <row r="2566" spans="1:5" x14ac:dyDescent="0.25">
      <c r="A2566" s="1">
        <v>43448</v>
      </c>
      <c r="B2566">
        <v>181900135</v>
      </c>
      <c r="C2566" t="s">
        <v>911</v>
      </c>
      <c r="D2566" t="s">
        <v>1980</v>
      </c>
      <c r="E2566" s="2">
        <v>43.73</v>
      </c>
    </row>
    <row r="2567" spans="1:5" x14ac:dyDescent="0.25">
      <c r="A2567" s="1">
        <v>43448</v>
      </c>
      <c r="B2567">
        <v>181900136</v>
      </c>
      <c r="C2567" t="s">
        <v>2465</v>
      </c>
      <c r="D2567" t="s">
        <v>1980</v>
      </c>
      <c r="E2567" s="2">
        <v>76.36</v>
      </c>
    </row>
    <row r="2568" spans="1:5" x14ac:dyDescent="0.25">
      <c r="A2568" s="1">
        <v>43448</v>
      </c>
      <c r="B2568">
        <v>181900137</v>
      </c>
      <c r="C2568" t="s">
        <v>2466</v>
      </c>
      <c r="D2568" t="s">
        <v>1980</v>
      </c>
      <c r="E2568" s="2">
        <v>118.87</v>
      </c>
    </row>
    <row r="2569" spans="1:5" x14ac:dyDescent="0.25">
      <c r="A2569" s="1">
        <v>43448</v>
      </c>
      <c r="B2569">
        <v>181900138</v>
      </c>
      <c r="C2569" t="s">
        <v>916</v>
      </c>
      <c r="D2569" t="s">
        <v>1980</v>
      </c>
      <c r="E2569" s="2">
        <v>39.5</v>
      </c>
    </row>
    <row r="2570" spans="1:5" x14ac:dyDescent="0.25">
      <c r="A2570" s="1">
        <v>43448</v>
      </c>
      <c r="B2570">
        <v>181900139</v>
      </c>
      <c r="C2570" t="s">
        <v>2467</v>
      </c>
      <c r="D2570" t="s">
        <v>1980</v>
      </c>
      <c r="E2570" s="2">
        <v>118.87</v>
      </c>
    </row>
    <row r="2571" spans="1:5" x14ac:dyDescent="0.25">
      <c r="A2571" s="1">
        <v>43448</v>
      </c>
      <c r="B2571">
        <v>181900140</v>
      </c>
      <c r="C2571" t="s">
        <v>2468</v>
      </c>
      <c r="D2571" t="s">
        <v>1980</v>
      </c>
      <c r="E2571" s="2">
        <v>126.26</v>
      </c>
    </row>
    <row r="2572" spans="1:5" x14ac:dyDescent="0.25">
      <c r="A2572" s="1">
        <v>43448</v>
      </c>
      <c r="B2572">
        <v>181900141</v>
      </c>
      <c r="C2572" t="s">
        <v>2469</v>
      </c>
      <c r="D2572" t="s">
        <v>1980</v>
      </c>
      <c r="E2572" s="2">
        <v>37.68</v>
      </c>
    </row>
    <row r="2573" spans="1:5" x14ac:dyDescent="0.25">
      <c r="A2573" s="1">
        <v>43448</v>
      </c>
      <c r="B2573">
        <v>181900142</v>
      </c>
      <c r="C2573" t="s">
        <v>2470</v>
      </c>
      <c r="D2573" t="s">
        <v>1980</v>
      </c>
      <c r="E2573" s="2">
        <v>83.44</v>
      </c>
    </row>
    <row r="2574" spans="1:5" x14ac:dyDescent="0.25">
      <c r="A2574" s="1">
        <v>43448</v>
      </c>
      <c r="B2574">
        <v>181900143</v>
      </c>
      <c r="C2574" t="s">
        <v>2471</v>
      </c>
      <c r="D2574" t="s">
        <v>1980</v>
      </c>
      <c r="E2574" s="2">
        <v>33.68</v>
      </c>
    </row>
    <row r="2575" spans="1:5" x14ac:dyDescent="0.25">
      <c r="A2575" s="1">
        <v>43453</v>
      </c>
      <c r="B2575">
        <v>120268</v>
      </c>
      <c r="C2575" t="s">
        <v>812</v>
      </c>
      <c r="D2575" t="s">
        <v>2472</v>
      </c>
      <c r="E2575" s="2">
        <v>500</v>
      </c>
    </row>
    <row r="2576" spans="1:5" x14ac:dyDescent="0.25">
      <c r="A2576" s="1">
        <v>43453</v>
      </c>
      <c r="B2576">
        <v>120269</v>
      </c>
      <c r="C2576" t="s">
        <v>2473</v>
      </c>
      <c r="D2576" t="s">
        <v>2474</v>
      </c>
      <c r="E2576" s="2">
        <v>931.5</v>
      </c>
    </row>
    <row r="2577" spans="1:5" x14ac:dyDescent="0.25">
      <c r="A2577" s="1">
        <v>43453</v>
      </c>
      <c r="B2577">
        <v>120270</v>
      </c>
      <c r="C2577" t="s">
        <v>1755</v>
      </c>
      <c r="D2577" t="s">
        <v>2475</v>
      </c>
      <c r="E2577" s="2">
        <v>1000</v>
      </c>
    </row>
    <row r="2578" spans="1:5" x14ac:dyDescent="0.25">
      <c r="A2578" s="1">
        <v>43453</v>
      </c>
      <c r="B2578">
        <v>120271</v>
      </c>
      <c r="C2578" t="s">
        <v>67</v>
      </c>
      <c r="D2578" t="s">
        <v>2476</v>
      </c>
      <c r="E2578" s="2">
        <v>532.65</v>
      </c>
    </row>
    <row r="2579" spans="1:5" x14ac:dyDescent="0.25">
      <c r="A2579" s="1">
        <v>43453</v>
      </c>
      <c r="B2579">
        <v>120272</v>
      </c>
      <c r="C2579" t="s">
        <v>2477</v>
      </c>
      <c r="D2579" t="s">
        <v>2478</v>
      </c>
      <c r="E2579" s="2">
        <v>2123.35</v>
      </c>
    </row>
    <row r="2580" spans="1:5" x14ac:dyDescent="0.25">
      <c r="A2580" s="1">
        <v>43453</v>
      </c>
      <c r="B2580">
        <v>120273</v>
      </c>
      <c r="C2580" t="s">
        <v>1757</v>
      </c>
      <c r="D2580" t="s">
        <v>2475</v>
      </c>
      <c r="E2580" s="2">
        <v>1000</v>
      </c>
    </row>
    <row r="2581" spans="1:5" x14ac:dyDescent="0.25">
      <c r="A2581" s="1">
        <v>43453</v>
      </c>
      <c r="B2581">
        <v>120274</v>
      </c>
      <c r="C2581" t="s">
        <v>405</v>
      </c>
      <c r="D2581" t="s">
        <v>2479</v>
      </c>
      <c r="E2581" s="2">
        <v>159.9</v>
      </c>
    </row>
    <row r="2582" spans="1:5" x14ac:dyDescent="0.25">
      <c r="A2582" s="1">
        <v>43453</v>
      </c>
      <c r="B2582">
        <v>120275</v>
      </c>
      <c r="C2582" t="s">
        <v>244</v>
      </c>
      <c r="D2582" t="s">
        <v>2480</v>
      </c>
      <c r="E2582" s="2">
        <v>144.02000000000001</v>
      </c>
    </row>
    <row r="2583" spans="1:5" x14ac:dyDescent="0.25">
      <c r="A2583" s="1">
        <v>43453</v>
      </c>
      <c r="B2583">
        <v>120276</v>
      </c>
      <c r="C2583" t="s">
        <v>7</v>
      </c>
      <c r="D2583" t="s">
        <v>2481</v>
      </c>
      <c r="E2583" s="2">
        <v>36</v>
      </c>
    </row>
    <row r="2584" spans="1:5" x14ac:dyDescent="0.25">
      <c r="A2584" s="1">
        <v>43453</v>
      </c>
      <c r="B2584">
        <v>120277</v>
      </c>
      <c r="C2584" t="s">
        <v>31</v>
      </c>
      <c r="D2584" t="s">
        <v>1086</v>
      </c>
      <c r="E2584" s="2">
        <f>40.56+120</f>
        <v>160.56</v>
      </c>
    </row>
    <row r="2585" spans="1:5" x14ac:dyDescent="0.25">
      <c r="A2585" s="1">
        <v>43453</v>
      </c>
      <c r="B2585">
        <v>120278</v>
      </c>
      <c r="C2585" t="s">
        <v>1092</v>
      </c>
      <c r="D2585" t="s">
        <v>2482</v>
      </c>
      <c r="E2585" s="2">
        <v>64</v>
      </c>
    </row>
    <row r="2586" spans="1:5" x14ac:dyDescent="0.25">
      <c r="A2586" s="1">
        <v>43453</v>
      </c>
      <c r="B2586">
        <v>120278</v>
      </c>
      <c r="C2586" t="s">
        <v>1092</v>
      </c>
      <c r="D2586" t="s">
        <v>2483</v>
      </c>
      <c r="E2586" s="2">
        <v>70</v>
      </c>
    </row>
    <row r="2587" spans="1:5" x14ac:dyDescent="0.25">
      <c r="A2587" s="1">
        <v>43453</v>
      </c>
      <c r="B2587">
        <v>120279</v>
      </c>
      <c r="C2587" t="s">
        <v>692</v>
      </c>
      <c r="D2587" t="s">
        <v>2484</v>
      </c>
      <c r="E2587" s="2">
        <v>936.63</v>
      </c>
    </row>
    <row r="2588" spans="1:5" x14ac:dyDescent="0.25">
      <c r="A2588" s="1">
        <v>43453</v>
      </c>
      <c r="B2588">
        <v>120279</v>
      </c>
      <c r="C2588" t="s">
        <v>692</v>
      </c>
      <c r="D2588" t="s">
        <v>2484</v>
      </c>
      <c r="E2588" s="2">
        <v>56.27</v>
      </c>
    </row>
    <row r="2589" spans="1:5" x14ac:dyDescent="0.25">
      <c r="A2589" s="1">
        <v>43453</v>
      </c>
      <c r="B2589">
        <v>120280</v>
      </c>
      <c r="C2589" t="s">
        <v>1094</v>
      </c>
      <c r="D2589" t="s">
        <v>2485</v>
      </c>
      <c r="E2589" s="2">
        <v>751.5</v>
      </c>
    </row>
    <row r="2590" spans="1:5" x14ac:dyDescent="0.25">
      <c r="A2590" s="1">
        <v>43453</v>
      </c>
      <c r="B2590">
        <v>120281</v>
      </c>
      <c r="C2590" t="s">
        <v>1762</v>
      </c>
      <c r="D2590" t="s">
        <v>2486</v>
      </c>
      <c r="E2590" s="2">
        <v>116.76</v>
      </c>
    </row>
    <row r="2591" spans="1:5" x14ac:dyDescent="0.25">
      <c r="A2591" s="1">
        <v>43453</v>
      </c>
      <c r="B2591">
        <v>120282</v>
      </c>
      <c r="C2591" t="s">
        <v>225</v>
      </c>
      <c r="D2591" t="s">
        <v>2487</v>
      </c>
      <c r="E2591" s="2">
        <v>7000</v>
      </c>
    </row>
    <row r="2592" spans="1:5" x14ac:dyDescent="0.25">
      <c r="A2592" s="1">
        <v>43453</v>
      </c>
      <c r="B2592">
        <v>120283</v>
      </c>
      <c r="C2592" t="s">
        <v>74</v>
      </c>
      <c r="D2592" t="s">
        <v>2488</v>
      </c>
      <c r="E2592" s="2">
        <v>5999</v>
      </c>
    </row>
    <row r="2593" spans="1:5" x14ac:dyDescent="0.25">
      <c r="A2593" s="1">
        <v>43453</v>
      </c>
      <c r="B2593">
        <v>120284</v>
      </c>
      <c r="C2593" t="s">
        <v>2296</v>
      </c>
      <c r="D2593" t="s">
        <v>2489</v>
      </c>
      <c r="E2593" s="2">
        <v>156</v>
      </c>
    </row>
    <row r="2594" spans="1:5" x14ac:dyDescent="0.25">
      <c r="A2594" s="1">
        <v>43453</v>
      </c>
      <c r="B2594">
        <v>120285</v>
      </c>
      <c r="C2594" t="s">
        <v>14</v>
      </c>
      <c r="D2594" t="s">
        <v>2490</v>
      </c>
      <c r="E2594" s="2">
        <v>193.43</v>
      </c>
    </row>
    <row r="2595" spans="1:5" x14ac:dyDescent="0.25">
      <c r="A2595" s="1">
        <v>43453</v>
      </c>
      <c r="B2595">
        <v>120286</v>
      </c>
      <c r="C2595" t="s">
        <v>1773</v>
      </c>
      <c r="D2595" t="s">
        <v>2491</v>
      </c>
      <c r="E2595" s="2">
        <v>1000</v>
      </c>
    </row>
    <row r="2596" spans="1:5" x14ac:dyDescent="0.25">
      <c r="A2596" s="1">
        <v>43453</v>
      </c>
      <c r="B2596">
        <v>120287</v>
      </c>
      <c r="C2596" t="s">
        <v>219</v>
      </c>
      <c r="D2596" t="s">
        <v>2492</v>
      </c>
      <c r="E2596" s="2">
        <v>193.75</v>
      </c>
    </row>
    <row r="2597" spans="1:5" x14ac:dyDescent="0.25">
      <c r="A2597" s="1">
        <v>43453</v>
      </c>
      <c r="B2597">
        <v>120288</v>
      </c>
      <c r="C2597" t="s">
        <v>2493</v>
      </c>
      <c r="D2597" t="s">
        <v>2494</v>
      </c>
      <c r="E2597" s="2">
        <v>525</v>
      </c>
    </row>
    <row r="2598" spans="1:5" x14ac:dyDescent="0.25">
      <c r="A2598" s="1">
        <v>43453</v>
      </c>
      <c r="B2598">
        <v>120289</v>
      </c>
      <c r="C2598" t="s">
        <v>2495</v>
      </c>
      <c r="D2598" t="s">
        <v>2273</v>
      </c>
      <c r="E2598" s="2">
        <v>180</v>
      </c>
    </row>
    <row r="2599" spans="1:5" x14ac:dyDescent="0.25">
      <c r="A2599" s="1">
        <v>43453</v>
      </c>
      <c r="B2599">
        <v>120295</v>
      </c>
      <c r="C2599" t="s">
        <v>222</v>
      </c>
      <c r="D2599" t="s">
        <v>2496</v>
      </c>
      <c r="E2599" s="2">
        <v>170.84</v>
      </c>
    </row>
    <row r="2600" spans="1:5" x14ac:dyDescent="0.25">
      <c r="A2600" s="1">
        <v>43453</v>
      </c>
      <c r="B2600">
        <v>120295</v>
      </c>
      <c r="C2600" t="s">
        <v>222</v>
      </c>
      <c r="D2600" t="s">
        <v>2497</v>
      </c>
      <c r="E2600" s="2">
        <f>124.09+19.64</f>
        <v>143.73000000000002</v>
      </c>
    </row>
    <row r="2601" spans="1:5" x14ac:dyDescent="0.25">
      <c r="A2601" s="1">
        <v>43453</v>
      </c>
      <c r="B2601">
        <v>120295</v>
      </c>
      <c r="C2601" t="s">
        <v>222</v>
      </c>
      <c r="D2601" t="s">
        <v>2498</v>
      </c>
      <c r="E2601" s="2">
        <v>97.06</v>
      </c>
    </row>
    <row r="2602" spans="1:5" x14ac:dyDescent="0.25">
      <c r="A2602" s="1">
        <v>43453</v>
      </c>
      <c r="B2602">
        <v>120295</v>
      </c>
      <c r="C2602" t="s">
        <v>222</v>
      </c>
      <c r="D2602" t="s">
        <v>2499</v>
      </c>
      <c r="E2602" s="2">
        <v>234.52</v>
      </c>
    </row>
    <row r="2603" spans="1:5" x14ac:dyDescent="0.25">
      <c r="A2603" s="1">
        <v>43453</v>
      </c>
      <c r="B2603">
        <v>120295</v>
      </c>
      <c r="C2603" t="s">
        <v>222</v>
      </c>
      <c r="D2603" t="s">
        <v>2143</v>
      </c>
      <c r="E2603" s="2">
        <v>28.32</v>
      </c>
    </row>
    <row r="2604" spans="1:5" x14ac:dyDescent="0.25">
      <c r="A2604" s="1">
        <v>43453</v>
      </c>
      <c r="B2604">
        <v>120295</v>
      </c>
      <c r="C2604" t="s">
        <v>222</v>
      </c>
      <c r="D2604" t="s">
        <v>2500</v>
      </c>
      <c r="E2604" s="2">
        <v>83.63</v>
      </c>
    </row>
    <row r="2605" spans="1:5" x14ac:dyDescent="0.25">
      <c r="A2605" s="1">
        <v>43453</v>
      </c>
      <c r="B2605">
        <v>120295</v>
      </c>
      <c r="C2605" t="s">
        <v>222</v>
      </c>
      <c r="D2605" t="s">
        <v>2143</v>
      </c>
      <c r="E2605" s="2">
        <v>42.5</v>
      </c>
    </row>
    <row r="2606" spans="1:5" x14ac:dyDescent="0.25">
      <c r="A2606" s="1">
        <v>43453</v>
      </c>
      <c r="B2606">
        <v>120295</v>
      </c>
      <c r="C2606" t="s">
        <v>222</v>
      </c>
      <c r="D2606" t="s">
        <v>2501</v>
      </c>
      <c r="E2606" s="2">
        <v>4944.6000000000004</v>
      </c>
    </row>
    <row r="2607" spans="1:5" x14ac:dyDescent="0.25">
      <c r="A2607" s="1">
        <v>43453</v>
      </c>
      <c r="B2607">
        <v>120295</v>
      </c>
      <c r="C2607" t="s">
        <v>222</v>
      </c>
      <c r="D2607" t="s">
        <v>2502</v>
      </c>
      <c r="E2607" s="2">
        <v>45.84</v>
      </c>
    </row>
    <row r="2608" spans="1:5" x14ac:dyDescent="0.25">
      <c r="A2608" s="1">
        <v>43453</v>
      </c>
      <c r="B2608">
        <v>120295</v>
      </c>
      <c r="C2608" t="s">
        <v>222</v>
      </c>
      <c r="D2608" t="s">
        <v>2350</v>
      </c>
      <c r="E2608" s="2">
        <v>229.65</v>
      </c>
    </row>
    <row r="2609" spans="1:5" x14ac:dyDescent="0.25">
      <c r="A2609" s="1">
        <v>43453</v>
      </c>
      <c r="B2609">
        <v>120295</v>
      </c>
      <c r="C2609" t="s">
        <v>222</v>
      </c>
      <c r="D2609" t="s">
        <v>2503</v>
      </c>
      <c r="E2609" s="2">
        <f>61.64+8.96</f>
        <v>70.599999999999994</v>
      </c>
    </row>
    <row r="2610" spans="1:5" x14ac:dyDescent="0.25">
      <c r="A2610" s="1">
        <v>43453</v>
      </c>
      <c r="B2610">
        <v>120295</v>
      </c>
      <c r="C2610" t="s">
        <v>222</v>
      </c>
      <c r="D2610" t="s">
        <v>664</v>
      </c>
      <c r="E2610" s="3">
        <v>-96.76</v>
      </c>
    </row>
    <row r="2611" spans="1:5" x14ac:dyDescent="0.25">
      <c r="A2611" s="1">
        <v>43453</v>
      </c>
      <c r="B2611">
        <v>120295</v>
      </c>
      <c r="C2611" t="s">
        <v>222</v>
      </c>
      <c r="D2611" t="s">
        <v>2504</v>
      </c>
      <c r="E2611" s="2">
        <v>95.38</v>
      </c>
    </row>
    <row r="2612" spans="1:5" x14ac:dyDescent="0.25">
      <c r="A2612" s="1">
        <v>43453</v>
      </c>
      <c r="B2612">
        <v>120295</v>
      </c>
      <c r="C2612" t="s">
        <v>222</v>
      </c>
      <c r="D2612" t="s">
        <v>2459</v>
      </c>
      <c r="E2612" s="2">
        <v>104.87</v>
      </c>
    </row>
    <row r="2613" spans="1:5" x14ac:dyDescent="0.25">
      <c r="A2613" s="1">
        <v>43453</v>
      </c>
      <c r="B2613">
        <v>120295</v>
      </c>
      <c r="C2613" t="s">
        <v>222</v>
      </c>
      <c r="D2613" t="s">
        <v>2505</v>
      </c>
      <c r="E2613" s="2">
        <v>67.34</v>
      </c>
    </row>
    <row r="2614" spans="1:5" x14ac:dyDescent="0.25">
      <c r="A2614" s="1">
        <v>43453</v>
      </c>
      <c r="B2614">
        <v>120295</v>
      </c>
      <c r="C2614" t="s">
        <v>222</v>
      </c>
      <c r="D2614" t="s">
        <v>2506</v>
      </c>
      <c r="E2614" s="2">
        <v>14.91</v>
      </c>
    </row>
    <row r="2615" spans="1:5" x14ac:dyDescent="0.25">
      <c r="A2615" s="1">
        <v>43453</v>
      </c>
      <c r="B2615">
        <v>120295</v>
      </c>
      <c r="C2615" t="s">
        <v>222</v>
      </c>
      <c r="D2615" t="s">
        <v>2507</v>
      </c>
      <c r="E2615" s="2">
        <v>76.89</v>
      </c>
    </row>
    <row r="2616" spans="1:5" x14ac:dyDescent="0.25">
      <c r="A2616" s="1">
        <v>43453</v>
      </c>
      <c r="B2616">
        <v>120295</v>
      </c>
      <c r="C2616" t="s">
        <v>222</v>
      </c>
      <c r="D2616" t="s">
        <v>2508</v>
      </c>
      <c r="E2616" s="2">
        <v>50.86</v>
      </c>
    </row>
    <row r="2617" spans="1:5" x14ac:dyDescent="0.25">
      <c r="A2617" s="1">
        <v>43453</v>
      </c>
      <c r="B2617">
        <v>120295</v>
      </c>
      <c r="C2617" t="s">
        <v>222</v>
      </c>
      <c r="D2617" t="s">
        <v>2509</v>
      </c>
      <c r="E2617" s="2">
        <v>176.6</v>
      </c>
    </row>
    <row r="2618" spans="1:5" x14ac:dyDescent="0.25">
      <c r="A2618" s="1">
        <v>43453</v>
      </c>
      <c r="B2618">
        <v>120295</v>
      </c>
      <c r="C2618" t="s">
        <v>222</v>
      </c>
      <c r="D2618" t="s">
        <v>2510</v>
      </c>
      <c r="E2618" s="2">
        <v>88.81</v>
      </c>
    </row>
    <row r="2619" spans="1:5" x14ac:dyDescent="0.25">
      <c r="A2619" s="1">
        <v>43453</v>
      </c>
      <c r="B2619">
        <v>120295</v>
      </c>
      <c r="C2619" t="s">
        <v>222</v>
      </c>
      <c r="D2619" t="s">
        <v>2511</v>
      </c>
      <c r="E2619" s="2">
        <v>130.31</v>
      </c>
    </row>
    <row r="2620" spans="1:5" x14ac:dyDescent="0.25">
      <c r="A2620" s="1">
        <v>43453</v>
      </c>
      <c r="B2620">
        <v>120295</v>
      </c>
      <c r="C2620" t="s">
        <v>222</v>
      </c>
      <c r="D2620" t="s">
        <v>2512</v>
      </c>
      <c r="E2620" s="2">
        <v>7.6</v>
      </c>
    </row>
    <row r="2621" spans="1:5" x14ac:dyDescent="0.25">
      <c r="A2621" s="1">
        <v>43453</v>
      </c>
      <c r="B2621">
        <v>120295</v>
      </c>
      <c r="C2621" t="s">
        <v>222</v>
      </c>
      <c r="D2621" t="s">
        <v>2513</v>
      </c>
      <c r="E2621" s="2">
        <v>91.2</v>
      </c>
    </row>
    <row r="2622" spans="1:5" x14ac:dyDescent="0.25">
      <c r="A2622" s="1">
        <v>43453</v>
      </c>
      <c r="B2622">
        <v>120295</v>
      </c>
      <c r="C2622" t="s">
        <v>222</v>
      </c>
      <c r="D2622" t="s">
        <v>2514</v>
      </c>
      <c r="E2622" s="2">
        <v>107.74</v>
      </c>
    </row>
    <row r="2623" spans="1:5" x14ac:dyDescent="0.25">
      <c r="A2623" s="1">
        <v>43453</v>
      </c>
      <c r="B2623">
        <v>120296</v>
      </c>
      <c r="C2623" t="s">
        <v>809</v>
      </c>
      <c r="D2623" t="s">
        <v>2515</v>
      </c>
      <c r="E2623" s="2">
        <v>70.87</v>
      </c>
    </row>
    <row r="2624" spans="1:5" x14ac:dyDescent="0.25">
      <c r="A2624" s="1">
        <v>43453</v>
      </c>
      <c r="B2624">
        <v>120297</v>
      </c>
      <c r="C2624" t="s">
        <v>1135</v>
      </c>
      <c r="D2624" t="s">
        <v>2516</v>
      </c>
      <c r="E2624" s="2">
        <v>345</v>
      </c>
    </row>
    <row r="2625" spans="1:5" x14ac:dyDescent="0.25">
      <c r="A2625" s="1">
        <v>43453</v>
      </c>
      <c r="B2625">
        <v>120298</v>
      </c>
      <c r="C2625" t="s">
        <v>19</v>
      </c>
      <c r="D2625" t="s">
        <v>2517</v>
      </c>
      <c r="E2625" s="2">
        <v>842.5</v>
      </c>
    </row>
    <row r="2626" spans="1:5" x14ac:dyDescent="0.25">
      <c r="A2626" s="1">
        <v>43453</v>
      </c>
      <c r="B2626">
        <v>120298</v>
      </c>
      <c r="C2626" t="s">
        <v>19</v>
      </c>
      <c r="D2626" t="s">
        <v>2518</v>
      </c>
      <c r="E2626" s="2">
        <v>216</v>
      </c>
    </row>
    <row r="2627" spans="1:5" x14ac:dyDescent="0.25">
      <c r="A2627" s="1">
        <v>43453</v>
      </c>
      <c r="B2627">
        <v>120299</v>
      </c>
      <c r="C2627" t="s">
        <v>67</v>
      </c>
      <c r="D2627" t="s">
        <v>2519</v>
      </c>
      <c r="E2627" s="2">
        <v>5865</v>
      </c>
    </row>
    <row r="2628" spans="1:5" x14ac:dyDescent="0.25">
      <c r="A2628" s="1">
        <v>43454</v>
      </c>
      <c r="B2628">
        <v>120300</v>
      </c>
      <c r="C2628" t="s">
        <v>64</v>
      </c>
      <c r="D2628" t="s">
        <v>2520</v>
      </c>
      <c r="E2628" s="2">
        <v>843.5</v>
      </c>
    </row>
    <row r="2629" spans="1:5" x14ac:dyDescent="0.25">
      <c r="A2629" s="1">
        <v>43454</v>
      </c>
      <c r="B2629">
        <v>120301</v>
      </c>
      <c r="C2629" t="s">
        <v>1312</v>
      </c>
      <c r="D2629" t="s">
        <v>2521</v>
      </c>
      <c r="E2629" s="2">
        <v>87.88</v>
      </c>
    </row>
    <row r="2630" spans="1:5" x14ac:dyDescent="0.25">
      <c r="A2630" s="1">
        <v>43454</v>
      </c>
      <c r="B2630">
        <v>120301</v>
      </c>
      <c r="C2630" t="s">
        <v>1312</v>
      </c>
      <c r="D2630" t="s">
        <v>2522</v>
      </c>
      <c r="E2630" s="2">
        <v>38.96</v>
      </c>
    </row>
    <row r="2631" spans="1:5" x14ac:dyDescent="0.25">
      <c r="A2631" s="1">
        <v>43454</v>
      </c>
      <c r="B2631">
        <v>120302</v>
      </c>
      <c r="C2631" t="s">
        <v>2165</v>
      </c>
      <c r="D2631" t="s">
        <v>2523</v>
      </c>
      <c r="E2631" s="2">
        <v>1594</v>
      </c>
    </row>
    <row r="2632" spans="1:5" x14ac:dyDescent="0.25">
      <c r="A2632" s="1">
        <v>43454</v>
      </c>
      <c r="B2632">
        <v>120302</v>
      </c>
      <c r="C2632" t="s">
        <v>2165</v>
      </c>
      <c r="D2632" t="s">
        <v>2524</v>
      </c>
      <c r="E2632" s="2">
        <v>1567</v>
      </c>
    </row>
    <row r="2633" spans="1:5" x14ac:dyDescent="0.25">
      <c r="A2633" s="1">
        <v>43454</v>
      </c>
      <c r="B2633">
        <v>120302</v>
      </c>
      <c r="C2633" t="s">
        <v>2165</v>
      </c>
      <c r="D2633" t="s">
        <v>2525</v>
      </c>
      <c r="E2633" s="2">
        <v>560</v>
      </c>
    </row>
    <row r="2634" spans="1:5" x14ac:dyDescent="0.25">
      <c r="A2634" s="1">
        <v>43454</v>
      </c>
      <c r="B2634">
        <v>120303</v>
      </c>
      <c r="C2634" t="s">
        <v>2526</v>
      </c>
      <c r="D2634" t="s">
        <v>2527</v>
      </c>
      <c r="E2634" s="2">
        <v>91.94</v>
      </c>
    </row>
    <row r="2635" spans="1:5" x14ac:dyDescent="0.25">
      <c r="A2635" s="1">
        <v>43454</v>
      </c>
      <c r="B2635">
        <v>120304</v>
      </c>
      <c r="C2635" t="s">
        <v>235</v>
      </c>
      <c r="D2635" t="s">
        <v>2528</v>
      </c>
      <c r="E2635" s="2">
        <v>537</v>
      </c>
    </row>
    <row r="2636" spans="1:5" x14ac:dyDescent="0.25">
      <c r="A2636" s="1">
        <v>43454</v>
      </c>
      <c r="B2636">
        <v>120305</v>
      </c>
      <c r="C2636" t="s">
        <v>1930</v>
      </c>
      <c r="D2636" t="s">
        <v>2529</v>
      </c>
      <c r="E2636" s="2">
        <v>249.14</v>
      </c>
    </row>
    <row r="2637" spans="1:5" x14ac:dyDescent="0.25">
      <c r="A2637" s="1">
        <v>43454</v>
      </c>
      <c r="B2637">
        <v>120306</v>
      </c>
      <c r="C2637" t="s">
        <v>66</v>
      </c>
      <c r="D2637" t="s">
        <v>2530</v>
      </c>
      <c r="E2637" s="2">
        <v>149</v>
      </c>
    </row>
    <row r="2638" spans="1:5" x14ac:dyDescent="0.25">
      <c r="A2638" s="1">
        <v>43454</v>
      </c>
      <c r="B2638">
        <v>120307</v>
      </c>
      <c r="C2638" t="s">
        <v>22</v>
      </c>
      <c r="D2638" t="s">
        <v>1985</v>
      </c>
      <c r="E2638" s="2">
        <v>38.46</v>
      </c>
    </row>
    <row r="2639" spans="1:5" x14ac:dyDescent="0.25">
      <c r="A2639" s="1">
        <v>43454</v>
      </c>
      <c r="B2639">
        <v>120308</v>
      </c>
      <c r="C2639" t="s">
        <v>238</v>
      </c>
      <c r="D2639" t="s">
        <v>437</v>
      </c>
      <c r="E2639" s="2">
        <f>166.79+756.25</f>
        <v>923.04</v>
      </c>
    </row>
    <row r="2640" spans="1:5" x14ac:dyDescent="0.25">
      <c r="A2640" s="1">
        <v>43454</v>
      </c>
      <c r="B2640">
        <v>120309</v>
      </c>
      <c r="C2640" t="s">
        <v>597</v>
      </c>
      <c r="D2640" t="s">
        <v>598</v>
      </c>
      <c r="E2640" s="2">
        <v>0</v>
      </c>
    </row>
    <row r="2641" spans="1:5" x14ac:dyDescent="0.25">
      <c r="A2641" s="1">
        <v>43454</v>
      </c>
      <c r="B2641">
        <v>120309</v>
      </c>
      <c r="C2641" t="s">
        <v>100</v>
      </c>
      <c r="D2641" t="s">
        <v>664</v>
      </c>
      <c r="E2641" s="3">
        <v>-53.85</v>
      </c>
    </row>
    <row r="2642" spans="1:5" x14ac:dyDescent="0.25">
      <c r="A2642" s="1">
        <v>43454</v>
      </c>
      <c r="B2642">
        <v>120310</v>
      </c>
      <c r="C2642" t="s">
        <v>1638</v>
      </c>
      <c r="D2642" t="s">
        <v>1639</v>
      </c>
      <c r="E2642" s="2">
        <v>5315</v>
      </c>
    </row>
    <row r="2643" spans="1:5" x14ac:dyDescent="0.25">
      <c r="A2643" s="1">
        <v>43454</v>
      </c>
      <c r="B2643">
        <v>120311</v>
      </c>
      <c r="C2643" t="s">
        <v>26</v>
      </c>
      <c r="D2643" t="s">
        <v>2531</v>
      </c>
      <c r="E2643" s="2">
        <v>350</v>
      </c>
    </row>
    <row r="2644" spans="1:5" x14ac:dyDescent="0.25">
      <c r="A2644" s="1">
        <v>43454</v>
      </c>
      <c r="B2644">
        <v>120312</v>
      </c>
      <c r="C2644" t="s">
        <v>67</v>
      </c>
      <c r="D2644" t="s">
        <v>2532</v>
      </c>
      <c r="E2644" s="2">
        <v>118.15</v>
      </c>
    </row>
    <row r="2645" spans="1:5" x14ac:dyDescent="0.25">
      <c r="A2645" s="1">
        <v>43454</v>
      </c>
      <c r="B2645">
        <v>120312</v>
      </c>
      <c r="C2645" t="s">
        <v>67</v>
      </c>
      <c r="D2645" t="s">
        <v>2533</v>
      </c>
      <c r="E2645" s="2">
        <v>687</v>
      </c>
    </row>
    <row r="2646" spans="1:5" x14ac:dyDescent="0.25">
      <c r="A2646" s="1">
        <v>43454</v>
      </c>
      <c r="B2646">
        <v>120313</v>
      </c>
      <c r="C2646" t="s">
        <v>241</v>
      </c>
      <c r="D2646" t="s">
        <v>242</v>
      </c>
      <c r="E2646" s="2">
        <v>2100</v>
      </c>
    </row>
    <row r="2647" spans="1:5" x14ac:dyDescent="0.25">
      <c r="A2647" s="1">
        <v>43454</v>
      </c>
      <c r="B2647">
        <v>120314</v>
      </c>
      <c r="C2647" t="s">
        <v>662</v>
      </c>
      <c r="D2647" t="s">
        <v>2534</v>
      </c>
      <c r="E2647" s="2">
        <v>297.02999999999997</v>
      </c>
    </row>
    <row r="2648" spans="1:5" x14ac:dyDescent="0.25">
      <c r="A2648" s="1">
        <v>43454</v>
      </c>
      <c r="B2648">
        <v>120314</v>
      </c>
      <c r="C2648" t="s">
        <v>662</v>
      </c>
      <c r="D2648" t="s">
        <v>2535</v>
      </c>
      <c r="E2648" s="2">
        <v>891.09</v>
      </c>
    </row>
    <row r="2649" spans="1:5" x14ac:dyDescent="0.25">
      <c r="A2649" s="1">
        <v>43454</v>
      </c>
      <c r="B2649">
        <v>120315</v>
      </c>
      <c r="C2649" t="s">
        <v>247</v>
      </c>
      <c r="D2649" t="s">
        <v>1798</v>
      </c>
      <c r="E2649" s="2">
        <f>1419.91+85</f>
        <v>1504.91</v>
      </c>
    </row>
    <row r="2650" spans="1:5" x14ac:dyDescent="0.25">
      <c r="A2650" s="1">
        <v>43454</v>
      </c>
      <c r="B2650">
        <v>120317</v>
      </c>
      <c r="C2650" t="s">
        <v>106</v>
      </c>
      <c r="D2650" t="s">
        <v>1798</v>
      </c>
      <c r="E2650" s="2">
        <f>106.65+393.29+2127.12+189.72+1373.77+638.79+49.48</f>
        <v>4878.8199999999988</v>
      </c>
    </row>
    <row r="2651" spans="1:5" x14ac:dyDescent="0.25">
      <c r="A2651" s="1">
        <v>43454</v>
      </c>
      <c r="B2651">
        <v>120318</v>
      </c>
      <c r="C2651" t="s">
        <v>2536</v>
      </c>
      <c r="D2651" t="s">
        <v>2537</v>
      </c>
      <c r="E2651" s="2">
        <v>382.49</v>
      </c>
    </row>
    <row r="2652" spans="1:5" x14ac:dyDescent="0.25">
      <c r="A2652" s="1">
        <v>43454</v>
      </c>
      <c r="B2652">
        <v>120320</v>
      </c>
      <c r="C2652" t="s">
        <v>597</v>
      </c>
      <c r="D2652" t="s">
        <v>598</v>
      </c>
      <c r="E2652" s="2">
        <v>0</v>
      </c>
    </row>
    <row r="2653" spans="1:5" x14ac:dyDescent="0.25">
      <c r="A2653" s="1">
        <v>43454</v>
      </c>
      <c r="B2653">
        <v>120321</v>
      </c>
      <c r="C2653" t="s">
        <v>33</v>
      </c>
      <c r="D2653" t="s">
        <v>2538</v>
      </c>
      <c r="E2653" s="2">
        <f>288+855</f>
        <v>1143</v>
      </c>
    </row>
    <row r="2654" spans="1:5" x14ac:dyDescent="0.25">
      <c r="A2654" s="1">
        <v>43454</v>
      </c>
      <c r="B2654">
        <v>120322</v>
      </c>
      <c r="C2654" t="s">
        <v>2539</v>
      </c>
      <c r="D2654" t="s">
        <v>2540</v>
      </c>
      <c r="E2654" s="2">
        <v>150</v>
      </c>
    </row>
    <row r="2655" spans="1:5" x14ac:dyDescent="0.25">
      <c r="A2655" s="1">
        <v>43454</v>
      </c>
      <c r="B2655">
        <v>120322</v>
      </c>
      <c r="C2655" t="s">
        <v>2539</v>
      </c>
      <c r="D2655" t="s">
        <v>2541</v>
      </c>
      <c r="E2655" s="2">
        <v>200</v>
      </c>
    </row>
    <row r="2656" spans="1:5" x14ac:dyDescent="0.25">
      <c r="A2656" s="1">
        <v>43454</v>
      </c>
      <c r="B2656">
        <v>120323</v>
      </c>
      <c r="C2656" t="s">
        <v>2542</v>
      </c>
      <c r="D2656" t="s">
        <v>2543</v>
      </c>
      <c r="E2656" s="2">
        <v>231.21</v>
      </c>
    </row>
    <row r="2657" spans="1:5" x14ac:dyDescent="0.25">
      <c r="A2657" s="1">
        <v>43454</v>
      </c>
      <c r="B2657">
        <v>120325</v>
      </c>
      <c r="C2657" t="s">
        <v>68</v>
      </c>
      <c r="D2657" t="s">
        <v>2544</v>
      </c>
      <c r="E2657" s="2">
        <v>62.69</v>
      </c>
    </row>
    <row r="2658" spans="1:5" x14ac:dyDescent="0.25">
      <c r="A2658" s="1">
        <v>43454</v>
      </c>
      <c r="B2658">
        <v>120325</v>
      </c>
      <c r="C2658" t="s">
        <v>68</v>
      </c>
      <c r="D2658" t="s">
        <v>2545</v>
      </c>
      <c r="E2658" s="2">
        <v>444.72</v>
      </c>
    </row>
    <row r="2659" spans="1:5" x14ac:dyDescent="0.25">
      <c r="A2659" s="1">
        <v>43454</v>
      </c>
      <c r="B2659">
        <v>120325</v>
      </c>
      <c r="C2659" t="s">
        <v>68</v>
      </c>
      <c r="D2659" t="s">
        <v>2546</v>
      </c>
      <c r="E2659" s="2">
        <v>188.09</v>
      </c>
    </row>
    <row r="2660" spans="1:5" x14ac:dyDescent="0.25">
      <c r="A2660" s="1">
        <v>43454</v>
      </c>
      <c r="B2660">
        <v>120325</v>
      </c>
      <c r="C2660" t="s">
        <v>68</v>
      </c>
      <c r="D2660" t="s">
        <v>2547</v>
      </c>
      <c r="E2660" s="2">
        <v>1806.26</v>
      </c>
    </row>
    <row r="2661" spans="1:5" x14ac:dyDescent="0.25">
      <c r="A2661" s="1">
        <v>43454</v>
      </c>
      <c r="B2661">
        <v>120325</v>
      </c>
      <c r="C2661" t="s">
        <v>68</v>
      </c>
      <c r="D2661" t="s">
        <v>2548</v>
      </c>
      <c r="E2661" s="2">
        <v>398.96</v>
      </c>
    </row>
    <row r="2662" spans="1:5" x14ac:dyDescent="0.25">
      <c r="A2662" s="1">
        <v>43454</v>
      </c>
      <c r="B2662">
        <v>120327</v>
      </c>
      <c r="C2662" t="s">
        <v>1177</v>
      </c>
      <c r="D2662" t="s">
        <v>1448</v>
      </c>
      <c r="E2662" s="2">
        <f>35*4</f>
        <v>140</v>
      </c>
    </row>
    <row r="2663" spans="1:5" x14ac:dyDescent="0.25">
      <c r="A2663" s="1">
        <v>43454</v>
      </c>
      <c r="B2663">
        <v>120327</v>
      </c>
      <c r="C2663" t="s">
        <v>1177</v>
      </c>
      <c r="D2663" t="s">
        <v>2549</v>
      </c>
      <c r="E2663" s="2">
        <v>350</v>
      </c>
    </row>
    <row r="2664" spans="1:5" x14ac:dyDescent="0.25">
      <c r="A2664" s="1">
        <v>43454</v>
      </c>
      <c r="B2664">
        <v>120328</v>
      </c>
      <c r="C2664" t="s">
        <v>1180</v>
      </c>
      <c r="D2664" t="s">
        <v>1723</v>
      </c>
      <c r="E2664" s="2">
        <v>94.06</v>
      </c>
    </row>
    <row r="2665" spans="1:5" x14ac:dyDescent="0.25">
      <c r="A2665" s="1">
        <v>43454</v>
      </c>
      <c r="B2665">
        <v>120329</v>
      </c>
      <c r="C2665" t="s">
        <v>2550</v>
      </c>
      <c r="D2665" t="s">
        <v>2551</v>
      </c>
      <c r="E2665" s="2">
        <f>99*2</f>
        <v>198</v>
      </c>
    </row>
    <row r="2666" spans="1:5" x14ac:dyDescent="0.25">
      <c r="A2666" s="1">
        <v>43454</v>
      </c>
      <c r="B2666">
        <v>120329</v>
      </c>
      <c r="C2666" t="s">
        <v>2550</v>
      </c>
      <c r="D2666" t="s">
        <v>2552</v>
      </c>
      <c r="E2666" s="2">
        <v>30</v>
      </c>
    </row>
    <row r="2667" spans="1:5" x14ac:dyDescent="0.25">
      <c r="A2667" s="1">
        <v>43454</v>
      </c>
      <c r="B2667">
        <v>120330</v>
      </c>
      <c r="C2667" t="s">
        <v>2376</v>
      </c>
      <c r="D2667" t="s">
        <v>2377</v>
      </c>
      <c r="E2667" s="2">
        <v>80.75</v>
      </c>
    </row>
    <row r="2668" spans="1:5" x14ac:dyDescent="0.25">
      <c r="A2668" s="1">
        <v>43454</v>
      </c>
      <c r="B2668">
        <v>120331</v>
      </c>
      <c r="C2668" t="s">
        <v>1452</v>
      </c>
      <c r="D2668" t="s">
        <v>2383</v>
      </c>
      <c r="E2668" s="2">
        <f>686.87+487.73</f>
        <v>1174.5999999999999</v>
      </c>
    </row>
    <row r="2669" spans="1:5" x14ac:dyDescent="0.25">
      <c r="A2669" s="1">
        <v>43454</v>
      </c>
      <c r="B2669">
        <v>120332</v>
      </c>
      <c r="C2669" t="s">
        <v>597</v>
      </c>
      <c r="D2669" t="s">
        <v>598</v>
      </c>
      <c r="E2669" s="2">
        <v>0</v>
      </c>
    </row>
    <row r="2670" spans="1:5" x14ac:dyDescent="0.25">
      <c r="A2670" s="1">
        <v>43454</v>
      </c>
      <c r="B2670">
        <v>120350</v>
      </c>
      <c r="C2670" t="s">
        <v>123</v>
      </c>
      <c r="D2670" t="s">
        <v>2553</v>
      </c>
      <c r="E2670" s="2">
        <f>81.68+316.51+102.51+102.1+81.68+81.68+245.04+234.83+408.4+221.22+460.81+122.52+51.05+77.6+81.68+81.68+81.68+81.68+81.68+81.68+81.68+81.68+81.68+81.68+81.68+81.68+193.31+122.52+163.36+88.49+224.62+255.25+186.5+232.79+201.48+386.62+386.62+147.7+81.68+101.42+190.59+224.62+266.82+65.34+81.68+64.66+63.98+71.47+64.66+287.92+81.68+81.68+81.68+81.68+224.62+223.26+217.81+232.79+718.1+622.81+609.88+636.42+626.21+633.03+633.02+618.05</f>
        <v>14044.609999999999</v>
      </c>
    </row>
    <row r="2671" spans="1:5" x14ac:dyDescent="0.25">
      <c r="A2671" s="1">
        <v>43454</v>
      </c>
      <c r="B2671">
        <v>120350</v>
      </c>
      <c r="C2671" t="s">
        <v>123</v>
      </c>
      <c r="D2671" t="s">
        <v>2554</v>
      </c>
      <c r="E2671" s="2">
        <v>115032.68</v>
      </c>
    </row>
    <row r="2672" spans="1:5" x14ac:dyDescent="0.25">
      <c r="A2672" s="1">
        <v>43454</v>
      </c>
      <c r="B2672">
        <v>120351</v>
      </c>
      <c r="C2672" t="s">
        <v>855</v>
      </c>
      <c r="D2672" t="s">
        <v>2555</v>
      </c>
      <c r="E2672" s="2">
        <v>379.38</v>
      </c>
    </row>
    <row r="2673" spans="1:5" x14ac:dyDescent="0.25">
      <c r="A2673" s="1">
        <v>43454</v>
      </c>
      <c r="B2673">
        <v>120352</v>
      </c>
      <c r="C2673" t="s">
        <v>597</v>
      </c>
      <c r="D2673" t="s">
        <v>598</v>
      </c>
      <c r="E2673" s="2">
        <v>0</v>
      </c>
    </row>
    <row r="2674" spans="1:5" x14ac:dyDescent="0.25">
      <c r="A2674" s="1">
        <v>43454</v>
      </c>
      <c r="B2674">
        <v>120353</v>
      </c>
      <c r="C2674" t="s">
        <v>2556</v>
      </c>
      <c r="D2674" t="s">
        <v>2557</v>
      </c>
      <c r="E2674" s="2">
        <v>22.5</v>
      </c>
    </row>
    <row r="2675" spans="1:5" x14ac:dyDescent="0.25">
      <c r="A2675" s="1">
        <v>43454</v>
      </c>
      <c r="B2675">
        <v>120354</v>
      </c>
      <c r="C2675" t="s">
        <v>2558</v>
      </c>
      <c r="D2675" t="s">
        <v>2559</v>
      </c>
      <c r="E2675" s="2">
        <v>700</v>
      </c>
    </row>
    <row r="2676" spans="1:5" x14ac:dyDescent="0.25">
      <c r="A2676" s="1">
        <v>43454</v>
      </c>
      <c r="B2676">
        <v>120355</v>
      </c>
      <c r="C2676" t="s">
        <v>1670</v>
      </c>
      <c r="D2676" t="s">
        <v>2560</v>
      </c>
      <c r="E2676" s="2">
        <v>2735.87</v>
      </c>
    </row>
    <row r="2677" spans="1:5" x14ac:dyDescent="0.25">
      <c r="A2677" s="1">
        <v>43454</v>
      </c>
      <c r="B2677">
        <v>120356</v>
      </c>
      <c r="C2677" t="s">
        <v>269</v>
      </c>
      <c r="D2677" t="s">
        <v>270</v>
      </c>
      <c r="E2677" s="2">
        <f>329+151</f>
        <v>480</v>
      </c>
    </row>
    <row r="2678" spans="1:5" x14ac:dyDescent="0.25">
      <c r="A2678" s="1">
        <v>43454</v>
      </c>
      <c r="B2678">
        <v>120357</v>
      </c>
      <c r="C2678" t="s">
        <v>44</v>
      </c>
      <c r="D2678" t="s">
        <v>2561</v>
      </c>
      <c r="E2678" s="2">
        <v>75</v>
      </c>
    </row>
    <row r="2679" spans="1:5" x14ac:dyDescent="0.25">
      <c r="A2679" s="1">
        <v>43454</v>
      </c>
      <c r="B2679">
        <v>120358</v>
      </c>
      <c r="C2679" t="s">
        <v>2562</v>
      </c>
      <c r="D2679" t="s">
        <v>36</v>
      </c>
      <c r="E2679" s="2">
        <v>17.45</v>
      </c>
    </row>
    <row r="2680" spans="1:5" x14ac:dyDescent="0.25">
      <c r="A2680" s="1">
        <v>43454</v>
      </c>
      <c r="B2680">
        <v>120362</v>
      </c>
      <c r="C2680" t="s">
        <v>597</v>
      </c>
      <c r="D2680" t="s">
        <v>598</v>
      </c>
      <c r="E2680" s="2">
        <v>0</v>
      </c>
    </row>
    <row r="2681" spans="1:5" x14ac:dyDescent="0.25">
      <c r="A2681" s="1">
        <v>43454</v>
      </c>
      <c r="B2681">
        <v>120363</v>
      </c>
      <c r="C2681" t="s">
        <v>708</v>
      </c>
      <c r="D2681" t="s">
        <v>2563</v>
      </c>
      <c r="E2681" s="2">
        <v>4744.21</v>
      </c>
    </row>
    <row r="2682" spans="1:5" x14ac:dyDescent="0.25">
      <c r="A2682" s="1">
        <v>43454</v>
      </c>
      <c r="B2682">
        <v>120364</v>
      </c>
      <c r="C2682" t="s">
        <v>2564</v>
      </c>
      <c r="D2682" t="s">
        <v>2565</v>
      </c>
      <c r="E2682" s="2">
        <v>3000</v>
      </c>
    </row>
    <row r="2683" spans="1:5" x14ac:dyDescent="0.25">
      <c r="A2683" s="1">
        <v>43454</v>
      </c>
      <c r="B2683">
        <v>120365</v>
      </c>
      <c r="C2683" t="s">
        <v>712</v>
      </c>
      <c r="D2683" t="s">
        <v>2566</v>
      </c>
      <c r="E2683" s="2">
        <v>1199.7</v>
      </c>
    </row>
    <row r="2684" spans="1:5" x14ac:dyDescent="0.25">
      <c r="A2684" s="1">
        <v>43454</v>
      </c>
      <c r="B2684">
        <v>120366</v>
      </c>
      <c r="C2684" t="s">
        <v>134</v>
      </c>
      <c r="D2684" t="s">
        <v>2567</v>
      </c>
      <c r="E2684" s="2">
        <v>393.75</v>
      </c>
    </row>
    <row r="2685" spans="1:5" x14ac:dyDescent="0.25">
      <c r="A2685" s="1">
        <v>43454</v>
      </c>
      <c r="B2685">
        <v>120367</v>
      </c>
      <c r="C2685" t="s">
        <v>1823</v>
      </c>
      <c r="D2685" t="s">
        <v>2568</v>
      </c>
      <c r="E2685" s="2">
        <v>165.65</v>
      </c>
    </row>
    <row r="2686" spans="1:5" x14ac:dyDescent="0.25">
      <c r="A2686" s="1">
        <v>43454</v>
      </c>
      <c r="B2686">
        <v>120368</v>
      </c>
      <c r="C2686" t="s">
        <v>618</v>
      </c>
      <c r="D2686" t="s">
        <v>2569</v>
      </c>
      <c r="E2686" s="2">
        <v>80</v>
      </c>
    </row>
    <row r="2687" spans="1:5" x14ac:dyDescent="0.25">
      <c r="A2687" s="1">
        <v>43454</v>
      </c>
      <c r="B2687">
        <v>120370</v>
      </c>
      <c r="C2687" t="s">
        <v>597</v>
      </c>
      <c r="D2687" t="s">
        <v>598</v>
      </c>
      <c r="E2687" s="2">
        <v>0</v>
      </c>
    </row>
    <row r="2688" spans="1:5" x14ac:dyDescent="0.25">
      <c r="A2688" s="1">
        <v>43454</v>
      </c>
      <c r="B2688">
        <v>120371</v>
      </c>
      <c r="C2688" t="s">
        <v>2570</v>
      </c>
      <c r="D2688" t="s">
        <v>2571</v>
      </c>
      <c r="E2688" s="2">
        <v>206.38</v>
      </c>
    </row>
    <row r="2689" spans="1:5" x14ac:dyDescent="0.25">
      <c r="A2689" s="1">
        <v>43454</v>
      </c>
      <c r="B2689">
        <v>120372</v>
      </c>
      <c r="C2689" t="s">
        <v>146</v>
      </c>
      <c r="D2689" t="s">
        <v>464</v>
      </c>
      <c r="E2689" s="2">
        <f>762.53+523.4</f>
        <v>1285.9299999999998</v>
      </c>
    </row>
    <row r="2690" spans="1:5" x14ac:dyDescent="0.25">
      <c r="A2690" s="1">
        <v>43454</v>
      </c>
      <c r="B2690">
        <v>120373</v>
      </c>
      <c r="C2690" t="s">
        <v>734</v>
      </c>
      <c r="D2690" t="s">
        <v>2572</v>
      </c>
      <c r="E2690" s="2">
        <v>80</v>
      </c>
    </row>
    <row r="2691" spans="1:5" x14ac:dyDescent="0.25">
      <c r="A2691" s="1">
        <v>43454</v>
      </c>
      <c r="B2691">
        <v>120374</v>
      </c>
      <c r="C2691" t="s">
        <v>336</v>
      </c>
      <c r="D2691" t="s">
        <v>2573</v>
      </c>
      <c r="E2691" s="2">
        <v>90</v>
      </c>
    </row>
    <row r="2692" spans="1:5" x14ac:dyDescent="0.25">
      <c r="A2692" s="1">
        <v>43454</v>
      </c>
      <c r="B2692">
        <v>120375</v>
      </c>
      <c r="C2692" t="s">
        <v>75</v>
      </c>
      <c r="D2692" t="s">
        <v>2574</v>
      </c>
      <c r="E2692" s="2">
        <v>38.590000000000003</v>
      </c>
    </row>
    <row r="2693" spans="1:5" x14ac:dyDescent="0.25">
      <c r="A2693" s="1">
        <v>43454</v>
      </c>
      <c r="B2693">
        <v>120376</v>
      </c>
      <c r="C2693" t="s">
        <v>739</v>
      </c>
      <c r="D2693" t="s">
        <v>2575</v>
      </c>
      <c r="E2693" s="2">
        <v>17902.84</v>
      </c>
    </row>
    <row r="2694" spans="1:5" x14ac:dyDescent="0.25">
      <c r="A2694" s="1">
        <v>43454</v>
      </c>
      <c r="B2694">
        <v>120377</v>
      </c>
      <c r="C2694" t="s">
        <v>11</v>
      </c>
      <c r="D2694" t="s">
        <v>2576</v>
      </c>
      <c r="E2694" s="2">
        <f>381.92+107.6+13.42</f>
        <v>502.94</v>
      </c>
    </row>
    <row r="2695" spans="1:5" x14ac:dyDescent="0.25">
      <c r="A2695" s="1">
        <v>43454</v>
      </c>
      <c r="B2695">
        <v>120377</v>
      </c>
      <c r="C2695" t="s">
        <v>11</v>
      </c>
      <c r="D2695" t="s">
        <v>2024</v>
      </c>
      <c r="E2695" s="2">
        <v>37.979999999999997</v>
      </c>
    </row>
    <row r="2696" spans="1:5" x14ac:dyDescent="0.25">
      <c r="A2696" s="1">
        <v>43454</v>
      </c>
      <c r="B2696">
        <v>120378</v>
      </c>
      <c r="C2696" t="s">
        <v>205</v>
      </c>
      <c r="D2696" t="s">
        <v>2577</v>
      </c>
      <c r="E2696" s="2">
        <v>97.75</v>
      </c>
    </row>
    <row r="2697" spans="1:5" x14ac:dyDescent="0.25">
      <c r="A2697" s="1">
        <v>43454</v>
      </c>
      <c r="B2697">
        <v>120379</v>
      </c>
      <c r="C2697" t="s">
        <v>1228</v>
      </c>
      <c r="D2697" t="s">
        <v>1229</v>
      </c>
      <c r="E2697" s="2">
        <f>1069-141</f>
        <v>928</v>
      </c>
    </row>
    <row r="2698" spans="1:5" x14ac:dyDescent="0.25">
      <c r="A2698" s="1">
        <v>43454</v>
      </c>
      <c r="B2698">
        <v>120380</v>
      </c>
      <c r="C2698" t="s">
        <v>1494</v>
      </c>
      <c r="D2698" t="s">
        <v>759</v>
      </c>
      <c r="E2698" s="2">
        <v>232.65</v>
      </c>
    </row>
    <row r="2699" spans="1:5" x14ac:dyDescent="0.25">
      <c r="A2699" s="1">
        <v>43454</v>
      </c>
      <c r="B2699">
        <v>120380</v>
      </c>
      <c r="C2699" t="s">
        <v>1494</v>
      </c>
      <c r="D2699" t="s">
        <v>2578</v>
      </c>
      <c r="E2699" s="2">
        <v>5940</v>
      </c>
    </row>
    <row r="2700" spans="1:5" x14ac:dyDescent="0.25">
      <c r="A2700" s="1">
        <v>43454</v>
      </c>
      <c r="B2700">
        <v>120381</v>
      </c>
      <c r="C2700" t="s">
        <v>2579</v>
      </c>
      <c r="D2700" t="s">
        <v>2580</v>
      </c>
      <c r="E2700" s="2">
        <v>874</v>
      </c>
    </row>
    <row r="2701" spans="1:5" x14ac:dyDescent="0.25">
      <c r="A2701" s="1">
        <v>43454</v>
      </c>
      <c r="B2701">
        <v>120382</v>
      </c>
      <c r="C2701" t="s">
        <v>50</v>
      </c>
      <c r="D2701" t="s">
        <v>2047</v>
      </c>
      <c r="E2701" s="2">
        <v>2792.5</v>
      </c>
    </row>
    <row r="2702" spans="1:5" x14ac:dyDescent="0.25">
      <c r="A2702" s="1">
        <v>43454</v>
      </c>
      <c r="B2702">
        <v>120383</v>
      </c>
      <c r="C2702" t="s">
        <v>298</v>
      </c>
      <c r="D2702" t="s">
        <v>2581</v>
      </c>
      <c r="E2702" s="2">
        <v>11071.41</v>
      </c>
    </row>
    <row r="2703" spans="1:5" x14ac:dyDescent="0.25">
      <c r="A2703" s="1">
        <v>43454</v>
      </c>
      <c r="B2703">
        <v>120384</v>
      </c>
      <c r="C2703" t="s">
        <v>302</v>
      </c>
      <c r="D2703" t="s">
        <v>2582</v>
      </c>
      <c r="E2703" s="2">
        <v>303.5</v>
      </c>
    </row>
    <row r="2704" spans="1:5" x14ac:dyDescent="0.25">
      <c r="A2704" s="1">
        <v>43454</v>
      </c>
      <c r="B2704">
        <v>120385</v>
      </c>
      <c r="C2704" t="s">
        <v>14</v>
      </c>
      <c r="D2704" t="s">
        <v>2583</v>
      </c>
      <c r="E2704" s="2">
        <v>300</v>
      </c>
    </row>
    <row r="2705" spans="1:5" x14ac:dyDescent="0.25">
      <c r="A2705" s="1">
        <v>43454</v>
      </c>
      <c r="B2705">
        <v>120385</v>
      </c>
      <c r="C2705" t="s">
        <v>14</v>
      </c>
      <c r="D2705" t="s">
        <v>2584</v>
      </c>
      <c r="E2705" s="2">
        <v>24.87</v>
      </c>
    </row>
    <row r="2706" spans="1:5" x14ac:dyDescent="0.25">
      <c r="A2706" s="1">
        <v>43454</v>
      </c>
      <c r="B2706">
        <v>120386</v>
      </c>
      <c r="C2706" t="s">
        <v>760</v>
      </c>
      <c r="D2706" t="s">
        <v>2585</v>
      </c>
      <c r="E2706" s="2">
        <v>251.37</v>
      </c>
    </row>
    <row r="2707" spans="1:5" x14ac:dyDescent="0.25">
      <c r="A2707" s="1">
        <v>43454</v>
      </c>
      <c r="B2707">
        <v>120386</v>
      </c>
      <c r="C2707" t="s">
        <v>760</v>
      </c>
      <c r="D2707" t="s">
        <v>2586</v>
      </c>
      <c r="E2707" s="2">
        <v>54.04</v>
      </c>
    </row>
    <row r="2708" spans="1:5" x14ac:dyDescent="0.25">
      <c r="A2708" s="1">
        <v>43454</v>
      </c>
      <c r="B2708">
        <v>120386</v>
      </c>
      <c r="C2708" t="s">
        <v>760</v>
      </c>
      <c r="D2708" t="s">
        <v>2587</v>
      </c>
      <c r="E2708" s="2">
        <v>433.28</v>
      </c>
    </row>
    <row r="2709" spans="1:5" x14ac:dyDescent="0.25">
      <c r="A2709" s="1">
        <v>43454</v>
      </c>
      <c r="B2709">
        <v>120387</v>
      </c>
      <c r="C2709" t="s">
        <v>2588</v>
      </c>
      <c r="D2709" t="s">
        <v>2589</v>
      </c>
      <c r="E2709" s="2">
        <v>145</v>
      </c>
    </row>
    <row r="2710" spans="1:5" x14ac:dyDescent="0.25">
      <c r="A2710" s="1">
        <v>43454</v>
      </c>
      <c r="B2710">
        <v>120388</v>
      </c>
      <c r="C2710" t="s">
        <v>156</v>
      </c>
      <c r="D2710" t="s">
        <v>2590</v>
      </c>
      <c r="E2710" s="2">
        <f>157.5+140</f>
        <v>297.5</v>
      </c>
    </row>
    <row r="2711" spans="1:5" x14ac:dyDescent="0.25">
      <c r="A2711" s="1">
        <v>43454</v>
      </c>
      <c r="B2711">
        <v>120389</v>
      </c>
      <c r="C2711" t="s">
        <v>2591</v>
      </c>
      <c r="D2711" t="s">
        <v>2592</v>
      </c>
      <c r="E2711" s="2">
        <v>682.5</v>
      </c>
    </row>
    <row r="2712" spans="1:5" x14ac:dyDescent="0.25">
      <c r="A2712" s="1">
        <v>43454</v>
      </c>
      <c r="B2712">
        <v>120390</v>
      </c>
      <c r="C2712" t="s">
        <v>309</v>
      </c>
      <c r="D2712" t="s">
        <v>2593</v>
      </c>
      <c r="E2712" s="2">
        <v>1575.31</v>
      </c>
    </row>
    <row r="2713" spans="1:5" x14ac:dyDescent="0.25">
      <c r="A2713" s="1">
        <v>43454</v>
      </c>
      <c r="B2713">
        <v>120391</v>
      </c>
      <c r="C2713" t="s">
        <v>2594</v>
      </c>
      <c r="D2713" t="s">
        <v>2312</v>
      </c>
      <c r="E2713" s="2">
        <v>265</v>
      </c>
    </row>
    <row r="2714" spans="1:5" x14ac:dyDescent="0.25">
      <c r="A2714" s="1">
        <v>43454</v>
      </c>
      <c r="B2714">
        <v>120392</v>
      </c>
      <c r="C2714" t="s">
        <v>161</v>
      </c>
      <c r="D2714" t="s">
        <v>773</v>
      </c>
      <c r="E2714" s="2">
        <v>669</v>
      </c>
    </row>
    <row r="2715" spans="1:5" x14ac:dyDescent="0.25">
      <c r="A2715" s="1">
        <v>43454</v>
      </c>
      <c r="B2715">
        <v>120393</v>
      </c>
      <c r="C2715" t="s">
        <v>597</v>
      </c>
      <c r="D2715" t="s">
        <v>598</v>
      </c>
      <c r="E2715" s="2">
        <v>0</v>
      </c>
    </row>
    <row r="2716" spans="1:5" x14ac:dyDescent="0.25">
      <c r="A2716" s="1">
        <v>43454</v>
      </c>
      <c r="B2716">
        <v>120394</v>
      </c>
      <c r="C2716" t="s">
        <v>319</v>
      </c>
      <c r="D2716" t="s">
        <v>2595</v>
      </c>
      <c r="E2716" s="2">
        <v>125</v>
      </c>
    </row>
    <row r="2717" spans="1:5" x14ac:dyDescent="0.25">
      <c r="A2717" s="1">
        <v>43454</v>
      </c>
      <c r="B2717">
        <v>120395</v>
      </c>
      <c r="C2717" t="s">
        <v>2596</v>
      </c>
      <c r="D2717" t="s">
        <v>2597</v>
      </c>
      <c r="E2717" s="2">
        <v>3465.6</v>
      </c>
    </row>
    <row r="2718" spans="1:5" x14ac:dyDescent="0.25">
      <c r="A2718" s="1">
        <v>43454</v>
      </c>
      <c r="B2718">
        <v>120396</v>
      </c>
      <c r="C2718" t="s">
        <v>166</v>
      </c>
      <c r="D2718" t="s">
        <v>773</v>
      </c>
      <c r="E2718" s="2">
        <v>350</v>
      </c>
    </row>
    <row r="2719" spans="1:5" x14ac:dyDescent="0.25">
      <c r="A2719" s="1">
        <v>43454</v>
      </c>
      <c r="B2719">
        <v>120396</v>
      </c>
      <c r="C2719" t="s">
        <v>166</v>
      </c>
      <c r="D2719" t="s">
        <v>2440</v>
      </c>
      <c r="E2719" s="2">
        <v>135</v>
      </c>
    </row>
    <row r="2720" spans="1:5" x14ac:dyDescent="0.25">
      <c r="A2720" s="1">
        <v>43454</v>
      </c>
      <c r="B2720">
        <v>120397</v>
      </c>
      <c r="C2720" t="s">
        <v>1716</v>
      </c>
      <c r="D2720" t="s">
        <v>2598</v>
      </c>
      <c r="E2720" s="2">
        <v>40</v>
      </c>
    </row>
    <row r="2721" spans="1:5" x14ac:dyDescent="0.25">
      <c r="A2721" s="1">
        <v>43454</v>
      </c>
      <c r="B2721">
        <v>120397</v>
      </c>
      <c r="C2721" t="s">
        <v>1716</v>
      </c>
      <c r="D2721" t="s">
        <v>2598</v>
      </c>
      <c r="E2721" s="2">
        <v>40</v>
      </c>
    </row>
    <row r="2722" spans="1:5" x14ac:dyDescent="0.25">
      <c r="A2722" s="1">
        <v>43454</v>
      </c>
      <c r="B2722">
        <v>120398</v>
      </c>
      <c r="C2722" t="s">
        <v>2599</v>
      </c>
      <c r="D2722" t="s">
        <v>2600</v>
      </c>
      <c r="E2722" s="2">
        <v>75</v>
      </c>
    </row>
    <row r="2723" spans="1:5" x14ac:dyDescent="0.25">
      <c r="A2723" s="1">
        <v>43454</v>
      </c>
      <c r="B2723">
        <v>120399</v>
      </c>
      <c r="C2723" t="s">
        <v>2601</v>
      </c>
      <c r="D2723" t="s">
        <v>2602</v>
      </c>
      <c r="E2723" s="2">
        <v>2650</v>
      </c>
    </row>
    <row r="2724" spans="1:5" x14ac:dyDescent="0.25">
      <c r="A2724" s="1">
        <v>43454</v>
      </c>
      <c r="B2724">
        <v>120400</v>
      </c>
      <c r="C2724" t="s">
        <v>1566</v>
      </c>
      <c r="D2724" t="s">
        <v>1567</v>
      </c>
      <c r="E2724" s="2">
        <v>10187.5</v>
      </c>
    </row>
    <row r="2725" spans="1:5" x14ac:dyDescent="0.25">
      <c r="A2725" s="1">
        <v>43454</v>
      </c>
      <c r="B2725">
        <v>120401</v>
      </c>
      <c r="C2725" t="s">
        <v>2603</v>
      </c>
      <c r="D2725" t="s">
        <v>773</v>
      </c>
      <c r="E2725" s="2">
        <v>896</v>
      </c>
    </row>
    <row r="2726" spans="1:5" x14ac:dyDescent="0.25">
      <c r="A2726" s="1">
        <v>43454</v>
      </c>
      <c r="B2726">
        <v>120402</v>
      </c>
      <c r="C2726" t="s">
        <v>1729</v>
      </c>
      <c r="D2726" t="s">
        <v>2604</v>
      </c>
      <c r="E2726" s="2">
        <f>55.6+6.61</f>
        <v>62.21</v>
      </c>
    </row>
    <row r="2727" spans="1:5" x14ac:dyDescent="0.25">
      <c r="A2727" s="1">
        <v>43454</v>
      </c>
      <c r="B2727">
        <v>120403</v>
      </c>
      <c r="C2727" t="s">
        <v>2605</v>
      </c>
      <c r="D2727" t="s">
        <v>2606</v>
      </c>
      <c r="E2727" s="2">
        <v>11</v>
      </c>
    </row>
    <row r="2728" spans="1:5" x14ac:dyDescent="0.25">
      <c r="A2728" s="1">
        <v>43454</v>
      </c>
      <c r="B2728">
        <v>120404</v>
      </c>
      <c r="C2728" t="s">
        <v>597</v>
      </c>
      <c r="D2728" t="s">
        <v>598</v>
      </c>
      <c r="E2728" s="2">
        <v>0</v>
      </c>
    </row>
    <row r="2729" spans="1:5" x14ac:dyDescent="0.25">
      <c r="A2729" s="1">
        <v>43454</v>
      </c>
      <c r="B2729">
        <v>120411</v>
      </c>
      <c r="C2729" t="s">
        <v>222</v>
      </c>
      <c r="D2729" t="s">
        <v>2607</v>
      </c>
      <c r="E2729" s="2">
        <v>101.1</v>
      </c>
    </row>
    <row r="2730" spans="1:5" x14ac:dyDescent="0.25">
      <c r="A2730" s="1">
        <v>43454</v>
      </c>
      <c r="B2730">
        <v>120411</v>
      </c>
      <c r="C2730" t="s">
        <v>222</v>
      </c>
      <c r="D2730" t="s">
        <v>2608</v>
      </c>
      <c r="E2730" s="2">
        <v>57.36</v>
      </c>
    </row>
    <row r="2731" spans="1:5" x14ac:dyDescent="0.25">
      <c r="A2731" s="1">
        <v>43454</v>
      </c>
      <c r="B2731">
        <v>120411</v>
      </c>
      <c r="C2731" t="s">
        <v>222</v>
      </c>
      <c r="D2731" t="s">
        <v>481</v>
      </c>
      <c r="E2731" s="2">
        <v>291.04000000000002</v>
      </c>
    </row>
    <row r="2732" spans="1:5" x14ac:dyDescent="0.25">
      <c r="A2732" s="1">
        <v>43454</v>
      </c>
      <c r="B2732">
        <v>120411</v>
      </c>
      <c r="C2732" t="s">
        <v>222</v>
      </c>
      <c r="D2732" t="s">
        <v>2609</v>
      </c>
      <c r="E2732" s="2">
        <v>74.45</v>
      </c>
    </row>
    <row r="2733" spans="1:5" x14ac:dyDescent="0.25">
      <c r="A2733" s="1">
        <v>43454</v>
      </c>
      <c r="B2733">
        <v>120411</v>
      </c>
      <c r="C2733" t="s">
        <v>222</v>
      </c>
      <c r="D2733" t="s">
        <v>2610</v>
      </c>
      <c r="E2733" s="2">
        <v>91.72</v>
      </c>
    </row>
    <row r="2734" spans="1:5" x14ac:dyDescent="0.25">
      <c r="A2734" s="1">
        <v>43454</v>
      </c>
      <c r="B2734">
        <v>120411</v>
      </c>
      <c r="C2734" t="s">
        <v>222</v>
      </c>
      <c r="D2734" t="s">
        <v>2611</v>
      </c>
      <c r="E2734" s="2">
        <v>38.76</v>
      </c>
    </row>
    <row r="2735" spans="1:5" x14ac:dyDescent="0.25">
      <c r="A2735" s="1">
        <v>43454</v>
      </c>
      <c r="B2735">
        <v>120411</v>
      </c>
      <c r="C2735" t="s">
        <v>222</v>
      </c>
      <c r="D2735" t="s">
        <v>2612</v>
      </c>
      <c r="E2735" s="2">
        <f>14.35+50.98</f>
        <v>65.33</v>
      </c>
    </row>
    <row r="2736" spans="1:5" x14ac:dyDescent="0.25">
      <c r="A2736" s="1">
        <v>43454</v>
      </c>
      <c r="B2736">
        <v>120411</v>
      </c>
      <c r="C2736" t="s">
        <v>222</v>
      </c>
      <c r="D2736" t="s">
        <v>2613</v>
      </c>
      <c r="E2736" s="2">
        <v>207.88</v>
      </c>
    </row>
    <row r="2737" spans="1:5" x14ac:dyDescent="0.25">
      <c r="A2737" s="1">
        <v>43454</v>
      </c>
      <c r="B2737">
        <v>120411</v>
      </c>
      <c r="C2737" t="s">
        <v>222</v>
      </c>
      <c r="D2737" t="s">
        <v>2614</v>
      </c>
      <c r="E2737" s="2">
        <v>49.15</v>
      </c>
    </row>
    <row r="2738" spans="1:5" x14ac:dyDescent="0.25">
      <c r="A2738" s="1">
        <v>43454</v>
      </c>
      <c r="B2738">
        <v>120411</v>
      </c>
      <c r="C2738" t="s">
        <v>222</v>
      </c>
      <c r="D2738" t="s">
        <v>2615</v>
      </c>
      <c r="E2738" s="2">
        <v>56.84</v>
      </c>
    </row>
    <row r="2739" spans="1:5" x14ac:dyDescent="0.25">
      <c r="A2739" s="1">
        <v>43454</v>
      </c>
      <c r="B2739">
        <v>120411</v>
      </c>
      <c r="C2739" t="s">
        <v>222</v>
      </c>
      <c r="D2739" t="s">
        <v>2616</v>
      </c>
      <c r="E2739" s="2">
        <v>74.209999999999994</v>
      </c>
    </row>
    <row r="2740" spans="1:5" x14ac:dyDescent="0.25">
      <c r="A2740" s="1">
        <v>43454</v>
      </c>
      <c r="B2740">
        <v>120411</v>
      </c>
      <c r="C2740" t="s">
        <v>222</v>
      </c>
      <c r="D2740" t="s">
        <v>2024</v>
      </c>
      <c r="E2740" s="2">
        <f>43.06+27.92</f>
        <v>70.98</v>
      </c>
    </row>
    <row r="2741" spans="1:5" x14ac:dyDescent="0.25">
      <c r="A2741" s="1">
        <v>43454</v>
      </c>
      <c r="B2741">
        <v>120411</v>
      </c>
      <c r="C2741" t="s">
        <v>222</v>
      </c>
      <c r="D2741" t="s">
        <v>2617</v>
      </c>
      <c r="E2741" s="2">
        <v>83.08</v>
      </c>
    </row>
    <row r="2742" spans="1:5" x14ac:dyDescent="0.25">
      <c r="A2742" s="1">
        <v>43454</v>
      </c>
      <c r="B2742">
        <v>120411</v>
      </c>
      <c r="C2742" t="s">
        <v>222</v>
      </c>
      <c r="D2742" t="s">
        <v>2618</v>
      </c>
      <c r="E2742" s="2">
        <v>159.13999999999999</v>
      </c>
    </row>
    <row r="2743" spans="1:5" x14ac:dyDescent="0.25">
      <c r="A2743" s="1">
        <v>43454</v>
      </c>
      <c r="B2743">
        <v>120411</v>
      </c>
      <c r="C2743" t="s">
        <v>222</v>
      </c>
      <c r="D2743" t="s">
        <v>2619</v>
      </c>
      <c r="E2743" s="2">
        <v>60.29</v>
      </c>
    </row>
    <row r="2744" spans="1:5" x14ac:dyDescent="0.25">
      <c r="A2744" s="1">
        <v>43454</v>
      </c>
      <c r="B2744">
        <v>120411</v>
      </c>
      <c r="C2744" t="s">
        <v>222</v>
      </c>
      <c r="D2744" t="s">
        <v>2620</v>
      </c>
      <c r="E2744" s="2">
        <v>72</v>
      </c>
    </row>
    <row r="2745" spans="1:5" x14ac:dyDescent="0.25">
      <c r="A2745" s="1">
        <v>43454</v>
      </c>
      <c r="B2745">
        <v>120411</v>
      </c>
      <c r="C2745" t="s">
        <v>222</v>
      </c>
      <c r="D2745" t="s">
        <v>2621</v>
      </c>
      <c r="E2745" s="2">
        <f>29.08+3.96</f>
        <v>33.04</v>
      </c>
    </row>
    <row r="2746" spans="1:5" x14ac:dyDescent="0.25">
      <c r="A2746" s="1">
        <v>43454</v>
      </c>
      <c r="B2746">
        <v>120411</v>
      </c>
      <c r="C2746" t="s">
        <v>222</v>
      </c>
      <c r="D2746" t="s">
        <v>481</v>
      </c>
      <c r="E2746" s="2">
        <f>40.77+10.99</f>
        <v>51.760000000000005</v>
      </c>
    </row>
    <row r="2747" spans="1:5" x14ac:dyDescent="0.25">
      <c r="A2747" s="1">
        <v>43454</v>
      </c>
      <c r="B2747">
        <v>120411</v>
      </c>
      <c r="C2747" t="s">
        <v>222</v>
      </c>
      <c r="D2747" t="s">
        <v>2622</v>
      </c>
      <c r="E2747" s="2">
        <v>78.81</v>
      </c>
    </row>
    <row r="2748" spans="1:5" x14ac:dyDescent="0.25">
      <c r="A2748" s="1">
        <v>43454</v>
      </c>
      <c r="B2748">
        <v>120411</v>
      </c>
      <c r="C2748" t="s">
        <v>222</v>
      </c>
      <c r="D2748" t="s">
        <v>270</v>
      </c>
      <c r="E2748" s="2">
        <v>333.94</v>
      </c>
    </row>
    <row r="2749" spans="1:5" x14ac:dyDescent="0.25">
      <c r="A2749" s="1">
        <v>43454</v>
      </c>
      <c r="B2749">
        <v>120411</v>
      </c>
      <c r="C2749" t="s">
        <v>222</v>
      </c>
      <c r="D2749" t="s">
        <v>2623</v>
      </c>
      <c r="E2749" s="2">
        <v>91.93</v>
      </c>
    </row>
    <row r="2750" spans="1:5" x14ac:dyDescent="0.25">
      <c r="A2750" s="1">
        <v>43454</v>
      </c>
      <c r="B2750">
        <v>120411</v>
      </c>
      <c r="C2750" t="s">
        <v>222</v>
      </c>
      <c r="D2750" t="s">
        <v>2624</v>
      </c>
      <c r="E2750" s="2">
        <v>121.24</v>
      </c>
    </row>
    <row r="2751" spans="1:5" x14ac:dyDescent="0.25">
      <c r="A2751" s="1">
        <v>43454</v>
      </c>
      <c r="B2751">
        <v>120411</v>
      </c>
      <c r="C2751" t="s">
        <v>222</v>
      </c>
      <c r="D2751" t="s">
        <v>2625</v>
      </c>
      <c r="E2751" s="2">
        <v>59.79</v>
      </c>
    </row>
    <row r="2752" spans="1:5" x14ac:dyDescent="0.25">
      <c r="A2752" s="1">
        <v>43454</v>
      </c>
      <c r="B2752">
        <v>120411</v>
      </c>
      <c r="C2752" t="s">
        <v>222</v>
      </c>
      <c r="D2752" t="s">
        <v>2626</v>
      </c>
      <c r="E2752" s="2">
        <v>55.03</v>
      </c>
    </row>
    <row r="2753" spans="1:5" x14ac:dyDescent="0.25">
      <c r="A2753" s="1">
        <v>43454</v>
      </c>
      <c r="B2753">
        <v>120412</v>
      </c>
      <c r="C2753" t="s">
        <v>388</v>
      </c>
      <c r="D2753" t="s">
        <v>589</v>
      </c>
      <c r="E2753" s="2">
        <f>996.05+1545.34+1552.8+3949.87+507.26+4548.46</f>
        <v>13099.779999999999</v>
      </c>
    </row>
    <row r="2754" spans="1:5" x14ac:dyDescent="0.25">
      <c r="A2754" s="1">
        <v>43454</v>
      </c>
      <c r="B2754">
        <v>120413</v>
      </c>
      <c r="C2754" t="s">
        <v>2627</v>
      </c>
      <c r="D2754" t="s">
        <v>2628</v>
      </c>
      <c r="E2754" s="2">
        <v>2600</v>
      </c>
    </row>
    <row r="2755" spans="1:5" x14ac:dyDescent="0.25">
      <c r="A2755" s="1">
        <v>43454</v>
      </c>
      <c r="B2755">
        <v>120414</v>
      </c>
      <c r="C2755" t="s">
        <v>1279</v>
      </c>
      <c r="D2755" t="s">
        <v>2629</v>
      </c>
      <c r="E2755" s="2">
        <v>9375</v>
      </c>
    </row>
    <row r="2756" spans="1:5" x14ac:dyDescent="0.25">
      <c r="A2756" s="1">
        <v>43454</v>
      </c>
      <c r="B2756">
        <v>120415</v>
      </c>
      <c r="C2756" t="s">
        <v>1281</v>
      </c>
      <c r="D2756" t="s">
        <v>2630</v>
      </c>
      <c r="E2756" s="2">
        <v>475.28</v>
      </c>
    </row>
    <row r="2757" spans="1:5" x14ac:dyDescent="0.25">
      <c r="A2757" s="1">
        <v>43454</v>
      </c>
      <c r="B2757">
        <v>120416</v>
      </c>
      <c r="C2757" t="s">
        <v>100</v>
      </c>
      <c r="D2757" t="s">
        <v>2168</v>
      </c>
      <c r="E2757" s="2">
        <v>2355.48</v>
      </c>
    </row>
    <row r="2758" spans="1:5" x14ac:dyDescent="0.25">
      <c r="A2758" s="1">
        <v>43454</v>
      </c>
      <c r="B2758">
        <v>120416</v>
      </c>
      <c r="C2758" t="s">
        <v>100</v>
      </c>
      <c r="D2758" t="s">
        <v>416</v>
      </c>
      <c r="E2758" s="3">
        <v>-53.85</v>
      </c>
    </row>
    <row r="2759" spans="1:5" x14ac:dyDescent="0.25">
      <c r="A2759" s="1">
        <v>43454</v>
      </c>
      <c r="B2759">
        <v>120417</v>
      </c>
      <c r="C2759" t="s">
        <v>67</v>
      </c>
      <c r="D2759" t="s">
        <v>2532</v>
      </c>
      <c r="E2759" s="2">
        <v>118.15</v>
      </c>
    </row>
    <row r="2760" spans="1:5" x14ac:dyDescent="0.25">
      <c r="A2760" s="1">
        <v>43454</v>
      </c>
      <c r="B2760">
        <v>120419</v>
      </c>
      <c r="C2760" t="s">
        <v>2631</v>
      </c>
      <c r="D2760" t="s">
        <v>2632</v>
      </c>
      <c r="E2760" s="2">
        <f>875-368+270+371.25+335</f>
        <v>1483.25</v>
      </c>
    </row>
    <row r="2761" spans="1:5" x14ac:dyDescent="0.25">
      <c r="A2761" s="1">
        <v>43454</v>
      </c>
      <c r="B2761">
        <v>120420</v>
      </c>
      <c r="C2761" t="s">
        <v>2376</v>
      </c>
      <c r="D2761" t="s">
        <v>2377</v>
      </c>
      <c r="E2761" s="2">
        <v>85</v>
      </c>
    </row>
    <row r="2762" spans="1:5" x14ac:dyDescent="0.25">
      <c r="A2762" s="1">
        <v>43454</v>
      </c>
      <c r="B2762">
        <v>120423</v>
      </c>
      <c r="C2762" t="s">
        <v>274</v>
      </c>
      <c r="D2762" t="s">
        <v>2633</v>
      </c>
      <c r="E2762" s="2">
        <v>2024.52</v>
      </c>
    </row>
    <row r="2763" spans="1:5" x14ac:dyDescent="0.25">
      <c r="A2763" s="1">
        <v>43454</v>
      </c>
      <c r="B2763">
        <v>120423</v>
      </c>
      <c r="C2763" t="s">
        <v>274</v>
      </c>
      <c r="D2763" t="s">
        <v>2634</v>
      </c>
      <c r="E2763" s="2">
        <v>206.88</v>
      </c>
    </row>
    <row r="2764" spans="1:5" x14ac:dyDescent="0.25">
      <c r="A2764" s="1">
        <v>43454</v>
      </c>
      <c r="B2764">
        <v>120423</v>
      </c>
      <c r="C2764" t="s">
        <v>274</v>
      </c>
      <c r="D2764" t="s">
        <v>2635</v>
      </c>
      <c r="E2764" s="2">
        <v>1519.81</v>
      </c>
    </row>
    <row r="2765" spans="1:5" x14ac:dyDescent="0.25">
      <c r="A2765" s="1">
        <v>43454</v>
      </c>
      <c r="B2765">
        <v>120423</v>
      </c>
      <c r="C2765" t="s">
        <v>274</v>
      </c>
      <c r="D2765" t="s">
        <v>2636</v>
      </c>
      <c r="E2765" s="2">
        <v>684.84</v>
      </c>
    </row>
    <row r="2766" spans="1:5" x14ac:dyDescent="0.25">
      <c r="A2766" s="1">
        <v>43454</v>
      </c>
      <c r="B2766">
        <v>120423</v>
      </c>
      <c r="C2766" t="s">
        <v>274</v>
      </c>
      <c r="D2766" t="s">
        <v>2637</v>
      </c>
      <c r="E2766" s="2">
        <v>1275.9000000000001</v>
      </c>
    </row>
    <row r="2767" spans="1:5" x14ac:dyDescent="0.25">
      <c r="A2767" s="1">
        <v>43454</v>
      </c>
      <c r="B2767">
        <v>120423</v>
      </c>
      <c r="C2767" t="s">
        <v>274</v>
      </c>
      <c r="D2767" t="s">
        <v>2638</v>
      </c>
      <c r="E2767" s="2">
        <v>395.86</v>
      </c>
    </row>
    <row r="2768" spans="1:5" x14ac:dyDescent="0.25">
      <c r="A2768" s="1">
        <v>43454</v>
      </c>
      <c r="B2768">
        <v>120423</v>
      </c>
      <c r="C2768" t="s">
        <v>274</v>
      </c>
      <c r="D2768" t="s">
        <v>2639</v>
      </c>
      <c r="E2768" s="2">
        <v>559.36</v>
      </c>
    </row>
    <row r="2769" spans="1:5" x14ac:dyDescent="0.25">
      <c r="A2769" s="1">
        <v>43454</v>
      </c>
      <c r="B2769">
        <v>120423</v>
      </c>
      <c r="C2769" t="s">
        <v>274</v>
      </c>
      <c r="D2769" t="s">
        <v>2640</v>
      </c>
      <c r="E2769" s="2">
        <v>115.93</v>
      </c>
    </row>
    <row r="2770" spans="1:5" x14ac:dyDescent="0.25">
      <c r="A2770" s="1">
        <v>43454</v>
      </c>
      <c r="B2770">
        <v>120423</v>
      </c>
      <c r="C2770" t="s">
        <v>274</v>
      </c>
      <c r="D2770" t="s">
        <v>2641</v>
      </c>
      <c r="E2770" s="2">
        <v>235.18</v>
      </c>
    </row>
    <row r="2771" spans="1:5" x14ac:dyDescent="0.25">
      <c r="A2771" s="1">
        <v>43454</v>
      </c>
      <c r="B2771">
        <v>120426</v>
      </c>
      <c r="C2771" t="s">
        <v>74</v>
      </c>
      <c r="D2771" t="s">
        <v>1211</v>
      </c>
      <c r="E2771" s="2">
        <v>777.23</v>
      </c>
    </row>
    <row r="2772" spans="1:5" x14ac:dyDescent="0.25">
      <c r="A2772" s="1">
        <v>43454</v>
      </c>
      <c r="B2772">
        <v>120426</v>
      </c>
      <c r="C2772" t="s">
        <v>74</v>
      </c>
      <c r="D2772" t="s">
        <v>2642</v>
      </c>
      <c r="E2772" s="2">
        <v>145.93</v>
      </c>
    </row>
    <row r="2773" spans="1:5" x14ac:dyDescent="0.25">
      <c r="A2773" s="1">
        <v>43454</v>
      </c>
      <c r="B2773">
        <v>120426</v>
      </c>
      <c r="C2773" t="s">
        <v>74</v>
      </c>
      <c r="D2773" t="s">
        <v>2643</v>
      </c>
      <c r="E2773" s="2">
        <v>1156</v>
      </c>
    </row>
    <row r="2774" spans="1:5" x14ac:dyDescent="0.25">
      <c r="A2774" s="1">
        <v>43454</v>
      </c>
      <c r="B2774">
        <v>120426</v>
      </c>
      <c r="C2774" t="s">
        <v>74</v>
      </c>
      <c r="D2774" t="s">
        <v>2644</v>
      </c>
      <c r="E2774" s="2">
        <v>282</v>
      </c>
    </row>
    <row r="2775" spans="1:5" x14ac:dyDescent="0.25">
      <c r="A2775" s="1">
        <v>43454</v>
      </c>
      <c r="B2775">
        <v>120426</v>
      </c>
      <c r="C2775" t="s">
        <v>74</v>
      </c>
      <c r="D2775" t="s">
        <v>1242</v>
      </c>
      <c r="E2775" s="2">
        <v>97.91</v>
      </c>
    </row>
    <row r="2776" spans="1:5" x14ac:dyDescent="0.25">
      <c r="A2776" s="1">
        <v>43454</v>
      </c>
      <c r="B2776">
        <v>120426</v>
      </c>
      <c r="C2776" t="s">
        <v>74</v>
      </c>
      <c r="D2776" t="s">
        <v>1467</v>
      </c>
      <c r="E2776" s="2">
        <v>1878.5</v>
      </c>
    </row>
    <row r="2777" spans="1:5" x14ac:dyDescent="0.25">
      <c r="A2777" s="1">
        <v>43454</v>
      </c>
      <c r="B2777">
        <v>120426</v>
      </c>
      <c r="C2777" t="s">
        <v>74</v>
      </c>
      <c r="D2777" t="s">
        <v>2645</v>
      </c>
      <c r="E2777" s="2">
        <v>299</v>
      </c>
    </row>
    <row r="2778" spans="1:5" x14ac:dyDescent="0.25">
      <c r="A2778" s="1">
        <v>43454</v>
      </c>
      <c r="B2778">
        <v>120426</v>
      </c>
      <c r="C2778" t="s">
        <v>74</v>
      </c>
      <c r="D2778" t="s">
        <v>1017</v>
      </c>
      <c r="E2778" s="2">
        <v>433.5</v>
      </c>
    </row>
    <row r="2779" spans="1:5" x14ac:dyDescent="0.25">
      <c r="A2779" s="1">
        <v>43454</v>
      </c>
      <c r="B2779">
        <v>120426</v>
      </c>
      <c r="C2779" t="s">
        <v>74</v>
      </c>
      <c r="D2779" t="s">
        <v>416</v>
      </c>
      <c r="E2779" s="3">
        <v>-433.5</v>
      </c>
    </row>
    <row r="2780" spans="1:5" x14ac:dyDescent="0.25">
      <c r="A2780" s="1">
        <v>43454</v>
      </c>
      <c r="B2780">
        <v>120426</v>
      </c>
      <c r="C2780" t="s">
        <v>74</v>
      </c>
      <c r="D2780" t="s">
        <v>1017</v>
      </c>
      <c r="E2780" s="2">
        <v>433.5</v>
      </c>
    </row>
    <row r="2781" spans="1:5" x14ac:dyDescent="0.25">
      <c r="A2781" s="1">
        <v>43454</v>
      </c>
      <c r="B2781">
        <v>181900144</v>
      </c>
      <c r="C2781" t="s">
        <v>904</v>
      </c>
      <c r="D2781" t="s">
        <v>1980</v>
      </c>
      <c r="E2781" s="2">
        <v>100</v>
      </c>
    </row>
    <row r="2782" spans="1:5" x14ac:dyDescent="0.25">
      <c r="A2782" s="1">
        <v>43454</v>
      </c>
      <c r="B2782">
        <v>181900145</v>
      </c>
      <c r="C2782" t="s">
        <v>2461</v>
      </c>
      <c r="D2782" t="s">
        <v>1980</v>
      </c>
      <c r="E2782" s="2">
        <v>97</v>
      </c>
    </row>
    <row r="2783" spans="1:5" x14ac:dyDescent="0.25">
      <c r="A2783" s="1">
        <v>43454</v>
      </c>
      <c r="B2783">
        <v>181900146</v>
      </c>
      <c r="C2783" t="s">
        <v>2646</v>
      </c>
      <c r="D2783" t="s">
        <v>1980</v>
      </c>
      <c r="E2783" s="2">
        <v>15</v>
      </c>
    </row>
    <row r="2784" spans="1:5" x14ac:dyDescent="0.25">
      <c r="A2784" s="1">
        <v>43454</v>
      </c>
      <c r="B2784">
        <v>181900147</v>
      </c>
      <c r="C2784" t="s">
        <v>2647</v>
      </c>
      <c r="D2784" t="s">
        <v>1980</v>
      </c>
      <c r="E2784" s="2">
        <v>177</v>
      </c>
    </row>
    <row r="2785" spans="1:6" x14ac:dyDescent="0.25">
      <c r="A2785" s="1">
        <v>43454</v>
      </c>
      <c r="B2785">
        <v>181900148</v>
      </c>
      <c r="C2785" t="s">
        <v>2648</v>
      </c>
      <c r="D2785" t="s">
        <v>1980</v>
      </c>
      <c r="E2785" s="2">
        <v>24.98</v>
      </c>
    </row>
    <row r="2786" spans="1:6" x14ac:dyDescent="0.25">
      <c r="A2786" s="1">
        <v>43454</v>
      </c>
      <c r="B2786">
        <v>181900149</v>
      </c>
      <c r="C2786" t="s">
        <v>916</v>
      </c>
      <c r="D2786" t="s">
        <v>1980</v>
      </c>
      <c r="E2786" s="2">
        <v>69</v>
      </c>
    </row>
    <row r="2787" spans="1:6" x14ac:dyDescent="0.25">
      <c r="A2787" s="1">
        <v>43454</v>
      </c>
      <c r="B2787">
        <v>181900150</v>
      </c>
      <c r="C2787" t="s">
        <v>2649</v>
      </c>
      <c r="D2787" t="s">
        <v>1980</v>
      </c>
      <c r="E2787" s="2">
        <v>43.6</v>
      </c>
    </row>
    <row r="2788" spans="1:6" x14ac:dyDescent="0.25">
      <c r="A2788" s="1">
        <v>43454</v>
      </c>
      <c r="B2788">
        <v>181900151</v>
      </c>
      <c r="C2788" t="s">
        <v>2266</v>
      </c>
      <c r="D2788" t="s">
        <v>1980</v>
      </c>
      <c r="E2788" s="2">
        <v>233.86</v>
      </c>
    </row>
    <row r="2789" spans="1:6" x14ac:dyDescent="0.25">
      <c r="A2789" s="1">
        <v>43454</v>
      </c>
      <c r="B2789">
        <v>181900152</v>
      </c>
      <c r="C2789" t="s">
        <v>2650</v>
      </c>
      <c r="D2789" t="s">
        <v>2651</v>
      </c>
      <c r="E2789" s="2">
        <v>118.87</v>
      </c>
    </row>
    <row r="2790" spans="1:6" x14ac:dyDescent="0.25">
      <c r="A2790" s="1">
        <v>43455</v>
      </c>
      <c r="B2790">
        <v>120427</v>
      </c>
      <c r="C2790" t="s">
        <v>64</v>
      </c>
      <c r="D2790" t="s">
        <v>2652</v>
      </c>
      <c r="E2790" s="2">
        <v>320</v>
      </c>
    </row>
    <row r="2791" spans="1:6" x14ac:dyDescent="0.25">
      <c r="A2791" s="1">
        <v>43455</v>
      </c>
      <c r="B2791">
        <v>120428</v>
      </c>
      <c r="C2791" t="s">
        <v>1930</v>
      </c>
      <c r="D2791" t="s">
        <v>2653</v>
      </c>
      <c r="E2791" s="2">
        <v>1306</v>
      </c>
    </row>
    <row r="2792" spans="1:6" x14ac:dyDescent="0.25">
      <c r="A2792" s="1">
        <v>43455</v>
      </c>
      <c r="B2792">
        <v>120430</v>
      </c>
      <c r="C2792" t="s">
        <v>597</v>
      </c>
      <c r="D2792" t="s">
        <v>598</v>
      </c>
      <c r="E2792" s="2">
        <v>0</v>
      </c>
    </row>
    <row r="2793" spans="1:6" x14ac:dyDescent="0.25">
      <c r="A2793" s="1">
        <v>43455</v>
      </c>
      <c r="B2793">
        <v>120431</v>
      </c>
      <c r="C2793" t="s">
        <v>2654</v>
      </c>
      <c r="D2793" t="s">
        <v>2655</v>
      </c>
      <c r="E2793" s="2">
        <v>230</v>
      </c>
    </row>
    <row r="2794" spans="1:6" x14ac:dyDescent="0.25">
      <c r="A2794" s="1">
        <v>43455</v>
      </c>
      <c r="B2794">
        <v>120432</v>
      </c>
      <c r="C2794" t="s">
        <v>1092</v>
      </c>
      <c r="D2794" t="s">
        <v>2656</v>
      </c>
      <c r="E2794" s="2">
        <v>102</v>
      </c>
    </row>
    <row r="2795" spans="1:6" x14ac:dyDescent="0.25">
      <c r="A2795" s="1">
        <v>43455</v>
      </c>
      <c r="B2795">
        <v>120433</v>
      </c>
      <c r="C2795" t="s">
        <v>274</v>
      </c>
      <c r="D2795" t="s">
        <v>2657</v>
      </c>
      <c r="E2795" s="2">
        <v>267.24</v>
      </c>
    </row>
    <row r="2796" spans="1:6" x14ac:dyDescent="0.25">
      <c r="A2796" s="1">
        <v>43455</v>
      </c>
      <c r="B2796">
        <v>120434</v>
      </c>
      <c r="C2796" t="s">
        <v>219</v>
      </c>
      <c r="D2796" t="s">
        <v>2658</v>
      </c>
      <c r="E2796" s="2">
        <v>382</v>
      </c>
    </row>
    <row r="2797" spans="1:6" x14ac:dyDescent="0.25">
      <c r="C2797" t="s">
        <v>2659</v>
      </c>
      <c r="F2797" s="9">
        <f>SUM(E2161:E2796)</f>
        <v>1090506.26</v>
      </c>
    </row>
    <row r="2799" spans="1:6" x14ac:dyDescent="0.25">
      <c r="A2799" s="1">
        <v>43473</v>
      </c>
      <c r="B2799">
        <v>201800128</v>
      </c>
      <c r="C2799" t="s">
        <v>2661</v>
      </c>
      <c r="D2799" t="s">
        <v>2662</v>
      </c>
      <c r="E2799" s="2">
        <v>75</v>
      </c>
    </row>
    <row r="2800" spans="1:6" x14ac:dyDescent="0.25">
      <c r="A2800" s="1">
        <v>43473</v>
      </c>
      <c r="B2800">
        <v>201800129</v>
      </c>
      <c r="C2800" t="s">
        <v>1612</v>
      </c>
      <c r="D2800" t="s">
        <v>2663</v>
      </c>
      <c r="E2800" s="2">
        <v>480</v>
      </c>
    </row>
    <row r="2801" spans="1:5" x14ac:dyDescent="0.25">
      <c r="A2801" s="1">
        <v>43474</v>
      </c>
      <c r="B2801">
        <v>120435</v>
      </c>
      <c r="C2801" t="s">
        <v>64</v>
      </c>
      <c r="D2801" t="s">
        <v>2664</v>
      </c>
      <c r="E2801" s="2">
        <v>1965</v>
      </c>
    </row>
    <row r="2802" spans="1:5" x14ac:dyDescent="0.25">
      <c r="A2802" s="1">
        <v>43474</v>
      </c>
      <c r="B2802">
        <v>120436</v>
      </c>
      <c r="C2802" t="s">
        <v>1930</v>
      </c>
      <c r="D2802" t="s">
        <v>2665</v>
      </c>
      <c r="E2802" s="2">
        <v>1777</v>
      </c>
    </row>
    <row r="2803" spans="1:5" x14ac:dyDescent="0.25">
      <c r="A2803" s="1">
        <v>43474</v>
      </c>
      <c r="B2803">
        <v>120437</v>
      </c>
      <c r="C2803" t="s">
        <v>67</v>
      </c>
      <c r="D2803" t="s">
        <v>2666</v>
      </c>
      <c r="E2803" s="2">
        <v>1107.75</v>
      </c>
    </row>
    <row r="2804" spans="1:5" x14ac:dyDescent="0.25">
      <c r="A2804" s="1">
        <v>43474</v>
      </c>
      <c r="B2804">
        <v>120438</v>
      </c>
      <c r="C2804" t="s">
        <v>7</v>
      </c>
      <c r="D2804" t="s">
        <v>2667</v>
      </c>
      <c r="E2804" s="2">
        <v>420</v>
      </c>
    </row>
    <row r="2805" spans="1:5" x14ac:dyDescent="0.25">
      <c r="A2805" s="1">
        <v>43474</v>
      </c>
      <c r="B2805">
        <v>120438</v>
      </c>
      <c r="C2805" t="s">
        <v>7</v>
      </c>
      <c r="D2805" t="s">
        <v>2668</v>
      </c>
      <c r="E2805" s="2">
        <v>84</v>
      </c>
    </row>
    <row r="2806" spans="1:5" x14ac:dyDescent="0.25">
      <c r="A2806" s="1">
        <v>43474</v>
      </c>
      <c r="B2806">
        <v>120439</v>
      </c>
      <c r="C2806" t="s">
        <v>31</v>
      </c>
      <c r="D2806" t="s">
        <v>2617</v>
      </c>
      <c r="E2806" s="2">
        <v>67.599999999999994</v>
      </c>
    </row>
    <row r="2807" spans="1:5" x14ac:dyDescent="0.25">
      <c r="A2807" s="1">
        <v>43474</v>
      </c>
      <c r="B2807">
        <v>120440</v>
      </c>
      <c r="C2807" t="s">
        <v>2669</v>
      </c>
      <c r="D2807" t="s">
        <v>2670</v>
      </c>
      <c r="E2807" s="2">
        <v>256</v>
      </c>
    </row>
    <row r="2808" spans="1:5" x14ac:dyDescent="0.25">
      <c r="A2808" s="1">
        <v>43474</v>
      </c>
      <c r="B2808">
        <v>120441</v>
      </c>
      <c r="C2808" t="s">
        <v>688</v>
      </c>
      <c r="D2808" t="s">
        <v>2671</v>
      </c>
      <c r="E2808" s="2">
        <v>111.56</v>
      </c>
    </row>
    <row r="2809" spans="1:5" x14ac:dyDescent="0.25">
      <c r="A2809" s="1">
        <v>43474</v>
      </c>
      <c r="B2809">
        <v>120442</v>
      </c>
      <c r="C2809" t="s">
        <v>692</v>
      </c>
      <c r="D2809" t="s">
        <v>2672</v>
      </c>
      <c r="E2809" s="2">
        <v>106.98</v>
      </c>
    </row>
    <row r="2810" spans="1:5" x14ac:dyDescent="0.25">
      <c r="A2810" s="1">
        <v>43474</v>
      </c>
      <c r="B2810">
        <v>120443</v>
      </c>
      <c r="C2810" t="s">
        <v>2673</v>
      </c>
      <c r="D2810" t="s">
        <v>2674</v>
      </c>
      <c r="E2810" s="2">
        <v>450</v>
      </c>
    </row>
    <row r="2811" spans="1:5" x14ac:dyDescent="0.25">
      <c r="A2811" s="1">
        <v>43474</v>
      </c>
      <c r="B2811">
        <v>120444</v>
      </c>
      <c r="C2811" t="s">
        <v>2675</v>
      </c>
      <c r="D2811" t="s">
        <v>2676</v>
      </c>
      <c r="E2811" s="2">
        <v>574.5</v>
      </c>
    </row>
    <row r="2812" spans="1:5" x14ac:dyDescent="0.25">
      <c r="A2812" s="1">
        <v>43474</v>
      </c>
      <c r="B2812">
        <v>120445</v>
      </c>
      <c r="C2812" t="s">
        <v>365</v>
      </c>
      <c r="D2812" t="s">
        <v>485</v>
      </c>
      <c r="E2812" s="2">
        <v>209.47</v>
      </c>
    </row>
    <row r="2813" spans="1:5" x14ac:dyDescent="0.25">
      <c r="A2813" s="1">
        <v>43474</v>
      </c>
      <c r="B2813">
        <v>120447</v>
      </c>
      <c r="C2813" t="s">
        <v>125</v>
      </c>
      <c r="D2813" t="s">
        <v>2677</v>
      </c>
      <c r="E2813" s="2">
        <v>49.57</v>
      </c>
    </row>
    <row r="2814" spans="1:5" x14ac:dyDescent="0.25">
      <c r="A2814" s="1">
        <v>43474</v>
      </c>
      <c r="B2814">
        <v>120447</v>
      </c>
      <c r="C2814" t="s">
        <v>125</v>
      </c>
      <c r="D2814" t="s">
        <v>961</v>
      </c>
      <c r="E2814" s="2">
        <f>319.43+30.4+266.92+80.92</f>
        <v>697.67</v>
      </c>
    </row>
    <row r="2815" spans="1:5" x14ac:dyDescent="0.25">
      <c r="A2815" s="1">
        <v>43474</v>
      </c>
      <c r="B2815">
        <v>120448</v>
      </c>
      <c r="C2815" t="s">
        <v>869</v>
      </c>
      <c r="D2815" t="s">
        <v>2678</v>
      </c>
      <c r="E2815" s="2">
        <v>174.2</v>
      </c>
    </row>
    <row r="2816" spans="1:5" x14ac:dyDescent="0.25">
      <c r="A2816" s="1">
        <v>43474</v>
      </c>
      <c r="B2816">
        <v>120449</v>
      </c>
      <c r="C2816" t="s">
        <v>2679</v>
      </c>
      <c r="D2816" t="s">
        <v>2680</v>
      </c>
      <c r="E2816" s="2">
        <v>610</v>
      </c>
    </row>
    <row r="2817" spans="1:5" x14ac:dyDescent="0.25">
      <c r="A2817" s="1">
        <v>43474</v>
      </c>
      <c r="B2817">
        <v>120450</v>
      </c>
      <c r="C2817" t="s">
        <v>77</v>
      </c>
      <c r="D2817" t="s">
        <v>1769</v>
      </c>
      <c r="E2817" s="2">
        <v>31</v>
      </c>
    </row>
    <row r="2818" spans="1:5" x14ac:dyDescent="0.25">
      <c r="A2818" s="1">
        <v>43474</v>
      </c>
      <c r="B2818">
        <v>120451</v>
      </c>
      <c r="C2818" t="s">
        <v>77</v>
      </c>
      <c r="D2818" t="s">
        <v>2681</v>
      </c>
      <c r="E2818" s="2">
        <v>90.61</v>
      </c>
    </row>
    <row r="2819" spans="1:5" x14ac:dyDescent="0.25">
      <c r="A2819" s="1">
        <v>43474</v>
      </c>
      <c r="B2819">
        <v>120452</v>
      </c>
      <c r="C2819" t="s">
        <v>77</v>
      </c>
      <c r="D2819" t="s">
        <v>2682</v>
      </c>
      <c r="E2819" s="2">
        <v>100</v>
      </c>
    </row>
    <row r="2820" spans="1:5" x14ac:dyDescent="0.25">
      <c r="A2820" s="1">
        <v>43474</v>
      </c>
      <c r="B2820">
        <v>120458</v>
      </c>
      <c r="C2820" t="s">
        <v>631</v>
      </c>
      <c r="D2820" t="s">
        <v>2498</v>
      </c>
      <c r="E2820" s="2">
        <v>139.68</v>
      </c>
    </row>
    <row r="2821" spans="1:5" x14ac:dyDescent="0.25">
      <c r="A2821" s="1">
        <v>43474</v>
      </c>
      <c r="B2821">
        <v>120458</v>
      </c>
      <c r="C2821" t="s">
        <v>631</v>
      </c>
      <c r="D2821" t="s">
        <v>2683</v>
      </c>
      <c r="E2821" s="2">
        <v>186.08</v>
      </c>
    </row>
    <row r="2822" spans="1:5" x14ac:dyDescent="0.25">
      <c r="A2822" s="1">
        <v>43474</v>
      </c>
      <c r="B2822">
        <v>120458</v>
      </c>
      <c r="C2822" t="s">
        <v>631</v>
      </c>
      <c r="D2822" t="s">
        <v>2684</v>
      </c>
      <c r="E2822" s="2">
        <v>231.72</v>
      </c>
    </row>
    <row r="2823" spans="1:5" x14ac:dyDescent="0.25">
      <c r="A2823" s="1">
        <v>43474</v>
      </c>
      <c r="B2823">
        <v>120458</v>
      </c>
      <c r="C2823" t="s">
        <v>631</v>
      </c>
      <c r="D2823" t="s">
        <v>2685</v>
      </c>
      <c r="E2823" s="2">
        <v>44.94</v>
      </c>
    </row>
    <row r="2824" spans="1:5" x14ac:dyDescent="0.25">
      <c r="A2824" s="1">
        <v>43474</v>
      </c>
      <c r="B2824">
        <v>120458</v>
      </c>
      <c r="C2824" t="s">
        <v>631</v>
      </c>
      <c r="D2824" t="s">
        <v>2686</v>
      </c>
      <c r="E2824" s="2">
        <v>71.33</v>
      </c>
    </row>
    <row r="2825" spans="1:5" x14ac:dyDescent="0.25">
      <c r="A2825" s="1">
        <v>43474</v>
      </c>
      <c r="B2825">
        <v>120458</v>
      </c>
      <c r="C2825" t="s">
        <v>631</v>
      </c>
      <c r="D2825" t="s">
        <v>415</v>
      </c>
      <c r="E2825" s="2">
        <v>130.44999999999999</v>
      </c>
    </row>
    <row r="2826" spans="1:5" x14ac:dyDescent="0.25">
      <c r="A2826" s="1">
        <v>43474</v>
      </c>
      <c r="B2826">
        <v>120458</v>
      </c>
      <c r="C2826" t="s">
        <v>631</v>
      </c>
      <c r="D2826" t="s">
        <v>2687</v>
      </c>
      <c r="E2826" s="2">
        <v>59.6</v>
      </c>
    </row>
    <row r="2827" spans="1:5" x14ac:dyDescent="0.25">
      <c r="A2827" s="1">
        <v>43474</v>
      </c>
      <c r="B2827">
        <v>120458</v>
      </c>
      <c r="C2827" t="s">
        <v>631</v>
      </c>
      <c r="D2827" t="s">
        <v>2688</v>
      </c>
      <c r="E2827" s="2">
        <v>59.32</v>
      </c>
    </row>
    <row r="2828" spans="1:5" x14ac:dyDescent="0.25">
      <c r="A2828" s="1">
        <v>43474</v>
      </c>
      <c r="B2828">
        <v>120458</v>
      </c>
      <c r="C2828" t="s">
        <v>631</v>
      </c>
      <c r="D2828" t="s">
        <v>2689</v>
      </c>
      <c r="E2828" s="2">
        <v>81.2</v>
      </c>
    </row>
    <row r="2829" spans="1:5" x14ac:dyDescent="0.25">
      <c r="A2829" s="1">
        <v>43474</v>
      </c>
      <c r="B2829">
        <v>120458</v>
      </c>
      <c r="C2829" t="s">
        <v>631</v>
      </c>
      <c r="D2829" t="s">
        <v>2690</v>
      </c>
      <c r="E2829" s="2">
        <v>331.42</v>
      </c>
    </row>
    <row r="2830" spans="1:5" x14ac:dyDescent="0.25">
      <c r="A2830" s="1">
        <v>43474</v>
      </c>
      <c r="B2830">
        <v>120458</v>
      </c>
      <c r="C2830" t="s">
        <v>631</v>
      </c>
      <c r="D2830" t="s">
        <v>2691</v>
      </c>
      <c r="E2830" s="2">
        <v>199.61</v>
      </c>
    </row>
    <row r="2831" spans="1:5" x14ac:dyDescent="0.25">
      <c r="A2831" s="1">
        <v>43474</v>
      </c>
      <c r="B2831">
        <v>120458</v>
      </c>
      <c r="C2831" t="s">
        <v>631</v>
      </c>
      <c r="D2831" t="s">
        <v>2692</v>
      </c>
      <c r="E2831" s="2">
        <v>101.82</v>
      </c>
    </row>
    <row r="2832" spans="1:5" x14ac:dyDescent="0.25">
      <c r="A2832" s="1">
        <v>43474</v>
      </c>
      <c r="B2832">
        <v>120458</v>
      </c>
      <c r="C2832" t="s">
        <v>631</v>
      </c>
      <c r="D2832" t="s">
        <v>2693</v>
      </c>
      <c r="E2832" s="2">
        <v>199.98</v>
      </c>
    </row>
    <row r="2833" spans="1:5" x14ac:dyDescent="0.25">
      <c r="A2833" s="1">
        <v>43474</v>
      </c>
      <c r="B2833">
        <v>120458</v>
      </c>
      <c r="C2833" t="s">
        <v>631</v>
      </c>
      <c r="D2833" t="s">
        <v>2694</v>
      </c>
      <c r="E2833" s="2">
        <v>335.82</v>
      </c>
    </row>
    <row r="2834" spans="1:5" x14ac:dyDescent="0.25">
      <c r="A2834" s="1">
        <v>43474</v>
      </c>
      <c r="B2834">
        <v>120458</v>
      </c>
      <c r="C2834" t="s">
        <v>631</v>
      </c>
      <c r="D2834" t="s">
        <v>2695</v>
      </c>
      <c r="E2834" s="2">
        <v>145.58000000000001</v>
      </c>
    </row>
    <row r="2835" spans="1:5" x14ac:dyDescent="0.25">
      <c r="A2835" s="1">
        <v>43474</v>
      </c>
      <c r="B2835">
        <v>120458</v>
      </c>
      <c r="C2835" t="s">
        <v>631</v>
      </c>
      <c r="D2835" t="s">
        <v>2696</v>
      </c>
      <c r="E2835" s="2">
        <v>144.97999999999999</v>
      </c>
    </row>
    <row r="2836" spans="1:5" x14ac:dyDescent="0.25">
      <c r="A2836" s="1">
        <v>43474</v>
      </c>
      <c r="B2836">
        <v>120458</v>
      </c>
      <c r="C2836" t="s">
        <v>631</v>
      </c>
      <c r="D2836" t="s">
        <v>2683</v>
      </c>
      <c r="E2836" s="2">
        <v>895.08</v>
      </c>
    </row>
    <row r="2837" spans="1:5" x14ac:dyDescent="0.25">
      <c r="A2837" s="1">
        <v>43474</v>
      </c>
      <c r="B2837">
        <v>120458</v>
      </c>
      <c r="C2837" t="s">
        <v>631</v>
      </c>
      <c r="D2837" t="s">
        <v>2697</v>
      </c>
      <c r="E2837" s="2">
        <v>179.8</v>
      </c>
    </row>
    <row r="2838" spans="1:5" x14ac:dyDescent="0.25">
      <c r="A2838" s="1">
        <v>43474</v>
      </c>
      <c r="B2838">
        <v>120458</v>
      </c>
      <c r="C2838" t="s">
        <v>631</v>
      </c>
      <c r="D2838" t="s">
        <v>1119</v>
      </c>
      <c r="E2838" s="2">
        <v>94.53</v>
      </c>
    </row>
    <row r="2839" spans="1:5" x14ac:dyDescent="0.25">
      <c r="A2839" s="1">
        <v>43474</v>
      </c>
      <c r="B2839">
        <v>120458</v>
      </c>
      <c r="C2839" t="s">
        <v>631</v>
      </c>
      <c r="D2839" t="s">
        <v>2698</v>
      </c>
      <c r="E2839" s="2">
        <v>195.24</v>
      </c>
    </row>
    <row r="2840" spans="1:5" x14ac:dyDescent="0.25">
      <c r="A2840" s="1">
        <v>43474</v>
      </c>
      <c r="B2840">
        <v>120458</v>
      </c>
      <c r="C2840" t="s">
        <v>631</v>
      </c>
      <c r="D2840" t="s">
        <v>2699</v>
      </c>
      <c r="E2840" s="2">
        <v>88.29</v>
      </c>
    </row>
    <row r="2841" spans="1:5" x14ac:dyDescent="0.25">
      <c r="A2841" s="1">
        <v>43474</v>
      </c>
      <c r="B2841">
        <v>120458</v>
      </c>
      <c r="C2841" t="s">
        <v>631</v>
      </c>
      <c r="D2841" t="s">
        <v>2700</v>
      </c>
      <c r="E2841" s="2">
        <v>26.26</v>
      </c>
    </row>
    <row r="2842" spans="1:5" x14ac:dyDescent="0.25">
      <c r="A2842" s="1">
        <v>43474</v>
      </c>
      <c r="B2842">
        <v>120459</v>
      </c>
      <c r="C2842" t="s">
        <v>2300</v>
      </c>
      <c r="D2842" t="s">
        <v>2701</v>
      </c>
      <c r="E2842" s="2">
        <v>600</v>
      </c>
    </row>
    <row r="2843" spans="1:5" x14ac:dyDescent="0.25">
      <c r="A2843" s="1">
        <v>43474</v>
      </c>
      <c r="B2843">
        <v>120460</v>
      </c>
      <c r="C2843" t="s">
        <v>176</v>
      </c>
      <c r="D2843" t="s">
        <v>2702</v>
      </c>
      <c r="E2843" s="2">
        <v>1110</v>
      </c>
    </row>
    <row r="2844" spans="1:5" x14ac:dyDescent="0.25">
      <c r="A2844" s="1">
        <v>43474</v>
      </c>
      <c r="B2844">
        <v>120461</v>
      </c>
      <c r="C2844" t="s">
        <v>19</v>
      </c>
      <c r="D2844" t="s">
        <v>2703</v>
      </c>
      <c r="E2844" s="2">
        <v>398</v>
      </c>
    </row>
    <row r="2845" spans="1:5" x14ac:dyDescent="0.25">
      <c r="A2845" s="1">
        <v>43474</v>
      </c>
      <c r="B2845">
        <v>181900158</v>
      </c>
      <c r="C2845" t="s">
        <v>395</v>
      </c>
      <c r="D2845" t="s">
        <v>2704</v>
      </c>
      <c r="E2845" s="2">
        <f>344.68+343.03+343.03</f>
        <v>1030.74</v>
      </c>
    </row>
    <row r="2846" spans="1:5" x14ac:dyDescent="0.25">
      <c r="A2846" s="1">
        <v>43474</v>
      </c>
      <c r="B2846">
        <v>201800130</v>
      </c>
      <c r="C2846" t="s">
        <v>2705</v>
      </c>
      <c r="D2846" t="s">
        <v>2706</v>
      </c>
      <c r="E2846" s="2">
        <v>229.46</v>
      </c>
    </row>
    <row r="2847" spans="1:5" x14ac:dyDescent="0.25">
      <c r="A2847" s="1">
        <v>43474</v>
      </c>
      <c r="B2847">
        <v>201800131</v>
      </c>
      <c r="C2847" t="s">
        <v>796</v>
      </c>
      <c r="D2847" t="s">
        <v>2707</v>
      </c>
      <c r="E2847" s="2">
        <v>27.33</v>
      </c>
    </row>
    <row r="2848" spans="1:5" x14ac:dyDescent="0.25">
      <c r="A2848" s="1">
        <v>43474</v>
      </c>
      <c r="B2848">
        <v>201800131</v>
      </c>
      <c r="C2848" t="s">
        <v>796</v>
      </c>
      <c r="D2848" t="s">
        <v>2708</v>
      </c>
      <c r="E2848" s="2">
        <v>47.96</v>
      </c>
    </row>
    <row r="2849" spans="1:5" x14ac:dyDescent="0.25">
      <c r="A2849" s="1">
        <v>43474</v>
      </c>
      <c r="B2849">
        <v>201800132</v>
      </c>
      <c r="C2849" t="s">
        <v>2709</v>
      </c>
      <c r="D2849" t="s">
        <v>2710</v>
      </c>
      <c r="E2849" s="2">
        <v>89</v>
      </c>
    </row>
    <row r="2850" spans="1:5" x14ac:dyDescent="0.25">
      <c r="A2850" s="1">
        <v>43474</v>
      </c>
      <c r="B2850">
        <v>201800133</v>
      </c>
      <c r="C2850" t="s">
        <v>404</v>
      </c>
      <c r="D2850" t="s">
        <v>1743</v>
      </c>
      <c r="E2850" s="2">
        <f>48+48+48+48</f>
        <v>192</v>
      </c>
    </row>
    <row r="2851" spans="1:5" x14ac:dyDescent="0.25">
      <c r="A2851" s="1">
        <v>43474</v>
      </c>
      <c r="B2851">
        <v>201800134</v>
      </c>
      <c r="C2851" t="s">
        <v>2268</v>
      </c>
      <c r="D2851" t="s">
        <v>2711</v>
      </c>
      <c r="E2851" s="2">
        <v>35</v>
      </c>
    </row>
    <row r="2852" spans="1:5" x14ac:dyDescent="0.25">
      <c r="A2852" s="1">
        <v>43474</v>
      </c>
      <c r="B2852">
        <v>201800135</v>
      </c>
      <c r="C2852" t="s">
        <v>2712</v>
      </c>
      <c r="D2852" t="s">
        <v>2713</v>
      </c>
      <c r="E2852" s="2">
        <v>22</v>
      </c>
    </row>
    <row r="2853" spans="1:5" x14ac:dyDescent="0.25">
      <c r="A2853" s="1">
        <v>43474</v>
      </c>
      <c r="B2853">
        <v>201800135</v>
      </c>
      <c r="C2853" t="s">
        <v>2712</v>
      </c>
      <c r="D2853" t="s">
        <v>2714</v>
      </c>
      <c r="E2853" s="2">
        <v>50.5</v>
      </c>
    </row>
    <row r="2854" spans="1:5" x14ac:dyDescent="0.25">
      <c r="A2854" s="1">
        <v>43474</v>
      </c>
      <c r="B2854">
        <v>201800136</v>
      </c>
      <c r="C2854" t="s">
        <v>928</v>
      </c>
      <c r="D2854" t="s">
        <v>2715</v>
      </c>
      <c r="E2854" s="2">
        <v>74.23</v>
      </c>
    </row>
    <row r="2855" spans="1:5" x14ac:dyDescent="0.25">
      <c r="A2855" s="1">
        <v>43474</v>
      </c>
      <c r="B2855">
        <v>201800137</v>
      </c>
      <c r="C2855" t="s">
        <v>629</v>
      </c>
      <c r="D2855" t="s">
        <v>2716</v>
      </c>
      <c r="E2855" s="2">
        <v>431.63</v>
      </c>
    </row>
    <row r="2856" spans="1:5" x14ac:dyDescent="0.25">
      <c r="A2856" s="1">
        <v>43474</v>
      </c>
      <c r="B2856">
        <v>201800138</v>
      </c>
      <c r="C2856" t="s">
        <v>932</v>
      </c>
      <c r="D2856" t="s">
        <v>2717</v>
      </c>
      <c r="E2856" s="2">
        <v>21</v>
      </c>
    </row>
    <row r="2857" spans="1:5" x14ac:dyDescent="0.25">
      <c r="A2857" s="1">
        <v>43474</v>
      </c>
      <c r="B2857">
        <v>201800138</v>
      </c>
      <c r="C2857" t="s">
        <v>932</v>
      </c>
      <c r="D2857" t="s">
        <v>2718</v>
      </c>
      <c r="E2857" s="2">
        <v>10</v>
      </c>
    </row>
    <row r="2858" spans="1:5" x14ac:dyDescent="0.25">
      <c r="A2858" s="1">
        <v>43474</v>
      </c>
      <c r="B2858">
        <v>201800139</v>
      </c>
      <c r="C2858" t="s">
        <v>2719</v>
      </c>
      <c r="D2858" t="s">
        <v>2720</v>
      </c>
      <c r="E2858" s="2">
        <v>213.48</v>
      </c>
    </row>
    <row r="2859" spans="1:5" x14ac:dyDescent="0.25">
      <c r="A2859" s="1">
        <v>43474</v>
      </c>
      <c r="B2859">
        <v>201800140</v>
      </c>
      <c r="C2859" t="s">
        <v>938</v>
      </c>
      <c r="D2859" t="s">
        <v>2721</v>
      </c>
      <c r="E2859" s="2">
        <v>82.85</v>
      </c>
    </row>
    <row r="2860" spans="1:5" x14ac:dyDescent="0.25">
      <c r="A2860" s="1">
        <v>43474</v>
      </c>
      <c r="B2860">
        <v>201800141</v>
      </c>
      <c r="C2860" t="s">
        <v>940</v>
      </c>
      <c r="D2860" t="s">
        <v>2722</v>
      </c>
      <c r="E2860" s="2">
        <v>213.17</v>
      </c>
    </row>
    <row r="2861" spans="1:5" x14ac:dyDescent="0.25">
      <c r="A2861" s="1">
        <v>43474</v>
      </c>
      <c r="B2861">
        <v>201800142</v>
      </c>
      <c r="C2861" t="s">
        <v>793</v>
      </c>
      <c r="D2861" t="s">
        <v>2723</v>
      </c>
      <c r="E2861" s="2">
        <v>29.5</v>
      </c>
    </row>
    <row r="2862" spans="1:5" x14ac:dyDescent="0.25">
      <c r="A2862" s="1">
        <v>43474</v>
      </c>
      <c r="B2862">
        <v>201800143</v>
      </c>
      <c r="C2862" t="s">
        <v>2724</v>
      </c>
      <c r="D2862" t="s">
        <v>2725</v>
      </c>
      <c r="E2862" s="2">
        <v>64.52</v>
      </c>
    </row>
    <row r="2863" spans="1:5" x14ac:dyDescent="0.25">
      <c r="A2863" s="1">
        <v>43474</v>
      </c>
      <c r="B2863">
        <v>201800144</v>
      </c>
      <c r="C2863" t="s">
        <v>2726</v>
      </c>
      <c r="D2863" t="s">
        <v>2727</v>
      </c>
      <c r="E2863" s="2">
        <v>544.92999999999995</v>
      </c>
    </row>
    <row r="2864" spans="1:5" x14ac:dyDescent="0.25">
      <c r="A2864" s="1">
        <v>43475</v>
      </c>
      <c r="B2864">
        <v>120462</v>
      </c>
      <c r="C2864" t="s">
        <v>64</v>
      </c>
      <c r="D2864" t="s">
        <v>2728</v>
      </c>
      <c r="E2864" s="2">
        <v>315</v>
      </c>
    </row>
    <row r="2865" spans="1:5" x14ac:dyDescent="0.25">
      <c r="A2865" s="1">
        <v>43475</v>
      </c>
      <c r="B2865">
        <v>120463</v>
      </c>
      <c r="C2865" t="s">
        <v>235</v>
      </c>
      <c r="D2865" t="s">
        <v>464</v>
      </c>
      <c r="E2865" s="2">
        <v>585</v>
      </c>
    </row>
    <row r="2866" spans="1:5" x14ac:dyDescent="0.25">
      <c r="A2866" s="1">
        <v>43475</v>
      </c>
      <c r="B2866">
        <v>120464</v>
      </c>
      <c r="C2866" t="s">
        <v>2729</v>
      </c>
      <c r="D2866" t="s">
        <v>2730</v>
      </c>
      <c r="E2866" s="2">
        <v>350</v>
      </c>
    </row>
    <row r="2867" spans="1:5" x14ac:dyDescent="0.25">
      <c r="A2867" s="1">
        <v>43475</v>
      </c>
      <c r="B2867">
        <v>120466</v>
      </c>
      <c r="C2867" t="s">
        <v>22</v>
      </c>
      <c r="D2867" t="s">
        <v>24</v>
      </c>
      <c r="E2867" s="2">
        <v>3981.86</v>
      </c>
    </row>
    <row r="2868" spans="1:5" x14ac:dyDescent="0.25">
      <c r="A2868" s="1">
        <v>43475</v>
      </c>
      <c r="B2868">
        <v>120466</v>
      </c>
      <c r="C2868" t="s">
        <v>22</v>
      </c>
      <c r="D2868" t="s">
        <v>23</v>
      </c>
      <c r="E2868" s="2">
        <v>1633.65</v>
      </c>
    </row>
    <row r="2869" spans="1:5" x14ac:dyDescent="0.25">
      <c r="A2869" s="1">
        <v>43475</v>
      </c>
      <c r="B2869">
        <v>120469</v>
      </c>
      <c r="C2869" t="s">
        <v>238</v>
      </c>
      <c r="D2869" t="s">
        <v>437</v>
      </c>
      <c r="E2869" s="2">
        <v>7736.33</v>
      </c>
    </row>
    <row r="2870" spans="1:5" x14ac:dyDescent="0.25">
      <c r="A2870" s="1">
        <v>43475</v>
      </c>
      <c r="B2870">
        <v>120470</v>
      </c>
      <c r="C2870" t="s">
        <v>100</v>
      </c>
      <c r="D2870" t="s">
        <v>2168</v>
      </c>
      <c r="E2870" s="2">
        <v>25.99</v>
      </c>
    </row>
    <row r="2871" spans="1:5" x14ac:dyDescent="0.25">
      <c r="A2871" s="1">
        <v>43475</v>
      </c>
      <c r="B2871">
        <v>120471</v>
      </c>
      <c r="C2871" t="s">
        <v>343</v>
      </c>
      <c r="D2871" t="s">
        <v>2731</v>
      </c>
      <c r="E2871" s="2">
        <v>139.4</v>
      </c>
    </row>
    <row r="2872" spans="1:5" x14ac:dyDescent="0.25">
      <c r="A2872" s="1">
        <v>43475</v>
      </c>
      <c r="B2872">
        <v>120472</v>
      </c>
      <c r="C2872" t="s">
        <v>823</v>
      </c>
      <c r="D2872" t="s">
        <v>2732</v>
      </c>
      <c r="E2872" s="2">
        <v>500</v>
      </c>
    </row>
    <row r="2873" spans="1:5" x14ac:dyDescent="0.25">
      <c r="A2873" s="1">
        <v>43475</v>
      </c>
      <c r="B2873">
        <v>120473</v>
      </c>
      <c r="C2873" t="s">
        <v>826</v>
      </c>
      <c r="D2873" t="s">
        <v>328</v>
      </c>
      <c r="E2873" s="2">
        <f>880+385</f>
        <v>1265</v>
      </c>
    </row>
    <row r="2874" spans="1:5" x14ac:dyDescent="0.25">
      <c r="A2874" s="1">
        <v>43475</v>
      </c>
      <c r="B2874">
        <v>120474</v>
      </c>
      <c r="C2874" t="s">
        <v>828</v>
      </c>
      <c r="D2874" t="s">
        <v>1694</v>
      </c>
      <c r="E2874" s="2">
        <v>250</v>
      </c>
    </row>
    <row r="2875" spans="1:5" x14ac:dyDescent="0.25">
      <c r="A2875" s="1">
        <v>43475</v>
      </c>
      <c r="B2875">
        <v>120474</v>
      </c>
      <c r="C2875" t="s">
        <v>828</v>
      </c>
      <c r="D2875" t="s">
        <v>1694</v>
      </c>
      <c r="E2875" s="2">
        <v>500</v>
      </c>
    </row>
    <row r="2876" spans="1:5" x14ac:dyDescent="0.25">
      <c r="A2876" s="1">
        <v>43475</v>
      </c>
      <c r="B2876">
        <v>120475</v>
      </c>
      <c r="C2876" t="s">
        <v>829</v>
      </c>
      <c r="D2876" t="s">
        <v>1694</v>
      </c>
      <c r="E2876" s="2">
        <v>500</v>
      </c>
    </row>
    <row r="2877" spans="1:5" x14ac:dyDescent="0.25">
      <c r="A2877" s="1">
        <v>43475</v>
      </c>
      <c r="B2877">
        <v>120476</v>
      </c>
      <c r="C2877" t="s">
        <v>1156</v>
      </c>
      <c r="D2877" t="s">
        <v>2733</v>
      </c>
      <c r="E2877" s="2">
        <v>78.430000000000007</v>
      </c>
    </row>
    <row r="2878" spans="1:5" x14ac:dyDescent="0.25">
      <c r="A2878" s="1">
        <v>43475</v>
      </c>
      <c r="B2878">
        <v>120477</v>
      </c>
      <c r="C2878" t="s">
        <v>662</v>
      </c>
      <c r="D2878" t="s">
        <v>491</v>
      </c>
      <c r="E2878" s="2">
        <v>626.29999999999995</v>
      </c>
    </row>
    <row r="2879" spans="1:5" x14ac:dyDescent="0.25">
      <c r="A2879" s="1">
        <v>43475</v>
      </c>
      <c r="B2879">
        <v>120478</v>
      </c>
      <c r="C2879" t="s">
        <v>244</v>
      </c>
      <c r="D2879" t="s">
        <v>2734</v>
      </c>
      <c r="E2879" s="2">
        <v>34.44</v>
      </c>
    </row>
    <row r="2880" spans="1:5" x14ac:dyDescent="0.25">
      <c r="A2880" s="1">
        <v>43475</v>
      </c>
      <c r="B2880">
        <v>120478</v>
      </c>
      <c r="C2880" t="s">
        <v>244</v>
      </c>
      <c r="D2880" t="s">
        <v>2735</v>
      </c>
      <c r="E2880" s="2">
        <v>34.44</v>
      </c>
    </row>
    <row r="2881" spans="1:5" x14ac:dyDescent="0.25">
      <c r="A2881" s="1">
        <v>43475</v>
      </c>
      <c r="B2881">
        <v>120479</v>
      </c>
      <c r="C2881" t="s">
        <v>7</v>
      </c>
      <c r="D2881" t="s">
        <v>2736</v>
      </c>
      <c r="E2881" s="2">
        <v>90</v>
      </c>
    </row>
    <row r="2882" spans="1:5" x14ac:dyDescent="0.25">
      <c r="A2882" s="1">
        <v>43475</v>
      </c>
      <c r="B2882">
        <v>120480</v>
      </c>
      <c r="C2882" t="s">
        <v>597</v>
      </c>
      <c r="D2882" t="s">
        <v>1798</v>
      </c>
      <c r="E2882" s="2">
        <v>0</v>
      </c>
    </row>
    <row r="2883" spans="1:5" x14ac:dyDescent="0.25">
      <c r="A2883" s="1">
        <v>43475</v>
      </c>
      <c r="B2883">
        <v>120485</v>
      </c>
      <c r="C2883" t="s">
        <v>2737</v>
      </c>
      <c r="D2883" t="s">
        <v>2738</v>
      </c>
      <c r="E2883" s="2">
        <v>12448.62</v>
      </c>
    </row>
    <row r="2884" spans="1:5" x14ac:dyDescent="0.25">
      <c r="A2884" s="1">
        <v>43475</v>
      </c>
      <c r="B2884">
        <v>120485</v>
      </c>
      <c r="C2884" t="s">
        <v>2737</v>
      </c>
      <c r="D2884" t="s">
        <v>2739</v>
      </c>
      <c r="E2884" s="2">
        <v>338496.5</v>
      </c>
    </row>
    <row r="2885" spans="1:5" x14ac:dyDescent="0.25">
      <c r="A2885" s="1">
        <v>43475</v>
      </c>
      <c r="B2885">
        <v>120486</v>
      </c>
      <c r="C2885" t="s">
        <v>1173</v>
      </c>
      <c r="D2885" t="s">
        <v>2732</v>
      </c>
      <c r="E2885" s="2">
        <v>250</v>
      </c>
    </row>
    <row r="2886" spans="1:5" x14ac:dyDescent="0.25">
      <c r="A2886" s="1">
        <v>43475</v>
      </c>
      <c r="B2886">
        <v>120487</v>
      </c>
      <c r="C2886" t="s">
        <v>1655</v>
      </c>
      <c r="D2886" t="s">
        <v>2740</v>
      </c>
      <c r="E2886" s="2">
        <v>1691</v>
      </c>
    </row>
    <row r="2887" spans="1:5" x14ac:dyDescent="0.25">
      <c r="A2887" s="1">
        <v>43475</v>
      </c>
      <c r="B2887">
        <v>120488</v>
      </c>
      <c r="C2887" t="s">
        <v>2741</v>
      </c>
      <c r="D2887" t="s">
        <v>2742</v>
      </c>
      <c r="E2887" s="2">
        <v>8150</v>
      </c>
    </row>
    <row r="2888" spans="1:5" x14ac:dyDescent="0.25">
      <c r="A2888" s="1">
        <v>43475</v>
      </c>
      <c r="B2888">
        <v>120489</v>
      </c>
      <c r="C2888" t="s">
        <v>852</v>
      </c>
      <c r="D2888" t="s">
        <v>2743</v>
      </c>
      <c r="E2888" s="2">
        <v>500</v>
      </c>
    </row>
    <row r="2889" spans="1:5" x14ac:dyDescent="0.25">
      <c r="A2889" s="1">
        <v>43475</v>
      </c>
      <c r="B2889">
        <v>120490</v>
      </c>
      <c r="C2889" t="s">
        <v>361</v>
      </c>
      <c r="D2889" t="s">
        <v>2744</v>
      </c>
      <c r="E2889" s="2">
        <v>113.05</v>
      </c>
    </row>
    <row r="2890" spans="1:5" x14ac:dyDescent="0.25">
      <c r="A2890" s="1">
        <v>43475</v>
      </c>
      <c r="B2890">
        <v>120491</v>
      </c>
      <c r="C2890" t="s">
        <v>692</v>
      </c>
      <c r="D2890" t="s">
        <v>2745</v>
      </c>
      <c r="E2890" s="2">
        <f>396.89+137.97-25+69.98</f>
        <v>579.84</v>
      </c>
    </row>
    <row r="2891" spans="1:5" x14ac:dyDescent="0.25">
      <c r="A2891" s="1">
        <v>43475</v>
      </c>
      <c r="B2891">
        <v>120494</v>
      </c>
      <c r="C2891" t="s">
        <v>123</v>
      </c>
      <c r="D2891" t="s">
        <v>1665</v>
      </c>
      <c r="E2891" s="2">
        <f>189.55+208.59+47.19+47.06+588.02+77.21+23.53+149.54+47.1</f>
        <v>1377.7899999999997</v>
      </c>
    </row>
    <row r="2892" spans="1:5" x14ac:dyDescent="0.25">
      <c r="A2892" s="1">
        <v>43475</v>
      </c>
      <c r="B2892">
        <v>120494</v>
      </c>
      <c r="C2892" t="s">
        <v>123</v>
      </c>
      <c r="D2892" t="s">
        <v>2746</v>
      </c>
      <c r="E2892" s="2">
        <v>128413.27</v>
      </c>
    </row>
    <row r="2893" spans="1:5" x14ac:dyDescent="0.25">
      <c r="A2893" s="1">
        <v>43475</v>
      </c>
      <c r="B2893">
        <v>120495</v>
      </c>
      <c r="C2893" t="s">
        <v>259</v>
      </c>
      <c r="D2893" t="s">
        <v>2747</v>
      </c>
      <c r="E2893" s="2">
        <f>1368.36+1205.24+928.23-71.8-190.8-455.9</f>
        <v>2783.3299999999995</v>
      </c>
    </row>
    <row r="2894" spans="1:5" x14ac:dyDescent="0.25">
      <c r="A2894" s="1">
        <v>43475</v>
      </c>
      <c r="B2894">
        <v>120502</v>
      </c>
      <c r="C2894" t="s">
        <v>125</v>
      </c>
      <c r="D2894" t="s">
        <v>2748</v>
      </c>
      <c r="E2894" s="2">
        <f>299.88+630.8</f>
        <v>930.68</v>
      </c>
    </row>
    <row r="2895" spans="1:5" x14ac:dyDescent="0.25">
      <c r="A2895" s="1">
        <v>43475</v>
      </c>
      <c r="B2895">
        <v>120502</v>
      </c>
      <c r="C2895" t="s">
        <v>125</v>
      </c>
      <c r="D2895" t="s">
        <v>2749</v>
      </c>
      <c r="E2895" s="2">
        <f>435.21+942.1</f>
        <v>1377.31</v>
      </c>
    </row>
    <row r="2896" spans="1:5" x14ac:dyDescent="0.25">
      <c r="A2896" s="1">
        <v>43475</v>
      </c>
      <c r="B2896">
        <v>120502</v>
      </c>
      <c r="C2896" t="s">
        <v>125</v>
      </c>
      <c r="D2896" t="s">
        <v>2750</v>
      </c>
      <c r="E2896" s="2">
        <v>27.76</v>
      </c>
    </row>
    <row r="2897" spans="1:5" x14ac:dyDescent="0.25">
      <c r="A2897" s="1">
        <v>43475</v>
      </c>
      <c r="B2897">
        <v>120502</v>
      </c>
      <c r="C2897" t="s">
        <v>125</v>
      </c>
      <c r="D2897" t="s">
        <v>2751</v>
      </c>
      <c r="E2897" s="2">
        <v>74.84</v>
      </c>
    </row>
    <row r="2898" spans="1:5" x14ac:dyDescent="0.25">
      <c r="A2898" s="1">
        <v>43475</v>
      </c>
      <c r="B2898">
        <v>120502</v>
      </c>
      <c r="C2898" t="s">
        <v>125</v>
      </c>
      <c r="D2898" t="s">
        <v>2752</v>
      </c>
      <c r="E2898" s="2">
        <v>728.55</v>
      </c>
    </row>
    <row r="2899" spans="1:5" x14ac:dyDescent="0.25">
      <c r="A2899" s="1">
        <v>43475</v>
      </c>
      <c r="B2899">
        <v>120502</v>
      </c>
      <c r="C2899" t="s">
        <v>125</v>
      </c>
      <c r="D2899" t="s">
        <v>2753</v>
      </c>
      <c r="E2899" s="2">
        <v>403.94</v>
      </c>
    </row>
    <row r="2900" spans="1:5" x14ac:dyDescent="0.25">
      <c r="A2900" s="1">
        <v>43475</v>
      </c>
      <c r="B2900">
        <v>120502</v>
      </c>
      <c r="C2900" t="s">
        <v>125</v>
      </c>
      <c r="D2900" t="s">
        <v>2754</v>
      </c>
      <c r="E2900" s="2">
        <v>231.84</v>
      </c>
    </row>
    <row r="2901" spans="1:5" x14ac:dyDescent="0.25">
      <c r="A2901" s="1">
        <v>43475</v>
      </c>
      <c r="B2901">
        <v>120502</v>
      </c>
      <c r="C2901" t="s">
        <v>125</v>
      </c>
      <c r="D2901" t="s">
        <v>2755</v>
      </c>
      <c r="E2901" s="2">
        <v>160</v>
      </c>
    </row>
    <row r="2902" spans="1:5" x14ac:dyDescent="0.25">
      <c r="A2902" s="1">
        <v>43475</v>
      </c>
      <c r="B2902">
        <v>120502</v>
      </c>
      <c r="C2902" t="s">
        <v>125</v>
      </c>
      <c r="D2902" t="s">
        <v>2756</v>
      </c>
      <c r="E2902" s="2">
        <f>96.46+34.11+83.94</f>
        <v>214.51</v>
      </c>
    </row>
    <row r="2903" spans="1:5" x14ac:dyDescent="0.25">
      <c r="A2903" s="1">
        <v>43475</v>
      </c>
      <c r="B2903">
        <v>120502</v>
      </c>
      <c r="C2903" t="s">
        <v>125</v>
      </c>
      <c r="D2903" t="s">
        <v>2757</v>
      </c>
      <c r="E2903" s="2">
        <v>452.48</v>
      </c>
    </row>
    <row r="2904" spans="1:5" x14ac:dyDescent="0.25">
      <c r="A2904" s="1">
        <v>43475</v>
      </c>
      <c r="B2904">
        <v>120502</v>
      </c>
      <c r="C2904" t="s">
        <v>125</v>
      </c>
      <c r="D2904" t="s">
        <v>2758</v>
      </c>
      <c r="E2904" s="2">
        <v>159.88</v>
      </c>
    </row>
    <row r="2905" spans="1:5" x14ac:dyDescent="0.25">
      <c r="A2905" s="1">
        <v>43475</v>
      </c>
      <c r="B2905">
        <v>120502</v>
      </c>
      <c r="C2905" t="s">
        <v>125</v>
      </c>
      <c r="D2905" t="s">
        <v>2759</v>
      </c>
      <c r="E2905" s="2">
        <f>97.56+21.57</f>
        <v>119.13</v>
      </c>
    </row>
    <row r="2906" spans="1:5" x14ac:dyDescent="0.25">
      <c r="A2906" s="1">
        <v>43475</v>
      </c>
      <c r="B2906">
        <v>120502</v>
      </c>
      <c r="C2906" t="s">
        <v>125</v>
      </c>
      <c r="D2906" t="s">
        <v>2760</v>
      </c>
      <c r="E2906" s="2">
        <v>89.92</v>
      </c>
    </row>
    <row r="2907" spans="1:5" x14ac:dyDescent="0.25">
      <c r="A2907" s="1">
        <v>43475</v>
      </c>
      <c r="B2907">
        <v>120502</v>
      </c>
      <c r="C2907" t="s">
        <v>125</v>
      </c>
      <c r="D2907" t="s">
        <v>2761</v>
      </c>
      <c r="E2907" s="2">
        <v>349.99</v>
      </c>
    </row>
    <row r="2908" spans="1:5" x14ac:dyDescent="0.25">
      <c r="A2908" s="1">
        <v>43475</v>
      </c>
      <c r="B2908">
        <v>120502</v>
      </c>
      <c r="C2908" t="s">
        <v>125</v>
      </c>
      <c r="D2908" t="s">
        <v>2762</v>
      </c>
      <c r="E2908" s="2">
        <v>675.71</v>
      </c>
    </row>
    <row r="2909" spans="1:5" x14ac:dyDescent="0.25">
      <c r="A2909" s="1">
        <v>43475</v>
      </c>
      <c r="B2909">
        <v>120502</v>
      </c>
      <c r="C2909" t="s">
        <v>125</v>
      </c>
      <c r="D2909" t="s">
        <v>464</v>
      </c>
      <c r="E2909" s="2">
        <v>231.84</v>
      </c>
    </row>
    <row r="2910" spans="1:5" x14ac:dyDescent="0.25">
      <c r="A2910" s="1">
        <v>43475</v>
      </c>
      <c r="B2910">
        <v>120503</v>
      </c>
      <c r="C2910" t="s">
        <v>265</v>
      </c>
      <c r="D2910" t="s">
        <v>2763</v>
      </c>
      <c r="E2910" s="2">
        <v>379.94</v>
      </c>
    </row>
    <row r="2911" spans="1:5" x14ac:dyDescent="0.25">
      <c r="A2911" s="1">
        <v>43475</v>
      </c>
      <c r="B2911">
        <v>120504</v>
      </c>
      <c r="C2911" t="s">
        <v>269</v>
      </c>
      <c r="D2911" t="s">
        <v>367</v>
      </c>
      <c r="E2911" s="2">
        <v>11.15</v>
      </c>
    </row>
    <row r="2912" spans="1:5" x14ac:dyDescent="0.25">
      <c r="A2912" s="1">
        <v>43475</v>
      </c>
      <c r="B2912">
        <v>120504</v>
      </c>
      <c r="C2912" t="s">
        <v>269</v>
      </c>
      <c r="D2912" t="s">
        <v>367</v>
      </c>
      <c r="E2912" s="2">
        <v>71.91</v>
      </c>
    </row>
    <row r="2913" spans="1:5" x14ac:dyDescent="0.25">
      <c r="A2913" s="1">
        <v>43475</v>
      </c>
      <c r="B2913">
        <v>120505</v>
      </c>
      <c r="C2913" t="s">
        <v>44</v>
      </c>
      <c r="D2913" t="s">
        <v>2764</v>
      </c>
      <c r="E2913" s="2">
        <v>284.83999999999997</v>
      </c>
    </row>
    <row r="2914" spans="1:5" x14ac:dyDescent="0.25">
      <c r="A2914" s="1">
        <v>43475</v>
      </c>
      <c r="B2914">
        <v>120506</v>
      </c>
      <c r="C2914" t="s">
        <v>274</v>
      </c>
      <c r="D2914" t="s">
        <v>2765</v>
      </c>
      <c r="E2914" s="2">
        <v>554.82000000000005</v>
      </c>
    </row>
    <row r="2915" spans="1:5" x14ac:dyDescent="0.25">
      <c r="A2915" s="1">
        <v>43475</v>
      </c>
      <c r="B2915">
        <v>120507</v>
      </c>
      <c r="C2915" t="s">
        <v>2766</v>
      </c>
      <c r="D2915" t="s">
        <v>2767</v>
      </c>
      <c r="E2915" s="2">
        <v>350</v>
      </c>
    </row>
    <row r="2916" spans="1:5" x14ac:dyDescent="0.25">
      <c r="A2916" s="1">
        <v>43475</v>
      </c>
      <c r="B2916">
        <v>120508</v>
      </c>
      <c r="C2916" t="s">
        <v>712</v>
      </c>
      <c r="D2916" t="s">
        <v>2768</v>
      </c>
      <c r="E2916" s="2">
        <v>87.97</v>
      </c>
    </row>
    <row r="2917" spans="1:5" x14ac:dyDescent="0.25">
      <c r="A2917" s="1">
        <v>43475</v>
      </c>
      <c r="B2917">
        <v>120509</v>
      </c>
      <c r="C2917" t="s">
        <v>2769</v>
      </c>
      <c r="D2917" t="s">
        <v>2770</v>
      </c>
      <c r="E2917" s="2">
        <v>75</v>
      </c>
    </row>
    <row r="2918" spans="1:5" x14ac:dyDescent="0.25">
      <c r="A2918" s="1">
        <v>43475</v>
      </c>
      <c r="B2918">
        <v>120510</v>
      </c>
      <c r="C2918" t="s">
        <v>868</v>
      </c>
      <c r="D2918" t="s">
        <v>2743</v>
      </c>
      <c r="E2918" s="2">
        <v>500</v>
      </c>
    </row>
    <row r="2919" spans="1:5" x14ac:dyDescent="0.25">
      <c r="A2919" s="1">
        <v>43475</v>
      </c>
      <c r="B2919">
        <v>120511</v>
      </c>
      <c r="C2919" t="s">
        <v>869</v>
      </c>
      <c r="D2919" t="s">
        <v>2771</v>
      </c>
      <c r="E2919" s="2">
        <v>565.25</v>
      </c>
    </row>
    <row r="2920" spans="1:5" x14ac:dyDescent="0.25">
      <c r="A2920" s="1">
        <v>43475</v>
      </c>
      <c r="B2920">
        <v>120512</v>
      </c>
      <c r="C2920" t="s">
        <v>48</v>
      </c>
      <c r="D2920" t="s">
        <v>2772</v>
      </c>
      <c r="E2920" s="2">
        <f>6989.85-3644.7</f>
        <v>3345.1500000000005</v>
      </c>
    </row>
    <row r="2921" spans="1:5" x14ac:dyDescent="0.25">
      <c r="A2921" s="1">
        <v>43475</v>
      </c>
      <c r="B2921">
        <v>120513</v>
      </c>
      <c r="C2921" t="s">
        <v>74</v>
      </c>
      <c r="D2921" t="s">
        <v>764</v>
      </c>
      <c r="E2921" s="3">
        <v>-38.97</v>
      </c>
    </row>
    <row r="2922" spans="1:5" x14ac:dyDescent="0.25">
      <c r="A2922" s="1">
        <v>43475</v>
      </c>
      <c r="B2922">
        <v>120513</v>
      </c>
      <c r="C2922" t="s">
        <v>74</v>
      </c>
      <c r="D2922" t="s">
        <v>2773</v>
      </c>
      <c r="E2922" s="2">
        <v>568</v>
      </c>
    </row>
    <row r="2923" spans="1:5" x14ac:dyDescent="0.25">
      <c r="A2923" s="1">
        <v>43475</v>
      </c>
      <c r="B2923">
        <v>120513</v>
      </c>
      <c r="C2923" t="s">
        <v>74</v>
      </c>
      <c r="D2923" t="s">
        <v>721</v>
      </c>
      <c r="E2923" s="2">
        <v>52.48</v>
      </c>
    </row>
    <row r="2924" spans="1:5" x14ac:dyDescent="0.25">
      <c r="A2924" s="1">
        <v>43475</v>
      </c>
      <c r="B2924">
        <v>120514</v>
      </c>
      <c r="C2924" t="s">
        <v>621</v>
      </c>
      <c r="D2924" t="s">
        <v>2774</v>
      </c>
      <c r="E2924" s="2">
        <v>4507</v>
      </c>
    </row>
    <row r="2925" spans="1:5" x14ac:dyDescent="0.25">
      <c r="A2925" s="1">
        <v>43475</v>
      </c>
      <c r="B2925">
        <v>120515</v>
      </c>
      <c r="C2925" t="s">
        <v>146</v>
      </c>
      <c r="D2925" t="s">
        <v>2775</v>
      </c>
      <c r="E2925" s="2">
        <v>3.01</v>
      </c>
    </row>
    <row r="2926" spans="1:5" x14ac:dyDescent="0.25">
      <c r="A2926" s="1">
        <v>43475</v>
      </c>
      <c r="B2926">
        <v>120515</v>
      </c>
      <c r="C2926" t="s">
        <v>146</v>
      </c>
      <c r="D2926" t="s">
        <v>2776</v>
      </c>
      <c r="E2926" s="2">
        <v>423.93</v>
      </c>
    </row>
    <row r="2927" spans="1:5" x14ac:dyDescent="0.25">
      <c r="A2927" s="1">
        <v>43475</v>
      </c>
      <c r="B2927">
        <v>120516</v>
      </c>
      <c r="C2927" t="s">
        <v>1022</v>
      </c>
      <c r="D2927" t="s">
        <v>2777</v>
      </c>
      <c r="E2927" s="2">
        <v>1313.75</v>
      </c>
    </row>
    <row r="2928" spans="1:5" x14ac:dyDescent="0.25">
      <c r="A2928" s="1">
        <v>43475</v>
      </c>
      <c r="B2928">
        <v>120517</v>
      </c>
      <c r="C2928" t="s">
        <v>336</v>
      </c>
      <c r="D2928" t="s">
        <v>2778</v>
      </c>
      <c r="E2928" s="2">
        <v>90</v>
      </c>
    </row>
    <row r="2929" spans="1:5" x14ac:dyDescent="0.25">
      <c r="A2929" s="1">
        <v>43475</v>
      </c>
      <c r="B2929">
        <v>120517</v>
      </c>
      <c r="C2929" t="s">
        <v>336</v>
      </c>
      <c r="D2929" t="s">
        <v>2779</v>
      </c>
      <c r="E2929" s="2">
        <v>73</v>
      </c>
    </row>
    <row r="2930" spans="1:5" x14ac:dyDescent="0.25">
      <c r="A2930" s="1">
        <v>43475</v>
      </c>
      <c r="B2930">
        <v>120518</v>
      </c>
      <c r="C2930" t="s">
        <v>75</v>
      </c>
      <c r="D2930" t="s">
        <v>2780</v>
      </c>
      <c r="E2930" s="2">
        <v>4.76</v>
      </c>
    </row>
    <row r="2931" spans="1:5" x14ac:dyDescent="0.25">
      <c r="A2931" s="1">
        <v>43475</v>
      </c>
      <c r="B2931">
        <v>120518</v>
      </c>
      <c r="C2931" t="s">
        <v>75</v>
      </c>
      <c r="D2931" t="s">
        <v>2781</v>
      </c>
      <c r="E2931" s="2">
        <v>3.57</v>
      </c>
    </row>
    <row r="2932" spans="1:5" x14ac:dyDescent="0.25">
      <c r="A2932" s="1">
        <v>43475</v>
      </c>
      <c r="B2932">
        <v>120518</v>
      </c>
      <c r="C2932" t="s">
        <v>75</v>
      </c>
      <c r="D2932" t="s">
        <v>2782</v>
      </c>
      <c r="E2932" s="2">
        <v>42.31</v>
      </c>
    </row>
    <row r="2933" spans="1:5" x14ac:dyDescent="0.25">
      <c r="A2933" s="1">
        <v>43475</v>
      </c>
      <c r="B2933">
        <v>120519</v>
      </c>
      <c r="C2933" t="s">
        <v>875</v>
      </c>
      <c r="D2933" t="s">
        <v>2783</v>
      </c>
      <c r="E2933" s="2">
        <v>250</v>
      </c>
    </row>
    <row r="2934" spans="1:5" x14ac:dyDescent="0.25">
      <c r="A2934" s="1">
        <v>43475</v>
      </c>
      <c r="B2934">
        <v>120520</v>
      </c>
      <c r="C2934" t="s">
        <v>12</v>
      </c>
      <c r="D2934" t="s">
        <v>2784</v>
      </c>
      <c r="E2934" s="2">
        <v>197.42</v>
      </c>
    </row>
    <row r="2935" spans="1:5" x14ac:dyDescent="0.25">
      <c r="A2935" s="1">
        <v>43475</v>
      </c>
      <c r="B2935">
        <v>120521</v>
      </c>
      <c r="C2935" t="s">
        <v>296</v>
      </c>
      <c r="D2935" t="s">
        <v>2785</v>
      </c>
      <c r="E2935" s="2">
        <v>123.95</v>
      </c>
    </row>
    <row r="2936" spans="1:5" x14ac:dyDescent="0.25">
      <c r="A2936" s="1">
        <v>43475</v>
      </c>
      <c r="B2936">
        <v>120522</v>
      </c>
      <c r="C2936" t="s">
        <v>50</v>
      </c>
      <c r="D2936" t="s">
        <v>2047</v>
      </c>
      <c r="E2936" s="2">
        <v>8577.5</v>
      </c>
    </row>
    <row r="2937" spans="1:5" x14ac:dyDescent="0.25">
      <c r="A2937" s="1">
        <v>43475</v>
      </c>
      <c r="B2937">
        <v>120523</v>
      </c>
      <c r="C2937" t="s">
        <v>51</v>
      </c>
      <c r="D2937" t="s">
        <v>52</v>
      </c>
      <c r="E2937" s="2">
        <v>43.42</v>
      </c>
    </row>
    <row r="2938" spans="1:5" x14ac:dyDescent="0.25">
      <c r="A2938" s="1">
        <v>43475</v>
      </c>
      <c r="B2938">
        <v>120523</v>
      </c>
      <c r="C2938" t="s">
        <v>51</v>
      </c>
      <c r="D2938" t="s">
        <v>2786</v>
      </c>
      <c r="E2938" s="2">
        <v>227.09</v>
      </c>
    </row>
    <row r="2939" spans="1:5" x14ac:dyDescent="0.25">
      <c r="A2939" s="1">
        <v>43475</v>
      </c>
      <c r="B2939">
        <v>120524</v>
      </c>
      <c r="C2939" t="s">
        <v>2787</v>
      </c>
      <c r="D2939" t="s">
        <v>2788</v>
      </c>
      <c r="E2939" s="2">
        <v>180</v>
      </c>
    </row>
    <row r="2940" spans="1:5" x14ac:dyDescent="0.25">
      <c r="A2940" s="1">
        <v>43475</v>
      </c>
      <c r="B2940">
        <v>120525</v>
      </c>
      <c r="C2940" t="s">
        <v>302</v>
      </c>
      <c r="D2940" t="s">
        <v>2789</v>
      </c>
      <c r="E2940" s="2">
        <v>58.6</v>
      </c>
    </row>
    <row r="2941" spans="1:5" x14ac:dyDescent="0.25">
      <c r="A2941" s="1">
        <v>43475</v>
      </c>
      <c r="B2941">
        <v>120527</v>
      </c>
      <c r="C2941" t="s">
        <v>631</v>
      </c>
      <c r="D2941" t="s">
        <v>2790</v>
      </c>
      <c r="E2941" s="2">
        <v>325.38</v>
      </c>
    </row>
    <row r="2942" spans="1:5" x14ac:dyDescent="0.25">
      <c r="A2942" s="1">
        <v>43475</v>
      </c>
      <c r="B2942">
        <v>120527</v>
      </c>
      <c r="C2942" t="s">
        <v>631</v>
      </c>
      <c r="D2942" t="s">
        <v>2791</v>
      </c>
      <c r="E2942" s="2">
        <v>199.65</v>
      </c>
    </row>
    <row r="2943" spans="1:5" x14ac:dyDescent="0.25">
      <c r="A2943" s="1">
        <v>43475</v>
      </c>
      <c r="B2943">
        <v>120527</v>
      </c>
      <c r="C2943" t="s">
        <v>631</v>
      </c>
      <c r="D2943" t="s">
        <v>2792</v>
      </c>
      <c r="E2943" s="2">
        <v>279.64999999999998</v>
      </c>
    </row>
    <row r="2944" spans="1:5" x14ac:dyDescent="0.25">
      <c r="A2944" s="1">
        <v>43475</v>
      </c>
      <c r="B2944">
        <v>120527</v>
      </c>
      <c r="C2944" t="s">
        <v>631</v>
      </c>
      <c r="D2944" t="s">
        <v>2793</v>
      </c>
      <c r="E2944" s="2">
        <v>240.55</v>
      </c>
    </row>
    <row r="2945" spans="1:5" x14ac:dyDescent="0.25">
      <c r="A2945" s="1">
        <v>43475</v>
      </c>
      <c r="B2945">
        <v>120527</v>
      </c>
      <c r="C2945" t="s">
        <v>631</v>
      </c>
      <c r="D2945" t="s">
        <v>2794</v>
      </c>
      <c r="E2945" s="2">
        <v>650.02</v>
      </c>
    </row>
    <row r="2946" spans="1:5" x14ac:dyDescent="0.25">
      <c r="A2946" s="1">
        <v>43475</v>
      </c>
      <c r="B2946">
        <v>120527</v>
      </c>
      <c r="C2946" t="s">
        <v>631</v>
      </c>
      <c r="D2946" t="s">
        <v>2794</v>
      </c>
      <c r="E2946" s="2">
        <v>46.52</v>
      </c>
    </row>
    <row r="2947" spans="1:5" x14ac:dyDescent="0.25">
      <c r="A2947" s="1">
        <v>43475</v>
      </c>
      <c r="B2947">
        <v>120527</v>
      </c>
      <c r="C2947" t="s">
        <v>631</v>
      </c>
      <c r="D2947" t="s">
        <v>1311</v>
      </c>
      <c r="E2947" s="2">
        <v>432.71</v>
      </c>
    </row>
    <row r="2948" spans="1:5" x14ac:dyDescent="0.25">
      <c r="A2948" s="1">
        <v>43475</v>
      </c>
      <c r="B2948">
        <v>120527</v>
      </c>
      <c r="C2948" t="s">
        <v>631</v>
      </c>
      <c r="D2948" t="s">
        <v>764</v>
      </c>
      <c r="E2948" s="3">
        <v>-30</v>
      </c>
    </row>
    <row r="2949" spans="1:5" x14ac:dyDescent="0.25">
      <c r="A2949" s="1">
        <v>43475</v>
      </c>
      <c r="B2949">
        <v>120528</v>
      </c>
      <c r="C2949" t="s">
        <v>757</v>
      </c>
      <c r="D2949" t="s">
        <v>2795</v>
      </c>
      <c r="E2949" s="2">
        <v>5625</v>
      </c>
    </row>
    <row r="2950" spans="1:5" x14ac:dyDescent="0.25">
      <c r="A2950" s="1">
        <v>43475</v>
      </c>
      <c r="B2950">
        <v>120529</v>
      </c>
      <c r="C2950" t="s">
        <v>2591</v>
      </c>
      <c r="D2950" t="s">
        <v>2796</v>
      </c>
      <c r="E2950" s="2">
        <f>747.5+552.5+650</f>
        <v>1950</v>
      </c>
    </row>
    <row r="2951" spans="1:5" x14ac:dyDescent="0.25">
      <c r="A2951" s="1">
        <v>43475</v>
      </c>
      <c r="B2951">
        <v>120530</v>
      </c>
      <c r="C2951" t="s">
        <v>158</v>
      </c>
      <c r="D2951" t="s">
        <v>2797</v>
      </c>
      <c r="E2951" s="2">
        <v>2507</v>
      </c>
    </row>
    <row r="2952" spans="1:5" x14ac:dyDescent="0.25">
      <c r="A2952" s="1">
        <v>43475</v>
      </c>
      <c r="B2952">
        <v>120531</v>
      </c>
      <c r="C2952" t="s">
        <v>2798</v>
      </c>
      <c r="D2952" t="s">
        <v>2799</v>
      </c>
      <c r="E2952" s="2">
        <v>28721.75</v>
      </c>
    </row>
    <row r="2953" spans="1:5" x14ac:dyDescent="0.25">
      <c r="A2953" s="1">
        <v>43475</v>
      </c>
      <c r="B2953">
        <v>120532</v>
      </c>
      <c r="C2953" t="s">
        <v>309</v>
      </c>
      <c r="D2953" t="s">
        <v>2800</v>
      </c>
      <c r="E2953" s="2">
        <v>9393.98</v>
      </c>
    </row>
    <row r="2954" spans="1:5" x14ac:dyDescent="0.25">
      <c r="A2954" s="1">
        <v>43475</v>
      </c>
      <c r="B2954">
        <v>120532</v>
      </c>
      <c r="C2954" t="s">
        <v>309</v>
      </c>
      <c r="D2954" t="s">
        <v>2801</v>
      </c>
      <c r="E2954" s="2">
        <v>592.5</v>
      </c>
    </row>
    <row r="2955" spans="1:5" x14ac:dyDescent="0.25">
      <c r="A2955" s="1">
        <v>43475</v>
      </c>
      <c r="B2955">
        <v>120532</v>
      </c>
      <c r="C2955" t="s">
        <v>309</v>
      </c>
      <c r="D2955" t="s">
        <v>2802</v>
      </c>
      <c r="E2955" s="2">
        <v>622.26</v>
      </c>
    </row>
    <row r="2956" spans="1:5" x14ac:dyDescent="0.25">
      <c r="A2956" s="1">
        <v>43475</v>
      </c>
      <c r="B2956">
        <v>120533</v>
      </c>
      <c r="C2956" t="s">
        <v>2803</v>
      </c>
      <c r="D2956" t="s">
        <v>2804</v>
      </c>
      <c r="E2956" s="2">
        <v>1610</v>
      </c>
    </row>
    <row r="2957" spans="1:5" x14ac:dyDescent="0.25">
      <c r="A2957" s="1">
        <v>43475</v>
      </c>
      <c r="B2957">
        <v>120534</v>
      </c>
      <c r="C2957" t="s">
        <v>57</v>
      </c>
      <c r="D2957" t="s">
        <v>2805</v>
      </c>
      <c r="E2957" s="2">
        <v>39573.03</v>
      </c>
    </row>
    <row r="2958" spans="1:5" x14ac:dyDescent="0.25">
      <c r="A2958" s="1">
        <v>43475</v>
      </c>
      <c r="B2958">
        <v>120535</v>
      </c>
      <c r="C2958" t="s">
        <v>164</v>
      </c>
      <c r="D2958" t="s">
        <v>2806</v>
      </c>
      <c r="E2958" s="2">
        <v>89.12</v>
      </c>
    </row>
    <row r="2959" spans="1:5" x14ac:dyDescent="0.25">
      <c r="A2959" s="1">
        <v>43475</v>
      </c>
      <c r="B2959">
        <v>120536</v>
      </c>
      <c r="C2959" t="s">
        <v>323</v>
      </c>
      <c r="D2959" t="s">
        <v>2807</v>
      </c>
      <c r="E2959" s="2">
        <v>336</v>
      </c>
    </row>
    <row r="2960" spans="1:5" x14ac:dyDescent="0.25">
      <c r="A2960" s="1">
        <v>43475</v>
      </c>
      <c r="B2960">
        <v>120537</v>
      </c>
      <c r="C2960" t="s">
        <v>1051</v>
      </c>
      <c r="D2960" t="s">
        <v>2808</v>
      </c>
      <c r="E2960" s="2">
        <v>70</v>
      </c>
    </row>
    <row r="2961" spans="1:5" x14ac:dyDescent="0.25">
      <c r="A2961" s="1">
        <v>43475</v>
      </c>
      <c r="B2961">
        <v>120538</v>
      </c>
      <c r="C2961" t="s">
        <v>1270</v>
      </c>
      <c r="D2961" t="s">
        <v>234</v>
      </c>
      <c r="E2961" s="2">
        <f>239.92+1284.92+65</f>
        <v>1589.8400000000001</v>
      </c>
    </row>
    <row r="2962" spans="1:5" x14ac:dyDescent="0.25">
      <c r="A2962" s="1">
        <v>43475</v>
      </c>
      <c r="B2962">
        <v>120539</v>
      </c>
      <c r="C2962" t="s">
        <v>2809</v>
      </c>
      <c r="D2962" t="s">
        <v>2730</v>
      </c>
      <c r="E2962" s="2">
        <v>300</v>
      </c>
    </row>
    <row r="2963" spans="1:5" x14ac:dyDescent="0.25">
      <c r="A2963" s="1">
        <v>43475</v>
      </c>
      <c r="B2963">
        <v>120540</v>
      </c>
      <c r="C2963" t="s">
        <v>2810</v>
      </c>
      <c r="D2963" t="s">
        <v>2811</v>
      </c>
      <c r="E2963" s="2">
        <v>1050</v>
      </c>
    </row>
    <row r="2964" spans="1:5" x14ac:dyDescent="0.25">
      <c r="A2964" s="1">
        <v>43475</v>
      </c>
      <c r="B2964">
        <v>120541</v>
      </c>
      <c r="C2964" t="s">
        <v>2495</v>
      </c>
      <c r="D2964" t="s">
        <v>2812</v>
      </c>
      <c r="E2964" s="2">
        <v>460</v>
      </c>
    </row>
    <row r="2965" spans="1:5" x14ac:dyDescent="0.25">
      <c r="A2965" s="1">
        <v>43475</v>
      </c>
      <c r="B2965">
        <v>120542</v>
      </c>
      <c r="C2965" t="s">
        <v>1273</v>
      </c>
      <c r="D2965" t="s">
        <v>2813</v>
      </c>
      <c r="E2965" s="2">
        <v>1598.26</v>
      </c>
    </row>
    <row r="2966" spans="1:5" x14ac:dyDescent="0.25">
      <c r="A2966" s="1">
        <v>43475</v>
      </c>
      <c r="B2966">
        <v>120543</v>
      </c>
      <c r="C2966" t="s">
        <v>59</v>
      </c>
      <c r="D2966" t="s">
        <v>2814</v>
      </c>
      <c r="E2966" s="2">
        <v>96</v>
      </c>
    </row>
    <row r="2967" spans="1:5" x14ac:dyDescent="0.25">
      <c r="A2967" s="1">
        <v>43475</v>
      </c>
      <c r="B2967">
        <v>120544</v>
      </c>
      <c r="C2967" t="s">
        <v>179</v>
      </c>
      <c r="D2967" t="s">
        <v>2815</v>
      </c>
      <c r="E2967" s="2">
        <v>62.34</v>
      </c>
    </row>
    <row r="2968" spans="1:5" x14ac:dyDescent="0.25">
      <c r="A2968" s="1">
        <v>43475</v>
      </c>
      <c r="B2968">
        <v>120545</v>
      </c>
      <c r="C2968" t="s">
        <v>327</v>
      </c>
      <c r="D2968" t="s">
        <v>328</v>
      </c>
      <c r="E2968" s="2">
        <f>653+152</f>
        <v>805</v>
      </c>
    </row>
    <row r="2969" spans="1:5" x14ac:dyDescent="0.25">
      <c r="A2969" s="1">
        <v>43475</v>
      </c>
      <c r="B2969">
        <v>120546</v>
      </c>
      <c r="C2969" t="s">
        <v>184</v>
      </c>
      <c r="D2969" t="s">
        <v>2816</v>
      </c>
      <c r="E2969" s="2">
        <v>9920.26</v>
      </c>
    </row>
    <row r="2970" spans="1:5" x14ac:dyDescent="0.25">
      <c r="A2970" s="1">
        <v>43475</v>
      </c>
      <c r="B2970">
        <v>181900161</v>
      </c>
      <c r="C2970" t="s">
        <v>2817</v>
      </c>
      <c r="D2970" t="s">
        <v>2818</v>
      </c>
      <c r="E2970" s="2">
        <v>243.27</v>
      </c>
    </row>
    <row r="2971" spans="1:5" x14ac:dyDescent="0.25">
      <c r="A2971" s="1">
        <v>43475</v>
      </c>
      <c r="B2971">
        <v>181900163</v>
      </c>
      <c r="C2971" t="s">
        <v>398</v>
      </c>
      <c r="D2971" t="s">
        <v>2463</v>
      </c>
      <c r="E2971" s="2">
        <v>129052.8</v>
      </c>
    </row>
    <row r="2972" spans="1:5" x14ac:dyDescent="0.25">
      <c r="A2972" s="1">
        <v>43475</v>
      </c>
      <c r="B2972">
        <v>181900163</v>
      </c>
      <c r="C2972" t="s">
        <v>398</v>
      </c>
      <c r="D2972" t="s">
        <v>2819</v>
      </c>
      <c r="E2972" s="2">
        <f>578.03+474.98+1165.86+55.05</f>
        <v>2273.92</v>
      </c>
    </row>
    <row r="2973" spans="1:5" x14ac:dyDescent="0.25">
      <c r="A2973" s="1">
        <v>43475</v>
      </c>
      <c r="B2973">
        <v>181900164</v>
      </c>
      <c r="C2973" t="s">
        <v>2464</v>
      </c>
      <c r="D2973" t="s">
        <v>2820</v>
      </c>
      <c r="E2973" s="2">
        <v>51.46</v>
      </c>
    </row>
    <row r="2974" spans="1:5" x14ac:dyDescent="0.25">
      <c r="A2974" s="1">
        <v>43475</v>
      </c>
      <c r="B2974">
        <v>181900165</v>
      </c>
      <c r="C2974" t="s">
        <v>2821</v>
      </c>
      <c r="D2974" t="s">
        <v>2822</v>
      </c>
      <c r="E2974" s="2">
        <v>237.74</v>
      </c>
    </row>
    <row r="2975" spans="1:5" x14ac:dyDescent="0.25">
      <c r="A2975" s="1">
        <v>43475</v>
      </c>
      <c r="B2975">
        <v>181900166</v>
      </c>
      <c r="C2975" t="s">
        <v>2823</v>
      </c>
      <c r="D2975" t="s">
        <v>2824</v>
      </c>
      <c r="E2975" s="2">
        <v>60</v>
      </c>
    </row>
    <row r="2976" spans="1:5" x14ac:dyDescent="0.25">
      <c r="A2976" s="1">
        <v>43479</v>
      </c>
      <c r="B2976">
        <v>120547</v>
      </c>
      <c r="C2976" t="s">
        <v>1186</v>
      </c>
      <c r="D2976" t="s">
        <v>2825</v>
      </c>
      <c r="E2976" s="2">
        <v>400</v>
      </c>
    </row>
    <row r="2977" spans="1:5" x14ac:dyDescent="0.25">
      <c r="A2977" s="1">
        <v>43479</v>
      </c>
      <c r="B2977">
        <v>120548</v>
      </c>
      <c r="C2977" t="s">
        <v>2826</v>
      </c>
      <c r="D2977" t="s">
        <v>2827</v>
      </c>
      <c r="E2977" s="2">
        <f>45+65</f>
        <v>110</v>
      </c>
    </row>
    <row r="2978" spans="1:5" x14ac:dyDescent="0.25">
      <c r="A2978" s="1">
        <v>43481</v>
      </c>
      <c r="B2978">
        <v>120549</v>
      </c>
      <c r="C2978" t="s">
        <v>25</v>
      </c>
      <c r="D2978" t="s">
        <v>2828</v>
      </c>
      <c r="E2978" s="2">
        <v>400</v>
      </c>
    </row>
    <row r="2979" spans="1:5" x14ac:dyDescent="0.25">
      <c r="A2979" s="1">
        <v>43481</v>
      </c>
      <c r="B2979">
        <v>120550</v>
      </c>
      <c r="C2979" t="s">
        <v>67</v>
      </c>
      <c r="D2979" t="s">
        <v>2829</v>
      </c>
      <c r="E2979" s="2">
        <v>1974.88</v>
      </c>
    </row>
    <row r="2980" spans="1:5" x14ac:dyDescent="0.25">
      <c r="A2980" s="1">
        <v>43481</v>
      </c>
      <c r="B2980">
        <v>120550</v>
      </c>
      <c r="C2980" t="s">
        <v>67</v>
      </c>
      <c r="D2980" t="s">
        <v>2533</v>
      </c>
      <c r="E2980" s="2">
        <v>687</v>
      </c>
    </row>
    <row r="2981" spans="1:5" x14ac:dyDescent="0.25">
      <c r="A2981" s="1">
        <v>43481</v>
      </c>
      <c r="B2981">
        <v>120550</v>
      </c>
      <c r="C2981" t="s">
        <v>67</v>
      </c>
      <c r="D2981" t="s">
        <v>2830</v>
      </c>
      <c r="E2981" s="2">
        <v>506.1</v>
      </c>
    </row>
    <row r="2982" spans="1:5" x14ac:dyDescent="0.25">
      <c r="A2982" s="1">
        <v>43481</v>
      </c>
      <c r="B2982">
        <v>120550</v>
      </c>
      <c r="C2982" t="s">
        <v>67</v>
      </c>
      <c r="D2982" t="s">
        <v>2831</v>
      </c>
      <c r="E2982" s="2">
        <v>1249.5</v>
      </c>
    </row>
    <row r="2983" spans="1:5" x14ac:dyDescent="0.25">
      <c r="A2983" s="1">
        <v>43481</v>
      </c>
      <c r="B2983">
        <v>120551</v>
      </c>
      <c r="C2983" t="s">
        <v>2832</v>
      </c>
      <c r="D2983" t="s">
        <v>2833</v>
      </c>
      <c r="E2983" s="2">
        <v>60</v>
      </c>
    </row>
    <row r="2984" spans="1:5" x14ac:dyDescent="0.25">
      <c r="A2984" s="1">
        <v>43481</v>
      </c>
      <c r="B2984">
        <v>120552</v>
      </c>
      <c r="C2984" t="s">
        <v>31</v>
      </c>
      <c r="D2984" t="s">
        <v>2700</v>
      </c>
      <c r="E2984" s="2">
        <f>165+180</f>
        <v>345</v>
      </c>
    </row>
    <row r="2985" spans="1:5" x14ac:dyDescent="0.25">
      <c r="A2985" s="1">
        <v>43481</v>
      </c>
      <c r="B2985">
        <v>120553</v>
      </c>
      <c r="C2985" t="s">
        <v>2834</v>
      </c>
      <c r="D2985" t="s">
        <v>2828</v>
      </c>
      <c r="E2985" s="2">
        <v>400</v>
      </c>
    </row>
    <row r="2986" spans="1:5" x14ac:dyDescent="0.25">
      <c r="A2986" s="1">
        <v>43481</v>
      </c>
      <c r="B2986">
        <v>120554</v>
      </c>
      <c r="C2986" t="s">
        <v>352</v>
      </c>
      <c r="D2986" t="s">
        <v>2835</v>
      </c>
      <c r="E2986" s="2">
        <v>4384</v>
      </c>
    </row>
    <row r="2987" spans="1:5" x14ac:dyDescent="0.25">
      <c r="A2987" s="1">
        <v>43481</v>
      </c>
      <c r="B2987">
        <v>120555</v>
      </c>
      <c r="C2987" t="s">
        <v>1092</v>
      </c>
      <c r="D2987" t="s">
        <v>2836</v>
      </c>
      <c r="E2987" s="2">
        <v>46.5</v>
      </c>
    </row>
    <row r="2988" spans="1:5" x14ac:dyDescent="0.25">
      <c r="A2988" s="1">
        <v>43481</v>
      </c>
      <c r="B2988">
        <v>120556</v>
      </c>
      <c r="C2988" t="s">
        <v>2181</v>
      </c>
      <c r="D2988" t="s">
        <v>2828</v>
      </c>
      <c r="E2988" s="2">
        <v>400</v>
      </c>
    </row>
    <row r="2989" spans="1:5" x14ac:dyDescent="0.25">
      <c r="A2989" s="1">
        <v>43481</v>
      </c>
      <c r="B2989">
        <v>120557</v>
      </c>
      <c r="C2989" t="s">
        <v>2837</v>
      </c>
      <c r="D2989" t="s">
        <v>2838</v>
      </c>
      <c r="E2989" s="2">
        <v>762.03</v>
      </c>
    </row>
    <row r="2990" spans="1:5" x14ac:dyDescent="0.25">
      <c r="A2990" s="1">
        <v>43481</v>
      </c>
      <c r="B2990">
        <v>120558</v>
      </c>
      <c r="C2990" t="s">
        <v>365</v>
      </c>
      <c r="D2990" t="s">
        <v>2839</v>
      </c>
      <c r="E2990" s="2">
        <v>116.15</v>
      </c>
    </row>
    <row r="2991" spans="1:5" x14ac:dyDescent="0.25">
      <c r="A2991" s="1">
        <v>43481</v>
      </c>
      <c r="B2991">
        <v>120559</v>
      </c>
      <c r="C2991" t="s">
        <v>1762</v>
      </c>
      <c r="D2991" t="s">
        <v>2840</v>
      </c>
      <c r="E2991" s="2">
        <v>150</v>
      </c>
    </row>
    <row r="2992" spans="1:5" x14ac:dyDescent="0.25">
      <c r="A2992" s="1">
        <v>43481</v>
      </c>
      <c r="B2992">
        <v>120560</v>
      </c>
      <c r="C2992" t="s">
        <v>2841</v>
      </c>
      <c r="D2992" t="s">
        <v>2842</v>
      </c>
      <c r="E2992" s="2">
        <v>30</v>
      </c>
    </row>
    <row r="2993" spans="1:5" x14ac:dyDescent="0.25">
      <c r="A2993" s="1">
        <v>43481</v>
      </c>
      <c r="B2993">
        <v>120561</v>
      </c>
      <c r="C2993" t="s">
        <v>44</v>
      </c>
      <c r="D2993" t="s">
        <v>2843</v>
      </c>
      <c r="E2993" s="2">
        <v>425.25</v>
      </c>
    </row>
    <row r="2994" spans="1:5" x14ac:dyDescent="0.25">
      <c r="A2994" s="1">
        <v>43481</v>
      </c>
      <c r="B2994">
        <v>120562</v>
      </c>
      <c r="C2994" t="s">
        <v>2844</v>
      </c>
      <c r="D2994" t="s">
        <v>2845</v>
      </c>
      <c r="E2994" s="2">
        <v>115</v>
      </c>
    </row>
    <row r="2995" spans="1:5" x14ac:dyDescent="0.25">
      <c r="A2995" s="1">
        <v>43481</v>
      </c>
      <c r="B2995">
        <v>120563</v>
      </c>
      <c r="C2995" t="s">
        <v>46</v>
      </c>
      <c r="D2995" t="s">
        <v>2828</v>
      </c>
      <c r="E2995" s="2">
        <v>650</v>
      </c>
    </row>
    <row r="2996" spans="1:5" x14ac:dyDescent="0.25">
      <c r="A2996" s="1">
        <v>43481</v>
      </c>
      <c r="B2996">
        <v>120564</v>
      </c>
      <c r="C2996" t="s">
        <v>618</v>
      </c>
      <c r="D2996" t="s">
        <v>2846</v>
      </c>
      <c r="E2996" s="2">
        <v>50</v>
      </c>
    </row>
    <row r="2997" spans="1:5" x14ac:dyDescent="0.25">
      <c r="A2997" s="1">
        <v>43481</v>
      </c>
      <c r="B2997">
        <v>120565</v>
      </c>
      <c r="C2997" t="s">
        <v>2847</v>
      </c>
      <c r="D2997" t="s">
        <v>2848</v>
      </c>
      <c r="E2997" s="2">
        <v>150</v>
      </c>
    </row>
    <row r="2998" spans="1:5" x14ac:dyDescent="0.25">
      <c r="A2998" s="1">
        <v>43481</v>
      </c>
      <c r="B2998">
        <v>120566</v>
      </c>
      <c r="C2998" t="s">
        <v>74</v>
      </c>
      <c r="D2998" t="s">
        <v>2849</v>
      </c>
      <c r="E2998" s="2">
        <v>19.47</v>
      </c>
    </row>
    <row r="2999" spans="1:5" x14ac:dyDescent="0.25">
      <c r="A2999" s="1">
        <v>43481</v>
      </c>
      <c r="B2999">
        <v>120566</v>
      </c>
      <c r="C2999" t="s">
        <v>74</v>
      </c>
      <c r="D2999" t="s">
        <v>2850</v>
      </c>
      <c r="E2999" s="2">
        <v>115.6</v>
      </c>
    </row>
    <row r="3000" spans="1:5" x14ac:dyDescent="0.25">
      <c r="A3000" s="1">
        <v>43481</v>
      </c>
      <c r="B3000">
        <v>120567</v>
      </c>
      <c r="C3000" t="s">
        <v>2851</v>
      </c>
      <c r="D3000" t="s">
        <v>2852</v>
      </c>
      <c r="E3000" s="2">
        <v>317.99</v>
      </c>
    </row>
    <row r="3001" spans="1:5" x14ac:dyDescent="0.25">
      <c r="A3001" s="1">
        <v>43481</v>
      </c>
      <c r="B3001">
        <v>120568</v>
      </c>
      <c r="C3001" t="s">
        <v>336</v>
      </c>
      <c r="D3001" t="s">
        <v>2853</v>
      </c>
      <c r="E3001" s="2">
        <v>52.5</v>
      </c>
    </row>
    <row r="3002" spans="1:5" x14ac:dyDescent="0.25">
      <c r="A3002" s="1">
        <v>43481</v>
      </c>
      <c r="B3002">
        <v>120569</v>
      </c>
      <c r="C3002" t="s">
        <v>77</v>
      </c>
      <c r="D3002" t="s">
        <v>338</v>
      </c>
      <c r="E3002" s="2">
        <v>161.82</v>
      </c>
    </row>
    <row r="3003" spans="1:5" x14ac:dyDescent="0.25">
      <c r="A3003" s="1">
        <v>43481</v>
      </c>
      <c r="B3003">
        <v>120570</v>
      </c>
      <c r="C3003" t="s">
        <v>77</v>
      </c>
      <c r="D3003" t="s">
        <v>2854</v>
      </c>
      <c r="E3003" s="2">
        <v>100.94</v>
      </c>
    </row>
    <row r="3004" spans="1:5" x14ac:dyDescent="0.25">
      <c r="A3004" s="1">
        <v>43481</v>
      </c>
      <c r="B3004">
        <v>120571</v>
      </c>
      <c r="C3004" t="s">
        <v>80</v>
      </c>
      <c r="D3004" t="s">
        <v>1798</v>
      </c>
      <c r="E3004" s="2">
        <v>77.83</v>
      </c>
    </row>
    <row r="3005" spans="1:5" x14ac:dyDescent="0.25">
      <c r="A3005" s="1">
        <v>43481</v>
      </c>
      <c r="B3005">
        <v>120572</v>
      </c>
      <c r="C3005" t="s">
        <v>14</v>
      </c>
      <c r="D3005" t="s">
        <v>2855</v>
      </c>
      <c r="E3005" s="2">
        <v>23.35</v>
      </c>
    </row>
    <row r="3006" spans="1:5" x14ac:dyDescent="0.25">
      <c r="A3006" s="1">
        <v>43481</v>
      </c>
      <c r="B3006">
        <v>120573</v>
      </c>
      <c r="C3006" t="s">
        <v>639</v>
      </c>
      <c r="D3006" t="s">
        <v>2856</v>
      </c>
      <c r="E3006" s="2">
        <v>179.52</v>
      </c>
    </row>
    <row r="3007" spans="1:5" x14ac:dyDescent="0.25">
      <c r="A3007" s="1">
        <v>43481</v>
      </c>
      <c r="B3007">
        <v>120574</v>
      </c>
      <c r="C3007" t="s">
        <v>213</v>
      </c>
      <c r="D3007" t="s">
        <v>424</v>
      </c>
      <c r="E3007" s="2">
        <v>96.98</v>
      </c>
    </row>
    <row r="3008" spans="1:5" x14ac:dyDescent="0.25">
      <c r="A3008" s="1">
        <v>43481</v>
      </c>
      <c r="B3008">
        <v>120575</v>
      </c>
      <c r="C3008" t="s">
        <v>213</v>
      </c>
      <c r="D3008" t="s">
        <v>424</v>
      </c>
      <c r="E3008" s="2">
        <v>113.13</v>
      </c>
    </row>
    <row r="3009" spans="1:5" x14ac:dyDescent="0.25">
      <c r="A3009" s="1">
        <v>43481</v>
      </c>
      <c r="B3009">
        <v>120576</v>
      </c>
      <c r="C3009" t="s">
        <v>2857</v>
      </c>
      <c r="D3009" t="s">
        <v>2858</v>
      </c>
      <c r="E3009" s="2">
        <v>1095</v>
      </c>
    </row>
    <row r="3010" spans="1:5" x14ac:dyDescent="0.25">
      <c r="A3010" s="1">
        <v>43481</v>
      </c>
      <c r="B3010">
        <v>120577</v>
      </c>
      <c r="C3010" t="s">
        <v>17</v>
      </c>
      <c r="D3010" t="s">
        <v>2859</v>
      </c>
      <c r="E3010" s="2">
        <v>1500</v>
      </c>
    </row>
    <row r="3011" spans="1:5" x14ac:dyDescent="0.25">
      <c r="A3011" s="1">
        <v>43481</v>
      </c>
      <c r="B3011">
        <v>120578</v>
      </c>
      <c r="C3011" t="s">
        <v>1261</v>
      </c>
      <c r="D3011" t="s">
        <v>2860</v>
      </c>
      <c r="E3011" s="2">
        <v>312.55</v>
      </c>
    </row>
    <row r="3012" spans="1:5" x14ac:dyDescent="0.25">
      <c r="A3012" s="1">
        <v>43481</v>
      </c>
      <c r="B3012">
        <v>120579</v>
      </c>
      <c r="C3012" t="s">
        <v>2861</v>
      </c>
      <c r="D3012" t="s">
        <v>2862</v>
      </c>
      <c r="E3012" s="2">
        <v>800</v>
      </c>
    </row>
    <row r="3013" spans="1:5" x14ac:dyDescent="0.25">
      <c r="A3013" s="1">
        <v>43481</v>
      </c>
      <c r="B3013">
        <v>120580</v>
      </c>
      <c r="C3013" t="s">
        <v>2495</v>
      </c>
      <c r="D3013" t="s">
        <v>2863</v>
      </c>
      <c r="E3013" s="2">
        <v>65</v>
      </c>
    </row>
    <row r="3014" spans="1:5" x14ac:dyDescent="0.25">
      <c r="A3014" s="1">
        <v>43481</v>
      </c>
      <c r="B3014">
        <v>120581</v>
      </c>
      <c r="C3014" t="s">
        <v>94</v>
      </c>
      <c r="D3014" t="s">
        <v>2864</v>
      </c>
      <c r="E3014" s="2">
        <v>491.54</v>
      </c>
    </row>
    <row r="3015" spans="1:5" x14ac:dyDescent="0.25">
      <c r="A3015" s="1">
        <v>43481</v>
      </c>
      <c r="B3015">
        <v>120582</v>
      </c>
      <c r="C3015" t="s">
        <v>2865</v>
      </c>
      <c r="D3015" t="s">
        <v>2866</v>
      </c>
      <c r="E3015" s="2">
        <v>356.84</v>
      </c>
    </row>
    <row r="3016" spans="1:5" x14ac:dyDescent="0.25">
      <c r="A3016" s="1">
        <v>43481</v>
      </c>
      <c r="B3016">
        <v>181900167</v>
      </c>
      <c r="C3016" t="s">
        <v>2867</v>
      </c>
      <c r="D3016" t="s">
        <v>2868</v>
      </c>
      <c r="E3016" s="2">
        <v>140</v>
      </c>
    </row>
    <row r="3017" spans="1:5" x14ac:dyDescent="0.25">
      <c r="A3017" s="1">
        <v>43482</v>
      </c>
      <c r="B3017">
        <v>120583</v>
      </c>
      <c r="C3017" t="s">
        <v>64</v>
      </c>
      <c r="D3017" t="s">
        <v>2770</v>
      </c>
      <c r="E3017" s="2">
        <v>2150</v>
      </c>
    </row>
    <row r="3018" spans="1:5" x14ac:dyDescent="0.25">
      <c r="A3018" s="1">
        <v>43482</v>
      </c>
      <c r="B3018">
        <v>120583</v>
      </c>
      <c r="C3018" t="s">
        <v>64</v>
      </c>
      <c r="D3018" t="s">
        <v>2869</v>
      </c>
      <c r="E3018" s="2">
        <v>450</v>
      </c>
    </row>
    <row r="3019" spans="1:5" x14ac:dyDescent="0.25">
      <c r="A3019" s="1">
        <v>43482</v>
      </c>
      <c r="B3019">
        <v>120584</v>
      </c>
      <c r="C3019" t="s">
        <v>226</v>
      </c>
      <c r="D3019" t="s">
        <v>2870</v>
      </c>
      <c r="E3019" s="2">
        <v>180</v>
      </c>
    </row>
    <row r="3020" spans="1:5" x14ac:dyDescent="0.25">
      <c r="A3020" s="1">
        <v>43482</v>
      </c>
      <c r="B3020">
        <v>120585</v>
      </c>
      <c r="C3020" t="s">
        <v>2165</v>
      </c>
      <c r="D3020" t="s">
        <v>2871</v>
      </c>
      <c r="E3020" s="2">
        <v>570</v>
      </c>
    </row>
    <row r="3021" spans="1:5" x14ac:dyDescent="0.25">
      <c r="A3021" s="1">
        <v>43482</v>
      </c>
      <c r="B3021">
        <v>120586</v>
      </c>
      <c r="C3021" t="s">
        <v>235</v>
      </c>
      <c r="D3021" t="s">
        <v>2872</v>
      </c>
      <c r="E3021" s="2">
        <v>711</v>
      </c>
    </row>
    <row r="3022" spans="1:5" x14ac:dyDescent="0.25">
      <c r="A3022" s="1">
        <v>43482</v>
      </c>
      <c r="B3022">
        <v>120586</v>
      </c>
      <c r="C3022" t="s">
        <v>235</v>
      </c>
      <c r="D3022" t="s">
        <v>2873</v>
      </c>
      <c r="E3022" s="2">
        <v>300</v>
      </c>
    </row>
    <row r="3023" spans="1:5" x14ac:dyDescent="0.25">
      <c r="A3023" s="1">
        <v>43482</v>
      </c>
      <c r="B3023">
        <v>120587</v>
      </c>
      <c r="C3023" t="s">
        <v>66</v>
      </c>
      <c r="D3023" t="s">
        <v>2874</v>
      </c>
      <c r="E3023" s="2">
        <v>149</v>
      </c>
    </row>
    <row r="3024" spans="1:5" x14ac:dyDescent="0.25">
      <c r="A3024" s="1">
        <v>43482</v>
      </c>
      <c r="B3024">
        <v>120588</v>
      </c>
      <c r="C3024" t="s">
        <v>2875</v>
      </c>
      <c r="D3024" t="s">
        <v>2876</v>
      </c>
      <c r="E3024" s="2">
        <v>400</v>
      </c>
    </row>
    <row r="3025" spans="1:5" x14ac:dyDescent="0.25">
      <c r="A3025" s="1">
        <v>43482</v>
      </c>
      <c r="B3025">
        <v>120588</v>
      </c>
      <c r="C3025" t="s">
        <v>2875</v>
      </c>
      <c r="D3025" t="s">
        <v>2877</v>
      </c>
      <c r="E3025" s="2">
        <v>400</v>
      </c>
    </row>
    <row r="3026" spans="1:5" x14ac:dyDescent="0.25">
      <c r="A3026" s="1">
        <v>43482</v>
      </c>
      <c r="B3026">
        <v>120589</v>
      </c>
      <c r="C3026" t="s">
        <v>2878</v>
      </c>
      <c r="D3026" t="s">
        <v>2879</v>
      </c>
      <c r="E3026" s="2">
        <v>180</v>
      </c>
    </row>
    <row r="3027" spans="1:5" x14ac:dyDescent="0.25">
      <c r="A3027" s="1">
        <v>43482</v>
      </c>
      <c r="B3027">
        <v>120590</v>
      </c>
      <c r="C3027" t="s">
        <v>103</v>
      </c>
      <c r="D3027" t="s">
        <v>2880</v>
      </c>
      <c r="E3027" s="2">
        <v>400</v>
      </c>
    </row>
    <row r="3028" spans="1:5" x14ac:dyDescent="0.25">
      <c r="A3028" s="1">
        <v>43482</v>
      </c>
      <c r="B3028">
        <v>120591</v>
      </c>
      <c r="C3028" t="s">
        <v>2881</v>
      </c>
      <c r="D3028" t="s">
        <v>2882</v>
      </c>
      <c r="E3028" s="2">
        <v>536</v>
      </c>
    </row>
    <row r="3029" spans="1:5" x14ac:dyDescent="0.25">
      <c r="A3029" s="1">
        <v>43482</v>
      </c>
      <c r="B3029">
        <v>120592</v>
      </c>
      <c r="C3029" t="s">
        <v>1638</v>
      </c>
      <c r="D3029" t="s">
        <v>1639</v>
      </c>
      <c r="E3029" s="2">
        <v>2150</v>
      </c>
    </row>
    <row r="3030" spans="1:5" x14ac:dyDescent="0.25">
      <c r="A3030" s="1">
        <v>43482</v>
      </c>
      <c r="B3030">
        <v>120593</v>
      </c>
      <c r="C3030" t="s">
        <v>26</v>
      </c>
      <c r="D3030" t="s">
        <v>2883</v>
      </c>
      <c r="E3030" s="2">
        <v>275</v>
      </c>
    </row>
    <row r="3031" spans="1:5" x14ac:dyDescent="0.25">
      <c r="A3031" s="1">
        <v>43482</v>
      </c>
      <c r="B3031">
        <v>120593</v>
      </c>
      <c r="C3031" t="s">
        <v>26</v>
      </c>
      <c r="D3031" t="s">
        <v>2884</v>
      </c>
      <c r="E3031" s="2">
        <v>275</v>
      </c>
    </row>
    <row r="3032" spans="1:5" x14ac:dyDescent="0.25">
      <c r="A3032" s="1">
        <v>43482</v>
      </c>
      <c r="B3032">
        <v>120594</v>
      </c>
      <c r="C3032" t="s">
        <v>67</v>
      </c>
      <c r="D3032" t="s">
        <v>2885</v>
      </c>
      <c r="E3032" s="2">
        <v>869.39</v>
      </c>
    </row>
    <row r="3033" spans="1:5" x14ac:dyDescent="0.25">
      <c r="A3033" s="1">
        <v>43482</v>
      </c>
      <c r="B3033">
        <v>120595</v>
      </c>
      <c r="C3033" t="s">
        <v>2886</v>
      </c>
      <c r="D3033" t="s">
        <v>2887</v>
      </c>
      <c r="E3033" s="2">
        <v>997.5</v>
      </c>
    </row>
    <row r="3034" spans="1:5" x14ac:dyDescent="0.25">
      <c r="A3034" s="1">
        <v>43482</v>
      </c>
      <c r="B3034">
        <v>120596</v>
      </c>
      <c r="C3034" t="s">
        <v>662</v>
      </c>
      <c r="D3034" t="s">
        <v>2888</v>
      </c>
      <c r="E3034" s="2">
        <v>422.81</v>
      </c>
    </row>
    <row r="3035" spans="1:5" x14ac:dyDescent="0.25">
      <c r="A3035" s="1">
        <v>43482</v>
      </c>
      <c r="B3035">
        <v>120596</v>
      </c>
      <c r="C3035" t="s">
        <v>662</v>
      </c>
      <c r="D3035" t="s">
        <v>2889</v>
      </c>
      <c r="E3035" s="2">
        <v>74.400000000000006</v>
      </c>
    </row>
    <row r="3036" spans="1:5" x14ac:dyDescent="0.25">
      <c r="A3036" s="1">
        <v>43482</v>
      </c>
      <c r="B3036">
        <v>120596</v>
      </c>
      <c r="C3036" t="s">
        <v>662</v>
      </c>
      <c r="D3036" t="s">
        <v>2890</v>
      </c>
      <c r="E3036" s="2">
        <v>1554.69</v>
      </c>
    </row>
    <row r="3037" spans="1:5" x14ac:dyDescent="0.25">
      <c r="A3037" s="1">
        <v>43482</v>
      </c>
      <c r="B3037">
        <v>120597</v>
      </c>
      <c r="C3037" t="s">
        <v>2891</v>
      </c>
      <c r="D3037" t="s">
        <v>2892</v>
      </c>
      <c r="E3037" s="2">
        <v>610</v>
      </c>
    </row>
    <row r="3038" spans="1:5" x14ac:dyDescent="0.25">
      <c r="A3038" s="1">
        <v>43482</v>
      </c>
      <c r="B3038">
        <v>120598</v>
      </c>
      <c r="C3038" t="s">
        <v>2893</v>
      </c>
      <c r="D3038" t="s">
        <v>2894</v>
      </c>
      <c r="E3038" s="2">
        <v>2344.1999999999998</v>
      </c>
    </row>
    <row r="3039" spans="1:5" x14ac:dyDescent="0.25">
      <c r="A3039" s="1">
        <v>43482</v>
      </c>
      <c r="B3039">
        <v>120599</v>
      </c>
      <c r="C3039" t="s">
        <v>673</v>
      </c>
      <c r="D3039" t="s">
        <v>674</v>
      </c>
      <c r="E3039" s="2">
        <v>56.56</v>
      </c>
    </row>
    <row r="3040" spans="1:5" x14ac:dyDescent="0.25">
      <c r="A3040" s="1">
        <v>43482</v>
      </c>
      <c r="B3040">
        <v>120600</v>
      </c>
      <c r="C3040" t="s">
        <v>247</v>
      </c>
      <c r="D3040" t="s">
        <v>453</v>
      </c>
      <c r="E3040" s="2">
        <v>14651.78</v>
      </c>
    </row>
    <row r="3041" spans="1:5" x14ac:dyDescent="0.25">
      <c r="A3041" s="1">
        <v>43482</v>
      </c>
      <c r="B3041">
        <v>120601</v>
      </c>
      <c r="C3041" t="s">
        <v>31</v>
      </c>
      <c r="D3041" t="s">
        <v>2895</v>
      </c>
      <c r="E3041" s="2">
        <v>259.92</v>
      </c>
    </row>
    <row r="3042" spans="1:5" x14ac:dyDescent="0.25">
      <c r="A3042" s="1">
        <v>43482</v>
      </c>
      <c r="B3042">
        <v>120602</v>
      </c>
      <c r="C3042" t="s">
        <v>352</v>
      </c>
      <c r="D3042" t="s">
        <v>2896</v>
      </c>
      <c r="E3042" s="2">
        <v>1964</v>
      </c>
    </row>
    <row r="3043" spans="1:5" x14ac:dyDescent="0.25">
      <c r="A3043" s="1">
        <v>43482</v>
      </c>
      <c r="B3043">
        <v>120602</v>
      </c>
      <c r="C3043" t="s">
        <v>352</v>
      </c>
      <c r="D3043" t="s">
        <v>2897</v>
      </c>
      <c r="E3043" s="2">
        <v>1954</v>
      </c>
    </row>
    <row r="3044" spans="1:5" x14ac:dyDescent="0.25">
      <c r="A3044" s="1">
        <v>43482</v>
      </c>
      <c r="B3044">
        <v>120603</v>
      </c>
      <c r="C3044" t="s">
        <v>68</v>
      </c>
      <c r="D3044" t="s">
        <v>2898</v>
      </c>
      <c r="E3044" s="2">
        <v>569.98</v>
      </c>
    </row>
    <row r="3045" spans="1:5" x14ac:dyDescent="0.25">
      <c r="A3045" s="1">
        <v>43482</v>
      </c>
      <c r="B3045">
        <v>120603</v>
      </c>
      <c r="C3045" t="s">
        <v>68</v>
      </c>
      <c r="D3045" t="s">
        <v>2899</v>
      </c>
      <c r="E3045" s="2">
        <v>136.79</v>
      </c>
    </row>
    <row r="3046" spans="1:5" x14ac:dyDescent="0.25">
      <c r="A3046" s="1">
        <v>43482</v>
      </c>
      <c r="B3046">
        <v>120603</v>
      </c>
      <c r="C3046" t="s">
        <v>68</v>
      </c>
      <c r="D3046" t="s">
        <v>1486</v>
      </c>
      <c r="E3046" s="2">
        <v>170.98</v>
      </c>
    </row>
    <row r="3047" spans="1:5" x14ac:dyDescent="0.25">
      <c r="A3047" s="1">
        <v>43482</v>
      </c>
      <c r="B3047">
        <v>120604</v>
      </c>
      <c r="C3047" t="s">
        <v>2900</v>
      </c>
      <c r="D3047" t="s">
        <v>2901</v>
      </c>
      <c r="E3047" s="2">
        <v>560</v>
      </c>
    </row>
    <row r="3048" spans="1:5" x14ac:dyDescent="0.25">
      <c r="A3048" s="1">
        <v>43482</v>
      </c>
      <c r="B3048">
        <v>120605</v>
      </c>
      <c r="C3048" t="s">
        <v>1177</v>
      </c>
      <c r="D3048" t="s">
        <v>2902</v>
      </c>
      <c r="E3048" s="2">
        <v>105</v>
      </c>
    </row>
    <row r="3049" spans="1:5" x14ac:dyDescent="0.25">
      <c r="A3049" s="1">
        <v>43482</v>
      </c>
      <c r="B3049">
        <v>120605</v>
      </c>
      <c r="C3049" t="s">
        <v>1177</v>
      </c>
      <c r="D3049" t="s">
        <v>2903</v>
      </c>
      <c r="E3049" s="2">
        <v>35</v>
      </c>
    </row>
    <row r="3050" spans="1:5" x14ac:dyDescent="0.25">
      <c r="A3050" s="1">
        <v>43482</v>
      </c>
      <c r="B3050">
        <v>120615</v>
      </c>
      <c r="C3050" t="s">
        <v>110</v>
      </c>
      <c r="D3050" t="s">
        <v>2010</v>
      </c>
      <c r="E3050" s="2">
        <v>58297.39</v>
      </c>
    </row>
    <row r="3051" spans="1:5" x14ac:dyDescent="0.25">
      <c r="A3051" s="1">
        <v>43482</v>
      </c>
      <c r="B3051">
        <v>120616</v>
      </c>
      <c r="C3051" t="s">
        <v>2179</v>
      </c>
      <c r="D3051" t="s">
        <v>2796</v>
      </c>
      <c r="E3051" s="2">
        <v>700</v>
      </c>
    </row>
    <row r="3052" spans="1:5" x14ac:dyDescent="0.25">
      <c r="A3052" s="1">
        <v>43482</v>
      </c>
      <c r="B3052">
        <v>120617</v>
      </c>
      <c r="C3052" t="s">
        <v>2550</v>
      </c>
      <c r="D3052" t="s">
        <v>2904</v>
      </c>
      <c r="E3052" s="2">
        <v>99</v>
      </c>
    </row>
    <row r="3053" spans="1:5" x14ac:dyDescent="0.25">
      <c r="A3053" s="1">
        <v>43482</v>
      </c>
      <c r="B3053">
        <v>120618</v>
      </c>
      <c r="C3053" t="s">
        <v>114</v>
      </c>
      <c r="D3053" t="s">
        <v>2905</v>
      </c>
      <c r="E3053" s="2">
        <v>20</v>
      </c>
    </row>
    <row r="3054" spans="1:5" x14ac:dyDescent="0.25">
      <c r="A3054" s="1">
        <v>43482</v>
      </c>
      <c r="B3054">
        <v>120618</v>
      </c>
      <c r="C3054" t="s">
        <v>114</v>
      </c>
      <c r="D3054" t="s">
        <v>2905</v>
      </c>
      <c r="E3054" s="2">
        <v>20</v>
      </c>
    </row>
    <row r="3055" spans="1:5" x14ac:dyDescent="0.25">
      <c r="A3055" s="1">
        <v>43482</v>
      </c>
      <c r="B3055">
        <v>120619</v>
      </c>
      <c r="C3055" t="s">
        <v>1452</v>
      </c>
      <c r="D3055" t="s">
        <v>2906</v>
      </c>
      <c r="E3055" s="2">
        <v>11723.92</v>
      </c>
    </row>
    <row r="3056" spans="1:5" x14ac:dyDescent="0.25">
      <c r="A3056" s="1">
        <v>43482</v>
      </c>
      <c r="B3056">
        <v>120620</v>
      </c>
      <c r="C3056" t="s">
        <v>1004</v>
      </c>
      <c r="D3056" t="s">
        <v>2907</v>
      </c>
      <c r="E3056" s="2">
        <v>100</v>
      </c>
    </row>
    <row r="3057" spans="1:5" x14ac:dyDescent="0.25">
      <c r="A3057" s="1">
        <v>43482</v>
      </c>
      <c r="B3057">
        <v>120621</v>
      </c>
      <c r="C3057" t="s">
        <v>2908</v>
      </c>
      <c r="D3057" t="s">
        <v>328</v>
      </c>
      <c r="E3057" s="2">
        <v>5706.25</v>
      </c>
    </row>
    <row r="3058" spans="1:5" x14ac:dyDescent="0.25">
      <c r="A3058" s="1">
        <v>43482</v>
      </c>
      <c r="B3058">
        <v>120622</v>
      </c>
      <c r="C3058" t="s">
        <v>264</v>
      </c>
      <c r="D3058" t="s">
        <v>2909</v>
      </c>
      <c r="E3058" s="2">
        <v>125.23</v>
      </c>
    </row>
    <row r="3059" spans="1:5" x14ac:dyDescent="0.25">
      <c r="A3059" s="1">
        <v>43482</v>
      </c>
      <c r="B3059">
        <v>120623</v>
      </c>
      <c r="C3059" t="s">
        <v>1670</v>
      </c>
      <c r="D3059" t="s">
        <v>2910</v>
      </c>
      <c r="E3059" s="2">
        <v>629.07000000000005</v>
      </c>
    </row>
    <row r="3060" spans="1:5" x14ac:dyDescent="0.25">
      <c r="A3060" s="1">
        <v>43482</v>
      </c>
      <c r="B3060">
        <v>120625</v>
      </c>
      <c r="C3060" t="s">
        <v>269</v>
      </c>
      <c r="D3060" t="s">
        <v>2911</v>
      </c>
      <c r="E3060" s="2">
        <v>39.950000000000003</v>
      </c>
    </row>
    <row r="3061" spans="1:5" x14ac:dyDescent="0.25">
      <c r="A3061" s="1">
        <v>43482</v>
      </c>
      <c r="B3061">
        <v>120625</v>
      </c>
      <c r="C3061" t="s">
        <v>269</v>
      </c>
      <c r="D3061" t="s">
        <v>270</v>
      </c>
      <c r="E3061" s="2">
        <v>9.9499999999999993</v>
      </c>
    </row>
    <row r="3062" spans="1:5" x14ac:dyDescent="0.25">
      <c r="A3062" s="1">
        <v>43482</v>
      </c>
      <c r="B3062">
        <v>120625</v>
      </c>
      <c r="C3062" t="s">
        <v>269</v>
      </c>
      <c r="D3062" t="s">
        <v>2912</v>
      </c>
      <c r="E3062" s="2">
        <f>6+198+62</f>
        <v>266</v>
      </c>
    </row>
    <row r="3063" spans="1:5" x14ac:dyDescent="0.25">
      <c r="A3063" s="1">
        <v>43482</v>
      </c>
      <c r="B3063">
        <v>120625</v>
      </c>
      <c r="C3063" t="s">
        <v>269</v>
      </c>
      <c r="D3063" t="s">
        <v>270</v>
      </c>
      <c r="E3063" s="2">
        <v>107.76</v>
      </c>
    </row>
    <row r="3064" spans="1:5" x14ac:dyDescent="0.25">
      <c r="A3064" s="1">
        <v>43482</v>
      </c>
      <c r="B3064">
        <v>120626</v>
      </c>
      <c r="C3064" t="s">
        <v>2913</v>
      </c>
      <c r="D3064" t="s">
        <v>2914</v>
      </c>
      <c r="E3064" s="2">
        <v>160</v>
      </c>
    </row>
    <row r="3065" spans="1:5" x14ac:dyDescent="0.25">
      <c r="A3065" s="1">
        <v>43482</v>
      </c>
      <c r="B3065">
        <v>120626</v>
      </c>
      <c r="C3065" t="s">
        <v>2913</v>
      </c>
      <c r="D3065" t="s">
        <v>2876</v>
      </c>
      <c r="E3065" s="2">
        <v>450</v>
      </c>
    </row>
    <row r="3066" spans="1:5" x14ac:dyDescent="0.25">
      <c r="A3066" s="1">
        <v>43482</v>
      </c>
      <c r="B3066">
        <v>120627</v>
      </c>
      <c r="C3066" t="s">
        <v>274</v>
      </c>
      <c r="D3066" t="s">
        <v>2915</v>
      </c>
      <c r="E3066" s="2">
        <v>357.41</v>
      </c>
    </row>
    <row r="3067" spans="1:5" x14ac:dyDescent="0.25">
      <c r="A3067" s="1">
        <v>43482</v>
      </c>
      <c r="B3067">
        <v>120627</v>
      </c>
      <c r="C3067" t="s">
        <v>274</v>
      </c>
      <c r="D3067" t="s">
        <v>2916</v>
      </c>
      <c r="E3067" s="2">
        <f>450+113.66</f>
        <v>563.66</v>
      </c>
    </row>
    <row r="3068" spans="1:5" x14ac:dyDescent="0.25">
      <c r="A3068" s="1">
        <v>43482</v>
      </c>
      <c r="B3068">
        <v>120628</v>
      </c>
      <c r="C3068" t="s">
        <v>2917</v>
      </c>
      <c r="D3068" t="s">
        <v>2918</v>
      </c>
      <c r="E3068" s="2">
        <v>99.84</v>
      </c>
    </row>
    <row r="3069" spans="1:5" x14ac:dyDescent="0.25">
      <c r="A3069" s="1">
        <v>43482</v>
      </c>
      <c r="B3069">
        <v>120629</v>
      </c>
      <c r="C3069" t="s">
        <v>2919</v>
      </c>
      <c r="D3069" t="s">
        <v>2920</v>
      </c>
      <c r="E3069" s="2">
        <v>39.049999999999997</v>
      </c>
    </row>
    <row r="3070" spans="1:5" x14ac:dyDescent="0.25">
      <c r="A3070" s="1">
        <v>43482</v>
      </c>
      <c r="B3070">
        <v>120631</v>
      </c>
      <c r="C3070" t="s">
        <v>2406</v>
      </c>
      <c r="D3070" t="s">
        <v>2921</v>
      </c>
      <c r="E3070" s="2">
        <f>235*5</f>
        <v>1175</v>
      </c>
    </row>
    <row r="3071" spans="1:5" x14ac:dyDescent="0.25">
      <c r="A3071" s="1">
        <v>43482</v>
      </c>
      <c r="B3071">
        <v>120632</v>
      </c>
      <c r="C3071" t="s">
        <v>2922</v>
      </c>
      <c r="D3071" t="s">
        <v>2923</v>
      </c>
      <c r="E3071" s="2">
        <v>269.38</v>
      </c>
    </row>
    <row r="3072" spans="1:5" x14ac:dyDescent="0.25">
      <c r="A3072" s="1">
        <v>43482</v>
      </c>
      <c r="B3072">
        <v>120633</v>
      </c>
      <c r="C3072" t="s">
        <v>134</v>
      </c>
      <c r="D3072" t="s">
        <v>2924</v>
      </c>
      <c r="E3072" s="2">
        <v>393.75</v>
      </c>
    </row>
    <row r="3073" spans="1:5" x14ac:dyDescent="0.25">
      <c r="A3073" s="1">
        <v>43482</v>
      </c>
      <c r="B3073">
        <v>120634</v>
      </c>
      <c r="C3073" t="s">
        <v>1823</v>
      </c>
      <c r="D3073" t="s">
        <v>2568</v>
      </c>
      <c r="E3073" s="2">
        <v>33.130000000000003</v>
      </c>
    </row>
    <row r="3074" spans="1:5" x14ac:dyDescent="0.25">
      <c r="A3074" s="1">
        <v>43482</v>
      </c>
      <c r="B3074">
        <v>120635</v>
      </c>
      <c r="C3074" t="s">
        <v>2925</v>
      </c>
      <c r="D3074" t="s">
        <v>2926</v>
      </c>
      <c r="E3074" s="2">
        <v>1380.48</v>
      </c>
    </row>
    <row r="3075" spans="1:5" x14ac:dyDescent="0.25">
      <c r="A3075" s="1">
        <v>43482</v>
      </c>
      <c r="B3075">
        <v>120636</v>
      </c>
      <c r="C3075" t="s">
        <v>48</v>
      </c>
      <c r="D3075" t="s">
        <v>2927</v>
      </c>
      <c r="E3075" s="2">
        <v>5191.87</v>
      </c>
    </row>
    <row r="3076" spans="1:5" x14ac:dyDescent="0.25">
      <c r="A3076" s="1">
        <v>43482</v>
      </c>
      <c r="B3076">
        <v>120638</v>
      </c>
      <c r="C3076" t="s">
        <v>74</v>
      </c>
      <c r="D3076" t="s">
        <v>2928</v>
      </c>
      <c r="E3076" s="2">
        <v>28.11</v>
      </c>
    </row>
    <row r="3077" spans="1:5" x14ac:dyDescent="0.25">
      <c r="A3077" s="1">
        <v>43482</v>
      </c>
      <c r="B3077">
        <v>120638</v>
      </c>
      <c r="C3077" t="s">
        <v>74</v>
      </c>
      <c r="D3077" t="s">
        <v>2929</v>
      </c>
      <c r="E3077" s="2">
        <v>460.69</v>
      </c>
    </row>
    <row r="3078" spans="1:5" x14ac:dyDescent="0.25">
      <c r="A3078" s="1">
        <v>43482</v>
      </c>
      <c r="B3078">
        <v>120638</v>
      </c>
      <c r="C3078" t="s">
        <v>74</v>
      </c>
      <c r="D3078" t="s">
        <v>2930</v>
      </c>
      <c r="E3078" s="2">
        <v>94.99</v>
      </c>
    </row>
    <row r="3079" spans="1:5" x14ac:dyDescent="0.25">
      <c r="A3079" s="1">
        <v>43482</v>
      </c>
      <c r="B3079">
        <v>120638</v>
      </c>
      <c r="C3079" t="s">
        <v>74</v>
      </c>
      <c r="D3079" t="s">
        <v>2931</v>
      </c>
      <c r="E3079" s="2">
        <f>51.33+8.69+5.43</f>
        <v>65.449999999999989</v>
      </c>
    </row>
    <row r="3080" spans="1:5" x14ac:dyDescent="0.25">
      <c r="A3080" s="1">
        <v>43482</v>
      </c>
      <c r="B3080">
        <v>120638</v>
      </c>
      <c r="C3080" t="s">
        <v>74</v>
      </c>
      <c r="D3080" t="s">
        <v>2932</v>
      </c>
      <c r="E3080" s="2">
        <v>28.47</v>
      </c>
    </row>
    <row r="3081" spans="1:5" x14ac:dyDescent="0.25">
      <c r="A3081" s="1">
        <v>43482</v>
      </c>
      <c r="B3081">
        <v>120638</v>
      </c>
      <c r="C3081" t="s">
        <v>74</v>
      </c>
      <c r="D3081" t="s">
        <v>2933</v>
      </c>
      <c r="E3081" s="2">
        <v>28.74</v>
      </c>
    </row>
    <row r="3082" spans="1:5" x14ac:dyDescent="0.25">
      <c r="A3082" s="1">
        <v>43482</v>
      </c>
      <c r="B3082">
        <v>120638</v>
      </c>
      <c r="C3082" t="s">
        <v>74</v>
      </c>
      <c r="D3082" t="s">
        <v>2934</v>
      </c>
      <c r="E3082" s="2">
        <v>68.86</v>
      </c>
    </row>
    <row r="3083" spans="1:5" x14ac:dyDescent="0.25">
      <c r="A3083" s="1">
        <v>43482</v>
      </c>
      <c r="B3083">
        <v>120639</v>
      </c>
      <c r="C3083" t="s">
        <v>2218</v>
      </c>
      <c r="D3083" t="s">
        <v>2935</v>
      </c>
      <c r="E3083" s="2">
        <f>308+308</f>
        <v>616</v>
      </c>
    </row>
    <row r="3084" spans="1:5" x14ac:dyDescent="0.25">
      <c r="A3084" s="1">
        <v>43482</v>
      </c>
      <c r="B3084">
        <v>120640</v>
      </c>
      <c r="C3084" t="s">
        <v>283</v>
      </c>
      <c r="D3084" t="s">
        <v>441</v>
      </c>
      <c r="E3084" s="2">
        <v>1002.03</v>
      </c>
    </row>
    <row r="3085" spans="1:5" x14ac:dyDescent="0.25">
      <c r="A3085" s="1">
        <v>43482</v>
      </c>
      <c r="B3085">
        <v>120641</v>
      </c>
      <c r="C3085" t="s">
        <v>146</v>
      </c>
      <c r="D3085" t="s">
        <v>2936</v>
      </c>
      <c r="E3085" s="2">
        <v>104.31</v>
      </c>
    </row>
    <row r="3086" spans="1:5" x14ac:dyDescent="0.25">
      <c r="A3086" s="1">
        <v>43482</v>
      </c>
      <c r="B3086">
        <v>120641</v>
      </c>
      <c r="C3086" t="s">
        <v>146</v>
      </c>
      <c r="D3086" t="s">
        <v>2937</v>
      </c>
      <c r="E3086" s="2">
        <v>314.08</v>
      </c>
    </row>
    <row r="3087" spans="1:5" x14ac:dyDescent="0.25">
      <c r="A3087" s="1">
        <v>43482</v>
      </c>
      <c r="B3087">
        <v>120642</v>
      </c>
      <c r="C3087" t="s">
        <v>734</v>
      </c>
      <c r="D3087" t="s">
        <v>2938</v>
      </c>
      <c r="E3087" s="2">
        <v>1779.29</v>
      </c>
    </row>
    <row r="3088" spans="1:5" x14ac:dyDescent="0.25">
      <c r="A3088" s="1">
        <v>43482</v>
      </c>
      <c r="B3088">
        <v>120642</v>
      </c>
      <c r="C3088" t="s">
        <v>734</v>
      </c>
      <c r="D3088" t="s">
        <v>2763</v>
      </c>
      <c r="E3088" s="2">
        <f>183.38+329.45</f>
        <v>512.82999999999993</v>
      </c>
    </row>
    <row r="3089" spans="1:5" x14ac:dyDescent="0.25">
      <c r="A3089" s="1">
        <v>43482</v>
      </c>
      <c r="B3089">
        <v>120643</v>
      </c>
      <c r="C3089" t="s">
        <v>336</v>
      </c>
      <c r="D3089" t="s">
        <v>2939</v>
      </c>
      <c r="E3089" s="2">
        <v>34.5</v>
      </c>
    </row>
    <row r="3090" spans="1:5" x14ac:dyDescent="0.25">
      <c r="A3090" s="1">
        <v>43482</v>
      </c>
      <c r="B3090">
        <v>120644</v>
      </c>
      <c r="C3090" t="s">
        <v>75</v>
      </c>
      <c r="D3090" t="s">
        <v>2940</v>
      </c>
      <c r="E3090" s="2">
        <v>6.6</v>
      </c>
    </row>
    <row r="3091" spans="1:5" x14ac:dyDescent="0.25">
      <c r="A3091" s="1">
        <v>43482</v>
      </c>
      <c r="B3091">
        <v>120644</v>
      </c>
      <c r="C3091" t="s">
        <v>75</v>
      </c>
      <c r="D3091" t="s">
        <v>2941</v>
      </c>
      <c r="E3091" s="2">
        <v>12.18</v>
      </c>
    </row>
    <row r="3092" spans="1:5" x14ac:dyDescent="0.25">
      <c r="A3092" s="1">
        <v>43482</v>
      </c>
      <c r="B3092">
        <v>120645</v>
      </c>
      <c r="C3092" t="s">
        <v>2942</v>
      </c>
      <c r="D3092" t="s">
        <v>2943</v>
      </c>
      <c r="E3092" s="2">
        <v>225</v>
      </c>
    </row>
    <row r="3093" spans="1:5" x14ac:dyDescent="0.25">
      <c r="A3093" s="1">
        <v>43482</v>
      </c>
      <c r="B3093">
        <v>120646</v>
      </c>
      <c r="C3093" t="s">
        <v>11</v>
      </c>
      <c r="D3093" t="s">
        <v>2024</v>
      </c>
      <c r="E3093" s="2">
        <f>31.49+269.57+52.44</f>
        <v>353.5</v>
      </c>
    </row>
    <row r="3094" spans="1:5" x14ac:dyDescent="0.25">
      <c r="A3094" s="1">
        <v>43482</v>
      </c>
      <c r="B3094">
        <v>120647</v>
      </c>
      <c r="C3094" t="s">
        <v>2041</v>
      </c>
      <c r="D3094" t="s">
        <v>2944</v>
      </c>
      <c r="E3094" s="2">
        <v>250</v>
      </c>
    </row>
    <row r="3095" spans="1:5" x14ac:dyDescent="0.25">
      <c r="A3095" s="1">
        <v>43482</v>
      </c>
      <c r="B3095">
        <v>120648</v>
      </c>
      <c r="C3095" t="s">
        <v>2945</v>
      </c>
      <c r="D3095" t="s">
        <v>2946</v>
      </c>
      <c r="E3095" s="2">
        <f>16252.66*2</f>
        <v>32505.32</v>
      </c>
    </row>
    <row r="3096" spans="1:5" x14ac:dyDescent="0.25">
      <c r="A3096" s="1">
        <v>43482</v>
      </c>
      <c r="B3096">
        <v>120649</v>
      </c>
      <c r="C3096" t="s">
        <v>1228</v>
      </c>
      <c r="D3096" t="s">
        <v>2947</v>
      </c>
      <c r="E3096" s="2">
        <v>1069</v>
      </c>
    </row>
    <row r="3097" spans="1:5" x14ac:dyDescent="0.25">
      <c r="A3097" s="1">
        <v>43482</v>
      </c>
      <c r="B3097">
        <v>120649</v>
      </c>
      <c r="C3097" t="s">
        <v>1228</v>
      </c>
      <c r="D3097" t="s">
        <v>2947</v>
      </c>
      <c r="E3097" s="2">
        <v>528.24</v>
      </c>
    </row>
    <row r="3098" spans="1:5" x14ac:dyDescent="0.25">
      <c r="A3098" s="1">
        <v>43482</v>
      </c>
      <c r="B3098">
        <v>120649</v>
      </c>
      <c r="C3098" t="s">
        <v>1228</v>
      </c>
      <c r="D3098" t="s">
        <v>2947</v>
      </c>
      <c r="E3098" s="2">
        <v>621.41999999999996</v>
      </c>
    </row>
    <row r="3099" spans="1:5" x14ac:dyDescent="0.25">
      <c r="A3099" s="1">
        <v>43482</v>
      </c>
      <c r="B3099">
        <v>120650</v>
      </c>
      <c r="C3099" t="s">
        <v>296</v>
      </c>
      <c r="D3099" t="s">
        <v>297</v>
      </c>
      <c r="E3099" s="2">
        <v>279.95</v>
      </c>
    </row>
    <row r="3100" spans="1:5" x14ac:dyDescent="0.25">
      <c r="A3100" s="1">
        <v>43482</v>
      </c>
      <c r="B3100">
        <v>120651</v>
      </c>
      <c r="C3100" t="s">
        <v>50</v>
      </c>
      <c r="D3100" t="s">
        <v>2047</v>
      </c>
      <c r="E3100" s="2">
        <v>2387.5</v>
      </c>
    </row>
    <row r="3101" spans="1:5" x14ac:dyDescent="0.25">
      <c r="A3101" s="1">
        <v>43482</v>
      </c>
      <c r="B3101">
        <v>120652</v>
      </c>
      <c r="C3101" t="s">
        <v>298</v>
      </c>
      <c r="D3101" t="s">
        <v>2948</v>
      </c>
      <c r="E3101" s="2">
        <v>11423.75</v>
      </c>
    </row>
    <row r="3102" spans="1:5" x14ac:dyDescent="0.25">
      <c r="A3102" s="1">
        <v>43482</v>
      </c>
      <c r="B3102">
        <v>120653</v>
      </c>
      <c r="C3102" t="s">
        <v>1110</v>
      </c>
      <c r="D3102" t="s">
        <v>2949</v>
      </c>
      <c r="E3102" s="2">
        <v>31.98</v>
      </c>
    </row>
    <row r="3103" spans="1:5" x14ac:dyDescent="0.25">
      <c r="A3103" s="1">
        <v>43482</v>
      </c>
      <c r="B3103">
        <v>120654</v>
      </c>
      <c r="C3103" t="s">
        <v>2950</v>
      </c>
      <c r="D3103" t="s">
        <v>2951</v>
      </c>
      <c r="E3103" s="2">
        <v>1173.96</v>
      </c>
    </row>
    <row r="3104" spans="1:5" x14ac:dyDescent="0.25">
      <c r="A3104" s="1">
        <v>43482</v>
      </c>
      <c r="B3104">
        <v>120655</v>
      </c>
      <c r="C3104" t="s">
        <v>2787</v>
      </c>
      <c r="D3104" t="s">
        <v>2952</v>
      </c>
      <c r="E3104" s="2">
        <v>374</v>
      </c>
    </row>
    <row r="3105" spans="1:5" x14ac:dyDescent="0.25">
      <c r="A3105" s="1">
        <v>43482</v>
      </c>
      <c r="B3105">
        <v>120656</v>
      </c>
      <c r="C3105" t="s">
        <v>14</v>
      </c>
      <c r="D3105" t="s">
        <v>2953</v>
      </c>
      <c r="E3105" s="2">
        <v>556.29</v>
      </c>
    </row>
    <row r="3106" spans="1:5" x14ac:dyDescent="0.25">
      <c r="A3106" s="1">
        <v>43482</v>
      </c>
      <c r="B3106">
        <v>120657</v>
      </c>
      <c r="C3106" t="s">
        <v>2954</v>
      </c>
      <c r="D3106" t="s">
        <v>2955</v>
      </c>
      <c r="E3106" s="2">
        <f>175+175+900</f>
        <v>1250</v>
      </c>
    </row>
    <row r="3107" spans="1:5" x14ac:dyDescent="0.25">
      <c r="A3107" s="1">
        <v>43482</v>
      </c>
      <c r="B3107">
        <v>120658</v>
      </c>
      <c r="C3107" t="s">
        <v>760</v>
      </c>
      <c r="D3107" t="s">
        <v>2956</v>
      </c>
      <c r="E3107" s="2">
        <v>321.89999999999998</v>
      </c>
    </row>
    <row r="3108" spans="1:5" x14ac:dyDescent="0.25">
      <c r="A3108" s="1">
        <v>43482</v>
      </c>
      <c r="B3108">
        <v>120658</v>
      </c>
      <c r="C3108" t="s">
        <v>760</v>
      </c>
      <c r="D3108" t="s">
        <v>2957</v>
      </c>
      <c r="E3108" s="2">
        <v>397.2</v>
      </c>
    </row>
    <row r="3109" spans="1:5" x14ac:dyDescent="0.25">
      <c r="A3109" s="1">
        <v>43482</v>
      </c>
      <c r="B3109">
        <v>120659</v>
      </c>
      <c r="C3109" t="s">
        <v>158</v>
      </c>
      <c r="D3109" t="s">
        <v>2958</v>
      </c>
      <c r="E3109" s="2">
        <v>145.91999999999999</v>
      </c>
    </row>
    <row r="3110" spans="1:5" x14ac:dyDescent="0.25">
      <c r="A3110" s="1">
        <v>43482</v>
      </c>
      <c r="B3110">
        <v>120659</v>
      </c>
      <c r="C3110" t="s">
        <v>158</v>
      </c>
      <c r="D3110" t="s">
        <v>2959</v>
      </c>
      <c r="E3110" s="2">
        <v>492.6</v>
      </c>
    </row>
    <row r="3111" spans="1:5" x14ac:dyDescent="0.25">
      <c r="A3111" s="1">
        <v>43482</v>
      </c>
      <c r="B3111">
        <v>120660</v>
      </c>
      <c r="C3111" t="s">
        <v>308</v>
      </c>
      <c r="D3111" t="s">
        <v>2960</v>
      </c>
      <c r="E3111" s="2">
        <v>1500</v>
      </c>
    </row>
    <row r="3112" spans="1:5" x14ac:dyDescent="0.25">
      <c r="A3112" s="1">
        <v>43482</v>
      </c>
      <c r="B3112">
        <v>120661</v>
      </c>
      <c r="C3112" t="s">
        <v>2061</v>
      </c>
      <c r="D3112" t="s">
        <v>2961</v>
      </c>
      <c r="E3112" s="2">
        <f>149+199+149</f>
        <v>497</v>
      </c>
    </row>
    <row r="3113" spans="1:5" x14ac:dyDescent="0.25">
      <c r="A3113" s="1">
        <v>43482</v>
      </c>
      <c r="B3113">
        <v>120663</v>
      </c>
      <c r="C3113" t="s">
        <v>161</v>
      </c>
      <c r="D3113" t="s">
        <v>2961</v>
      </c>
      <c r="E3113" s="2">
        <f>3445+5352+669</f>
        <v>9466</v>
      </c>
    </row>
    <row r="3114" spans="1:5" x14ac:dyDescent="0.25">
      <c r="A3114" s="1">
        <v>43482</v>
      </c>
      <c r="B3114">
        <v>120664</v>
      </c>
      <c r="C3114" t="s">
        <v>2962</v>
      </c>
      <c r="D3114" t="s">
        <v>2963</v>
      </c>
      <c r="E3114" s="2">
        <v>425</v>
      </c>
    </row>
    <row r="3115" spans="1:5" x14ac:dyDescent="0.25">
      <c r="A3115" s="1">
        <v>43482</v>
      </c>
      <c r="B3115">
        <v>120665</v>
      </c>
      <c r="C3115" t="s">
        <v>314</v>
      </c>
      <c r="D3115" t="s">
        <v>2964</v>
      </c>
      <c r="E3115" s="2">
        <v>252</v>
      </c>
    </row>
    <row r="3116" spans="1:5" x14ac:dyDescent="0.25">
      <c r="A3116" s="1">
        <v>43482</v>
      </c>
      <c r="B3116">
        <v>120666</v>
      </c>
      <c r="C3116" t="s">
        <v>317</v>
      </c>
      <c r="D3116" t="s">
        <v>2965</v>
      </c>
      <c r="E3116" s="2">
        <v>3500</v>
      </c>
    </row>
    <row r="3117" spans="1:5" x14ac:dyDescent="0.25">
      <c r="A3117" s="1">
        <v>43482</v>
      </c>
      <c r="B3117">
        <v>120667</v>
      </c>
      <c r="C3117" t="s">
        <v>318</v>
      </c>
      <c r="D3117" t="s">
        <v>2966</v>
      </c>
      <c r="E3117" s="2">
        <v>80743.199999999997</v>
      </c>
    </row>
    <row r="3118" spans="1:5" x14ac:dyDescent="0.25">
      <c r="A3118" s="1">
        <v>43482</v>
      </c>
      <c r="B3118">
        <v>120667</v>
      </c>
      <c r="C3118" t="s">
        <v>318</v>
      </c>
      <c r="D3118" t="s">
        <v>2967</v>
      </c>
      <c r="E3118" s="2">
        <v>12190.26</v>
      </c>
    </row>
    <row r="3119" spans="1:5" x14ac:dyDescent="0.25">
      <c r="A3119" s="1">
        <v>43482</v>
      </c>
      <c r="B3119">
        <v>120668</v>
      </c>
      <c r="C3119" t="s">
        <v>55</v>
      </c>
      <c r="D3119" t="s">
        <v>2961</v>
      </c>
      <c r="E3119" s="2">
        <v>345</v>
      </c>
    </row>
    <row r="3120" spans="1:5" x14ac:dyDescent="0.25">
      <c r="A3120" s="1">
        <v>43482</v>
      </c>
      <c r="B3120">
        <v>120669</v>
      </c>
      <c r="C3120" t="s">
        <v>2968</v>
      </c>
      <c r="D3120" t="s">
        <v>2969</v>
      </c>
      <c r="E3120" s="2">
        <v>200</v>
      </c>
    </row>
    <row r="3121" spans="1:5" x14ac:dyDescent="0.25">
      <c r="A3121" s="1">
        <v>43482</v>
      </c>
      <c r="B3121">
        <v>120670</v>
      </c>
      <c r="C3121" t="s">
        <v>2970</v>
      </c>
      <c r="D3121" t="s">
        <v>2971</v>
      </c>
      <c r="E3121" s="2">
        <v>460</v>
      </c>
    </row>
    <row r="3122" spans="1:5" x14ac:dyDescent="0.25">
      <c r="A3122" s="1">
        <v>43482</v>
      </c>
      <c r="B3122">
        <v>120671</v>
      </c>
      <c r="C3122" t="s">
        <v>1261</v>
      </c>
      <c r="D3122" t="s">
        <v>2444</v>
      </c>
      <c r="E3122" s="2">
        <v>1803.6</v>
      </c>
    </row>
    <row r="3123" spans="1:5" x14ac:dyDescent="0.25">
      <c r="A3123" s="1">
        <v>43482</v>
      </c>
      <c r="B3123">
        <v>120672</v>
      </c>
      <c r="C3123" t="s">
        <v>88</v>
      </c>
      <c r="D3123" t="s">
        <v>2972</v>
      </c>
      <c r="E3123" s="2">
        <v>935</v>
      </c>
    </row>
    <row r="3124" spans="1:5" x14ac:dyDescent="0.25">
      <c r="A3124" s="1">
        <v>43482</v>
      </c>
      <c r="B3124">
        <v>120673</v>
      </c>
      <c r="C3124" t="s">
        <v>2973</v>
      </c>
      <c r="D3124" t="s">
        <v>2974</v>
      </c>
      <c r="E3124" s="2">
        <v>472.03</v>
      </c>
    </row>
    <row r="3125" spans="1:5" x14ac:dyDescent="0.25">
      <c r="A3125" s="1">
        <v>43482</v>
      </c>
      <c r="B3125">
        <v>120674</v>
      </c>
      <c r="C3125" t="s">
        <v>2975</v>
      </c>
      <c r="D3125" t="s">
        <v>2976</v>
      </c>
      <c r="E3125" s="2">
        <v>150</v>
      </c>
    </row>
    <row r="3126" spans="1:5" x14ac:dyDescent="0.25">
      <c r="A3126" s="1">
        <v>43482</v>
      </c>
      <c r="B3126">
        <v>120675</v>
      </c>
      <c r="C3126" t="s">
        <v>2810</v>
      </c>
      <c r="D3126" t="s">
        <v>2811</v>
      </c>
      <c r="E3126" s="2">
        <v>255</v>
      </c>
    </row>
    <row r="3127" spans="1:5" x14ac:dyDescent="0.25">
      <c r="A3127" s="1">
        <v>43482</v>
      </c>
      <c r="B3127">
        <v>120676</v>
      </c>
      <c r="C3127" t="s">
        <v>1729</v>
      </c>
      <c r="D3127" t="s">
        <v>2977</v>
      </c>
      <c r="E3127" s="2">
        <v>35.15</v>
      </c>
    </row>
    <row r="3128" spans="1:5" x14ac:dyDescent="0.25">
      <c r="A3128" s="1">
        <v>43482</v>
      </c>
      <c r="B3128">
        <v>120677</v>
      </c>
      <c r="C3128" t="s">
        <v>179</v>
      </c>
      <c r="D3128" t="s">
        <v>2978</v>
      </c>
      <c r="E3128" s="2">
        <f>109+68.64</f>
        <v>177.64</v>
      </c>
    </row>
    <row r="3129" spans="1:5" x14ac:dyDescent="0.25">
      <c r="A3129" s="1">
        <v>43482</v>
      </c>
      <c r="B3129">
        <v>120678</v>
      </c>
      <c r="C3129" t="s">
        <v>2979</v>
      </c>
      <c r="D3129" t="s">
        <v>1838</v>
      </c>
      <c r="E3129" s="2">
        <v>350</v>
      </c>
    </row>
    <row r="3130" spans="1:5" x14ac:dyDescent="0.25">
      <c r="A3130" s="1">
        <v>43482</v>
      </c>
      <c r="B3130">
        <v>120679</v>
      </c>
      <c r="C3130" t="s">
        <v>181</v>
      </c>
      <c r="D3130" t="s">
        <v>182</v>
      </c>
      <c r="E3130" s="2">
        <v>1709.55</v>
      </c>
    </row>
    <row r="3131" spans="1:5" x14ac:dyDescent="0.25">
      <c r="A3131" s="1">
        <v>43482</v>
      </c>
      <c r="B3131">
        <v>120682</v>
      </c>
      <c r="C3131" t="s">
        <v>387</v>
      </c>
      <c r="D3131" t="s">
        <v>2980</v>
      </c>
      <c r="E3131" s="2">
        <v>163.61000000000001</v>
      </c>
    </row>
    <row r="3132" spans="1:5" x14ac:dyDescent="0.25">
      <c r="A3132" s="1">
        <v>43482</v>
      </c>
      <c r="B3132">
        <v>120684</v>
      </c>
      <c r="C3132" t="s">
        <v>388</v>
      </c>
      <c r="D3132" t="s">
        <v>2981</v>
      </c>
      <c r="E3132" s="2">
        <v>18924.490000000002</v>
      </c>
    </row>
    <row r="3133" spans="1:5" x14ac:dyDescent="0.25">
      <c r="A3133" s="1">
        <v>43482</v>
      </c>
      <c r="B3133">
        <v>120686</v>
      </c>
      <c r="C3133" t="s">
        <v>780</v>
      </c>
      <c r="D3133" t="s">
        <v>2982</v>
      </c>
      <c r="E3133" s="2">
        <v>179.1</v>
      </c>
    </row>
    <row r="3134" spans="1:5" x14ac:dyDescent="0.25">
      <c r="A3134" s="1">
        <v>43482</v>
      </c>
      <c r="B3134">
        <v>120686</v>
      </c>
      <c r="C3134" t="s">
        <v>780</v>
      </c>
      <c r="D3134" t="s">
        <v>2983</v>
      </c>
      <c r="E3134" s="2">
        <v>191.09</v>
      </c>
    </row>
    <row r="3135" spans="1:5" x14ac:dyDescent="0.25">
      <c r="A3135" s="1">
        <v>43482</v>
      </c>
      <c r="B3135">
        <v>120686</v>
      </c>
      <c r="C3135" t="s">
        <v>780</v>
      </c>
      <c r="D3135" t="s">
        <v>2984</v>
      </c>
      <c r="E3135" s="2">
        <f>227.98+221.4+227.98+236.66</f>
        <v>914.02</v>
      </c>
    </row>
    <row r="3136" spans="1:5" x14ac:dyDescent="0.25">
      <c r="A3136" s="1">
        <v>43482</v>
      </c>
      <c r="B3136">
        <v>120687</v>
      </c>
      <c r="C3136" t="s">
        <v>2985</v>
      </c>
      <c r="D3136" t="s">
        <v>2763</v>
      </c>
      <c r="E3136" s="2">
        <v>188.1</v>
      </c>
    </row>
    <row r="3137" spans="1:5" x14ac:dyDescent="0.25">
      <c r="A3137" s="1">
        <v>43482</v>
      </c>
      <c r="B3137">
        <v>120688</v>
      </c>
      <c r="C3137" t="s">
        <v>644</v>
      </c>
      <c r="D3137" t="s">
        <v>2986</v>
      </c>
      <c r="E3137" s="2">
        <v>51</v>
      </c>
    </row>
    <row r="3138" spans="1:5" x14ac:dyDescent="0.25">
      <c r="A3138" s="1">
        <v>43482</v>
      </c>
      <c r="B3138">
        <v>120688</v>
      </c>
      <c r="C3138" t="s">
        <v>644</v>
      </c>
      <c r="D3138" t="s">
        <v>2987</v>
      </c>
      <c r="E3138" s="2">
        <v>60.3</v>
      </c>
    </row>
    <row r="3139" spans="1:5" x14ac:dyDescent="0.25">
      <c r="A3139" s="1">
        <v>43482</v>
      </c>
      <c r="B3139">
        <v>120689</v>
      </c>
      <c r="C3139" t="s">
        <v>61</v>
      </c>
      <c r="D3139" t="s">
        <v>2258</v>
      </c>
      <c r="E3139" s="2">
        <v>66.52</v>
      </c>
    </row>
    <row r="3140" spans="1:5" x14ac:dyDescent="0.25">
      <c r="A3140" s="1">
        <v>43482</v>
      </c>
      <c r="B3140">
        <v>120690</v>
      </c>
      <c r="C3140" t="s">
        <v>392</v>
      </c>
      <c r="D3140" t="s">
        <v>2458</v>
      </c>
      <c r="E3140" s="2">
        <v>24259.74</v>
      </c>
    </row>
    <row r="3141" spans="1:5" x14ac:dyDescent="0.25">
      <c r="A3141" s="1">
        <v>43482</v>
      </c>
      <c r="B3141">
        <v>181900168</v>
      </c>
      <c r="C3141" t="s">
        <v>2988</v>
      </c>
      <c r="D3141" t="s">
        <v>2822</v>
      </c>
      <c r="E3141" s="2">
        <v>118.87</v>
      </c>
    </row>
    <row r="3142" spans="1:5" x14ac:dyDescent="0.25">
      <c r="A3142" s="1">
        <v>43482</v>
      </c>
      <c r="B3142">
        <v>181900169</v>
      </c>
      <c r="C3142" t="s">
        <v>2989</v>
      </c>
      <c r="D3142" t="s">
        <v>2990</v>
      </c>
      <c r="E3142" s="2">
        <v>279</v>
      </c>
    </row>
    <row r="3143" spans="1:5" x14ac:dyDescent="0.25">
      <c r="A3143" s="1">
        <v>43488</v>
      </c>
      <c r="B3143">
        <v>120693</v>
      </c>
      <c r="C3143" t="s">
        <v>189</v>
      </c>
      <c r="D3143" t="s">
        <v>2991</v>
      </c>
      <c r="E3143" s="2">
        <v>144.72999999999999</v>
      </c>
    </row>
    <row r="3144" spans="1:5" x14ac:dyDescent="0.25">
      <c r="A3144" s="1">
        <v>43488</v>
      </c>
      <c r="B3144">
        <v>120693</v>
      </c>
      <c r="C3144" t="s">
        <v>189</v>
      </c>
      <c r="D3144" t="s">
        <v>1929</v>
      </c>
      <c r="E3144" s="2">
        <v>176.06</v>
      </c>
    </row>
    <row r="3145" spans="1:5" x14ac:dyDescent="0.25">
      <c r="A3145" s="1">
        <v>43488</v>
      </c>
      <c r="B3145">
        <v>120693</v>
      </c>
      <c r="C3145" t="s">
        <v>189</v>
      </c>
      <c r="D3145" t="s">
        <v>2992</v>
      </c>
      <c r="E3145" s="2">
        <v>154.31</v>
      </c>
    </row>
    <row r="3146" spans="1:5" x14ac:dyDescent="0.25">
      <c r="A3146" s="1">
        <v>43488</v>
      </c>
      <c r="B3146">
        <v>120693</v>
      </c>
      <c r="C3146" t="s">
        <v>189</v>
      </c>
      <c r="D3146" t="s">
        <v>2993</v>
      </c>
      <c r="E3146" s="2">
        <v>127.36</v>
      </c>
    </row>
    <row r="3147" spans="1:5" x14ac:dyDescent="0.25">
      <c r="A3147" s="1">
        <v>43488</v>
      </c>
      <c r="B3147">
        <v>120693</v>
      </c>
      <c r="C3147" t="s">
        <v>189</v>
      </c>
      <c r="D3147" t="s">
        <v>2994</v>
      </c>
      <c r="E3147" s="2">
        <v>17.989999999999998</v>
      </c>
    </row>
    <row r="3148" spans="1:5" x14ac:dyDescent="0.25">
      <c r="A3148" s="1">
        <v>43488</v>
      </c>
      <c r="B3148">
        <v>120693</v>
      </c>
      <c r="C3148" t="s">
        <v>189</v>
      </c>
      <c r="D3148" t="s">
        <v>2995</v>
      </c>
      <c r="E3148" s="2">
        <v>431.73</v>
      </c>
    </row>
    <row r="3149" spans="1:5" x14ac:dyDescent="0.25">
      <c r="A3149" s="1">
        <v>43488</v>
      </c>
      <c r="B3149">
        <v>120693</v>
      </c>
      <c r="C3149" t="s">
        <v>189</v>
      </c>
      <c r="D3149" t="s">
        <v>2993</v>
      </c>
      <c r="E3149" s="2">
        <v>65.459999999999994</v>
      </c>
    </row>
    <row r="3150" spans="1:5" x14ac:dyDescent="0.25">
      <c r="A3150" s="1">
        <v>43488</v>
      </c>
      <c r="B3150">
        <v>120693</v>
      </c>
      <c r="C3150" t="s">
        <v>189</v>
      </c>
      <c r="D3150" t="s">
        <v>2996</v>
      </c>
      <c r="E3150" s="2">
        <v>19.97</v>
      </c>
    </row>
    <row r="3151" spans="1:5" x14ac:dyDescent="0.25">
      <c r="A3151" s="1">
        <v>43488</v>
      </c>
      <c r="B3151">
        <v>120693</v>
      </c>
      <c r="C3151" t="s">
        <v>189</v>
      </c>
      <c r="D3151" t="s">
        <v>2997</v>
      </c>
      <c r="E3151" s="2">
        <v>99.98</v>
      </c>
    </row>
    <row r="3152" spans="1:5" x14ac:dyDescent="0.25">
      <c r="A3152" s="1">
        <v>43488</v>
      </c>
      <c r="B3152">
        <v>120693</v>
      </c>
      <c r="C3152" t="s">
        <v>189</v>
      </c>
      <c r="D3152" t="s">
        <v>2998</v>
      </c>
      <c r="E3152" s="2">
        <v>334.45</v>
      </c>
    </row>
    <row r="3153" spans="1:5" x14ac:dyDescent="0.25">
      <c r="A3153" s="1">
        <v>43488</v>
      </c>
      <c r="B3153">
        <v>120693</v>
      </c>
      <c r="C3153" t="s">
        <v>189</v>
      </c>
      <c r="D3153" t="s">
        <v>2999</v>
      </c>
      <c r="E3153" s="2">
        <v>313.08</v>
      </c>
    </row>
    <row r="3154" spans="1:5" x14ac:dyDescent="0.25">
      <c r="A3154" s="1">
        <v>43488</v>
      </c>
      <c r="B3154">
        <v>120693</v>
      </c>
      <c r="C3154" t="s">
        <v>189</v>
      </c>
      <c r="D3154" t="s">
        <v>3000</v>
      </c>
      <c r="E3154" s="2">
        <v>1277.8800000000001</v>
      </c>
    </row>
    <row r="3155" spans="1:5" x14ac:dyDescent="0.25">
      <c r="A3155" s="1">
        <v>43488</v>
      </c>
      <c r="B3155">
        <v>120693</v>
      </c>
      <c r="C3155" t="s">
        <v>189</v>
      </c>
      <c r="D3155" t="s">
        <v>3000</v>
      </c>
      <c r="E3155" s="2">
        <v>1453</v>
      </c>
    </row>
    <row r="3156" spans="1:5" x14ac:dyDescent="0.25">
      <c r="A3156" s="1">
        <v>43488</v>
      </c>
      <c r="B3156">
        <v>120693</v>
      </c>
      <c r="C3156" t="s">
        <v>189</v>
      </c>
      <c r="D3156" t="s">
        <v>3001</v>
      </c>
      <c r="E3156" s="2">
        <v>111.96</v>
      </c>
    </row>
    <row r="3157" spans="1:5" x14ac:dyDescent="0.25">
      <c r="A3157" s="1">
        <v>43488</v>
      </c>
      <c r="B3157">
        <v>120693</v>
      </c>
      <c r="C3157" t="s">
        <v>189</v>
      </c>
      <c r="D3157" t="s">
        <v>764</v>
      </c>
      <c r="E3157" s="3">
        <v>-431.73</v>
      </c>
    </row>
    <row r="3158" spans="1:5" x14ac:dyDescent="0.25">
      <c r="A3158" s="1">
        <v>43488</v>
      </c>
      <c r="B3158">
        <v>120693</v>
      </c>
      <c r="C3158" t="s">
        <v>189</v>
      </c>
      <c r="D3158" t="s">
        <v>3002</v>
      </c>
      <c r="E3158" s="2">
        <v>479.7</v>
      </c>
    </row>
    <row r="3159" spans="1:5" x14ac:dyDescent="0.25">
      <c r="A3159" s="1">
        <v>43488</v>
      </c>
      <c r="B3159">
        <v>120693</v>
      </c>
      <c r="C3159" t="s">
        <v>189</v>
      </c>
      <c r="D3159" t="s">
        <v>764</v>
      </c>
      <c r="E3159" s="3">
        <v>-82.6</v>
      </c>
    </row>
    <row r="3160" spans="1:5" x14ac:dyDescent="0.25">
      <c r="A3160" s="1">
        <v>43488</v>
      </c>
      <c r="B3160">
        <v>120694</v>
      </c>
      <c r="C3160" t="s">
        <v>1930</v>
      </c>
      <c r="D3160" t="s">
        <v>1931</v>
      </c>
      <c r="E3160" s="2">
        <v>598.5</v>
      </c>
    </row>
    <row r="3161" spans="1:5" x14ac:dyDescent="0.25">
      <c r="A3161" s="1">
        <v>43488</v>
      </c>
      <c r="B3161">
        <v>120694</v>
      </c>
      <c r="C3161" t="s">
        <v>1930</v>
      </c>
      <c r="D3161" t="s">
        <v>1931</v>
      </c>
      <c r="E3161" s="2">
        <v>674</v>
      </c>
    </row>
    <row r="3162" spans="1:5" x14ac:dyDescent="0.25">
      <c r="A3162" s="1">
        <v>43488</v>
      </c>
      <c r="B3162">
        <v>120695</v>
      </c>
      <c r="C3162" t="s">
        <v>244</v>
      </c>
      <c r="D3162" t="s">
        <v>3003</v>
      </c>
      <c r="E3162" s="2">
        <v>323.92</v>
      </c>
    </row>
    <row r="3163" spans="1:5" x14ac:dyDescent="0.25">
      <c r="A3163" s="1">
        <v>43488</v>
      </c>
      <c r="B3163">
        <v>120696</v>
      </c>
      <c r="C3163" t="s">
        <v>7</v>
      </c>
      <c r="D3163" t="s">
        <v>3004</v>
      </c>
      <c r="E3163" s="2">
        <v>50</v>
      </c>
    </row>
    <row r="3164" spans="1:5" x14ac:dyDescent="0.25">
      <c r="A3164" s="1">
        <v>43488</v>
      </c>
      <c r="B3164">
        <v>120696</v>
      </c>
      <c r="C3164" t="s">
        <v>7</v>
      </c>
      <c r="D3164" t="s">
        <v>3005</v>
      </c>
      <c r="E3164" s="2">
        <v>270</v>
      </c>
    </row>
    <row r="3165" spans="1:5" x14ac:dyDescent="0.25">
      <c r="A3165" s="1">
        <v>43488</v>
      </c>
      <c r="B3165">
        <v>120697</v>
      </c>
      <c r="C3165" t="s">
        <v>31</v>
      </c>
      <c r="D3165" t="s">
        <v>1086</v>
      </c>
      <c r="E3165" s="2">
        <v>138.02000000000001</v>
      </c>
    </row>
    <row r="3166" spans="1:5" x14ac:dyDescent="0.25">
      <c r="A3166" s="1">
        <v>43488</v>
      </c>
      <c r="B3166">
        <v>120698</v>
      </c>
      <c r="C3166" t="s">
        <v>69</v>
      </c>
      <c r="D3166" t="s">
        <v>3006</v>
      </c>
      <c r="E3166" s="2">
        <v>2788</v>
      </c>
    </row>
    <row r="3167" spans="1:5" x14ac:dyDescent="0.25">
      <c r="A3167" s="1">
        <v>43488</v>
      </c>
      <c r="B3167">
        <v>120699</v>
      </c>
      <c r="C3167" t="s">
        <v>70</v>
      </c>
      <c r="D3167" t="s">
        <v>3007</v>
      </c>
      <c r="E3167" s="2">
        <v>5612</v>
      </c>
    </row>
    <row r="3168" spans="1:5" x14ac:dyDescent="0.25">
      <c r="A3168" s="1">
        <v>43488</v>
      </c>
      <c r="B3168">
        <v>120700</v>
      </c>
      <c r="C3168" t="s">
        <v>199</v>
      </c>
      <c r="D3168" t="s">
        <v>3008</v>
      </c>
      <c r="E3168" s="2">
        <v>665</v>
      </c>
    </row>
    <row r="3169" spans="1:5" x14ac:dyDescent="0.25">
      <c r="A3169" s="1">
        <v>43488</v>
      </c>
      <c r="B3169">
        <v>120701</v>
      </c>
      <c r="C3169" t="s">
        <v>3009</v>
      </c>
      <c r="D3169" t="s">
        <v>3010</v>
      </c>
      <c r="E3169" s="2">
        <v>56.25</v>
      </c>
    </row>
    <row r="3170" spans="1:5" x14ac:dyDescent="0.25">
      <c r="A3170" s="1">
        <v>43488</v>
      </c>
      <c r="B3170">
        <v>120702</v>
      </c>
      <c r="C3170" t="s">
        <v>3011</v>
      </c>
      <c r="D3170" t="s">
        <v>3012</v>
      </c>
      <c r="E3170" s="2">
        <v>123.13</v>
      </c>
    </row>
    <row r="3171" spans="1:5" x14ac:dyDescent="0.25">
      <c r="A3171" s="1">
        <v>43488</v>
      </c>
      <c r="B3171">
        <v>120703</v>
      </c>
      <c r="C3171" t="s">
        <v>1946</v>
      </c>
      <c r="D3171" t="s">
        <v>1947</v>
      </c>
      <c r="E3171" s="2">
        <f>250.3+438.75+29.9+218.95+172.15</f>
        <v>1110.05</v>
      </c>
    </row>
    <row r="3172" spans="1:5" x14ac:dyDescent="0.25">
      <c r="A3172" s="1">
        <v>43488</v>
      </c>
      <c r="B3172">
        <v>120704</v>
      </c>
      <c r="C3172" t="s">
        <v>621</v>
      </c>
      <c r="D3172" t="s">
        <v>3013</v>
      </c>
      <c r="E3172" s="2">
        <v>18963</v>
      </c>
    </row>
    <row r="3173" spans="1:5" x14ac:dyDescent="0.25">
      <c r="A3173" s="1">
        <v>43488</v>
      </c>
      <c r="B3173">
        <v>120705</v>
      </c>
      <c r="C3173" t="s">
        <v>336</v>
      </c>
      <c r="D3173" t="s">
        <v>3014</v>
      </c>
      <c r="E3173" s="2">
        <v>73.900000000000006</v>
      </c>
    </row>
    <row r="3174" spans="1:5" x14ac:dyDescent="0.25">
      <c r="A3174" s="1">
        <v>43488</v>
      </c>
      <c r="B3174">
        <v>120705</v>
      </c>
      <c r="C3174" t="s">
        <v>336</v>
      </c>
      <c r="D3174" t="s">
        <v>3015</v>
      </c>
      <c r="E3174" s="2">
        <v>390</v>
      </c>
    </row>
    <row r="3175" spans="1:5" x14ac:dyDescent="0.25">
      <c r="A3175" s="1">
        <v>43488</v>
      </c>
      <c r="B3175">
        <v>120706</v>
      </c>
      <c r="C3175" t="s">
        <v>3016</v>
      </c>
      <c r="D3175" t="s">
        <v>3017</v>
      </c>
      <c r="E3175" s="2">
        <v>763.85</v>
      </c>
    </row>
    <row r="3176" spans="1:5" x14ac:dyDescent="0.25">
      <c r="A3176" s="1">
        <v>43488</v>
      </c>
      <c r="B3176">
        <v>120707</v>
      </c>
      <c r="C3176" t="s">
        <v>3018</v>
      </c>
      <c r="D3176" t="s">
        <v>3019</v>
      </c>
      <c r="E3176" s="2">
        <v>468</v>
      </c>
    </row>
    <row r="3177" spans="1:5" x14ac:dyDescent="0.25">
      <c r="A3177" s="1">
        <v>43488</v>
      </c>
      <c r="B3177">
        <v>120708</v>
      </c>
      <c r="C3177" t="s">
        <v>2970</v>
      </c>
      <c r="D3177" t="s">
        <v>3020</v>
      </c>
      <c r="E3177" s="2">
        <v>1582</v>
      </c>
    </row>
    <row r="3178" spans="1:5" x14ac:dyDescent="0.25">
      <c r="A3178" s="1">
        <v>43488</v>
      </c>
      <c r="B3178">
        <v>120709</v>
      </c>
      <c r="C3178" t="s">
        <v>3021</v>
      </c>
      <c r="D3178" t="s">
        <v>3022</v>
      </c>
      <c r="E3178" s="2">
        <v>4750</v>
      </c>
    </row>
    <row r="3179" spans="1:5" x14ac:dyDescent="0.25">
      <c r="A3179" s="1">
        <v>43488</v>
      </c>
      <c r="B3179">
        <v>120710</v>
      </c>
      <c r="C3179" t="s">
        <v>19</v>
      </c>
      <c r="D3179" t="s">
        <v>3023</v>
      </c>
      <c r="E3179" s="2">
        <v>52</v>
      </c>
    </row>
    <row r="3180" spans="1:5" x14ac:dyDescent="0.25">
      <c r="A3180" s="1">
        <v>43488</v>
      </c>
      <c r="B3180">
        <v>120710</v>
      </c>
      <c r="C3180" t="s">
        <v>19</v>
      </c>
      <c r="D3180" t="s">
        <v>3024</v>
      </c>
      <c r="E3180" s="2">
        <v>348.5</v>
      </c>
    </row>
    <row r="3181" spans="1:5" x14ac:dyDescent="0.25">
      <c r="A3181" s="1">
        <v>43488</v>
      </c>
      <c r="B3181">
        <v>120717</v>
      </c>
      <c r="C3181" t="s">
        <v>222</v>
      </c>
      <c r="D3181" t="s">
        <v>3025</v>
      </c>
      <c r="E3181" s="2">
        <v>133.43</v>
      </c>
    </row>
    <row r="3182" spans="1:5" x14ac:dyDescent="0.25">
      <c r="A3182" s="1">
        <v>43488</v>
      </c>
      <c r="B3182">
        <v>120717</v>
      </c>
      <c r="C3182" t="s">
        <v>222</v>
      </c>
      <c r="D3182" t="s">
        <v>3026</v>
      </c>
      <c r="E3182" s="2">
        <v>142.24</v>
      </c>
    </row>
    <row r="3183" spans="1:5" x14ac:dyDescent="0.25">
      <c r="A3183" s="1">
        <v>43488</v>
      </c>
      <c r="B3183">
        <v>120717</v>
      </c>
      <c r="C3183" t="s">
        <v>222</v>
      </c>
      <c r="D3183" t="s">
        <v>3027</v>
      </c>
      <c r="E3183" s="2">
        <v>177.19</v>
      </c>
    </row>
    <row r="3184" spans="1:5" x14ac:dyDescent="0.25">
      <c r="A3184" s="1">
        <v>43488</v>
      </c>
      <c r="B3184">
        <v>120717</v>
      </c>
      <c r="C3184" t="s">
        <v>222</v>
      </c>
      <c r="D3184" t="s">
        <v>3028</v>
      </c>
      <c r="E3184" s="2">
        <v>116.84</v>
      </c>
    </row>
    <row r="3185" spans="1:5" x14ac:dyDescent="0.25">
      <c r="A3185" s="1">
        <v>43488</v>
      </c>
      <c r="B3185">
        <v>120717</v>
      </c>
      <c r="C3185" t="s">
        <v>222</v>
      </c>
      <c r="D3185" t="s">
        <v>2696</v>
      </c>
      <c r="E3185" s="2">
        <v>32.07</v>
      </c>
    </row>
    <row r="3186" spans="1:5" x14ac:dyDescent="0.25">
      <c r="A3186" s="1">
        <v>43488</v>
      </c>
      <c r="B3186">
        <v>120717</v>
      </c>
      <c r="C3186" t="s">
        <v>222</v>
      </c>
      <c r="D3186" t="s">
        <v>3029</v>
      </c>
      <c r="E3186" s="2">
        <v>105.12</v>
      </c>
    </row>
    <row r="3187" spans="1:5" x14ac:dyDescent="0.25">
      <c r="A3187" s="1">
        <v>43488</v>
      </c>
      <c r="B3187">
        <v>120717</v>
      </c>
      <c r="C3187" t="s">
        <v>222</v>
      </c>
      <c r="D3187" t="s">
        <v>3030</v>
      </c>
      <c r="E3187" s="2">
        <v>125.34</v>
      </c>
    </row>
    <row r="3188" spans="1:5" x14ac:dyDescent="0.25">
      <c r="A3188" s="1">
        <v>43488</v>
      </c>
      <c r="B3188">
        <v>120717</v>
      </c>
      <c r="C3188" t="s">
        <v>222</v>
      </c>
      <c r="D3188" t="s">
        <v>3031</v>
      </c>
      <c r="E3188" s="2">
        <v>107.9</v>
      </c>
    </row>
    <row r="3189" spans="1:5" x14ac:dyDescent="0.25">
      <c r="A3189" s="1">
        <v>43488</v>
      </c>
      <c r="B3189">
        <v>120717</v>
      </c>
      <c r="C3189" t="s">
        <v>222</v>
      </c>
      <c r="D3189" t="s">
        <v>2283</v>
      </c>
      <c r="E3189" s="2">
        <v>101.19</v>
      </c>
    </row>
    <row r="3190" spans="1:5" x14ac:dyDescent="0.25">
      <c r="A3190" s="1">
        <v>43488</v>
      </c>
      <c r="B3190">
        <v>120717</v>
      </c>
      <c r="C3190" t="s">
        <v>222</v>
      </c>
      <c r="D3190" t="s">
        <v>3032</v>
      </c>
      <c r="E3190" s="2">
        <v>46.03</v>
      </c>
    </row>
    <row r="3191" spans="1:5" x14ac:dyDescent="0.25">
      <c r="A3191" s="1">
        <v>43488</v>
      </c>
      <c r="B3191">
        <v>120717</v>
      </c>
      <c r="C3191" t="s">
        <v>222</v>
      </c>
      <c r="D3191" t="s">
        <v>3033</v>
      </c>
      <c r="E3191" s="2">
        <v>75.41</v>
      </c>
    </row>
    <row r="3192" spans="1:5" x14ac:dyDescent="0.25">
      <c r="A3192" s="1">
        <v>43488</v>
      </c>
      <c r="B3192">
        <v>120717</v>
      </c>
      <c r="C3192" t="s">
        <v>222</v>
      </c>
      <c r="D3192" t="s">
        <v>3034</v>
      </c>
      <c r="E3192" s="2">
        <v>48.2</v>
      </c>
    </row>
    <row r="3193" spans="1:5" x14ac:dyDescent="0.25">
      <c r="A3193" s="1">
        <v>43488</v>
      </c>
      <c r="B3193">
        <v>120717</v>
      </c>
      <c r="C3193" t="s">
        <v>222</v>
      </c>
      <c r="D3193" t="s">
        <v>3035</v>
      </c>
      <c r="E3193" s="2">
        <v>13.9</v>
      </c>
    </row>
    <row r="3194" spans="1:5" x14ac:dyDescent="0.25">
      <c r="A3194" s="1">
        <v>43488</v>
      </c>
      <c r="B3194">
        <v>120717</v>
      </c>
      <c r="C3194" t="s">
        <v>222</v>
      </c>
      <c r="D3194" t="s">
        <v>3036</v>
      </c>
      <c r="E3194" s="2">
        <v>32.46</v>
      </c>
    </row>
    <row r="3195" spans="1:5" x14ac:dyDescent="0.25">
      <c r="A3195" s="1">
        <v>43488</v>
      </c>
      <c r="B3195">
        <v>120717</v>
      </c>
      <c r="C3195" t="s">
        <v>222</v>
      </c>
      <c r="D3195" t="s">
        <v>2143</v>
      </c>
      <c r="E3195" s="2">
        <v>39.840000000000003</v>
      </c>
    </row>
    <row r="3196" spans="1:5" x14ac:dyDescent="0.25">
      <c r="A3196" s="1">
        <v>43488</v>
      </c>
      <c r="B3196">
        <v>120717</v>
      </c>
      <c r="C3196" t="s">
        <v>222</v>
      </c>
      <c r="D3196" t="s">
        <v>2143</v>
      </c>
      <c r="E3196" s="2">
        <v>26.16</v>
      </c>
    </row>
    <row r="3197" spans="1:5" x14ac:dyDescent="0.25">
      <c r="A3197" s="1">
        <v>43488</v>
      </c>
      <c r="B3197">
        <v>120717</v>
      </c>
      <c r="C3197" t="s">
        <v>222</v>
      </c>
      <c r="D3197" t="s">
        <v>3037</v>
      </c>
      <c r="E3197" s="2">
        <v>17.87</v>
      </c>
    </row>
    <row r="3198" spans="1:5" x14ac:dyDescent="0.25">
      <c r="A3198" s="1">
        <v>43488</v>
      </c>
      <c r="B3198">
        <v>120717</v>
      </c>
      <c r="C3198" t="s">
        <v>222</v>
      </c>
      <c r="D3198" t="s">
        <v>3038</v>
      </c>
      <c r="E3198" s="2">
        <v>33.78</v>
      </c>
    </row>
    <row r="3199" spans="1:5" x14ac:dyDescent="0.25">
      <c r="A3199" s="1">
        <v>43488</v>
      </c>
      <c r="B3199">
        <v>120717</v>
      </c>
      <c r="C3199" t="s">
        <v>222</v>
      </c>
      <c r="D3199" t="s">
        <v>3038</v>
      </c>
      <c r="E3199" s="2">
        <v>13.12</v>
      </c>
    </row>
    <row r="3200" spans="1:5" x14ac:dyDescent="0.25">
      <c r="A3200" s="1">
        <v>43488</v>
      </c>
      <c r="B3200">
        <v>120717</v>
      </c>
      <c r="C3200" t="s">
        <v>222</v>
      </c>
      <c r="D3200" t="s">
        <v>3039</v>
      </c>
      <c r="E3200" s="2">
        <v>70.22</v>
      </c>
    </row>
    <row r="3201" spans="1:5" x14ac:dyDescent="0.25">
      <c r="A3201" s="1">
        <v>43488</v>
      </c>
      <c r="B3201">
        <v>120717</v>
      </c>
      <c r="C3201" t="s">
        <v>222</v>
      </c>
      <c r="D3201" t="s">
        <v>2143</v>
      </c>
      <c r="E3201" s="2">
        <v>21.32</v>
      </c>
    </row>
    <row r="3202" spans="1:5" x14ac:dyDescent="0.25">
      <c r="A3202" s="1">
        <v>43488</v>
      </c>
      <c r="B3202">
        <v>120717</v>
      </c>
      <c r="C3202" t="s">
        <v>222</v>
      </c>
      <c r="D3202" t="s">
        <v>3040</v>
      </c>
      <c r="E3202" s="2">
        <v>105.3</v>
      </c>
    </row>
    <row r="3203" spans="1:5" x14ac:dyDescent="0.25">
      <c r="A3203" s="1">
        <v>43488</v>
      </c>
      <c r="B3203">
        <v>120717</v>
      </c>
      <c r="C3203" t="s">
        <v>222</v>
      </c>
      <c r="D3203" t="s">
        <v>3026</v>
      </c>
      <c r="E3203" s="2">
        <v>17.88</v>
      </c>
    </row>
    <row r="3204" spans="1:5" x14ac:dyDescent="0.25">
      <c r="A3204" s="1">
        <v>43488</v>
      </c>
      <c r="B3204">
        <v>120717</v>
      </c>
      <c r="C3204" t="s">
        <v>222</v>
      </c>
      <c r="D3204" t="s">
        <v>3041</v>
      </c>
      <c r="E3204" s="2">
        <v>46.46</v>
      </c>
    </row>
    <row r="3205" spans="1:5" x14ac:dyDescent="0.25">
      <c r="A3205" s="1">
        <v>43488</v>
      </c>
      <c r="B3205">
        <v>120717</v>
      </c>
      <c r="C3205" t="s">
        <v>222</v>
      </c>
      <c r="D3205" t="s">
        <v>3042</v>
      </c>
      <c r="E3205" s="2">
        <v>203.65</v>
      </c>
    </row>
    <row r="3206" spans="1:5" x14ac:dyDescent="0.25">
      <c r="A3206" s="1">
        <v>43488</v>
      </c>
      <c r="B3206">
        <v>120717</v>
      </c>
      <c r="C3206" t="s">
        <v>222</v>
      </c>
      <c r="D3206" t="s">
        <v>3043</v>
      </c>
      <c r="E3206" s="2">
        <v>74.5</v>
      </c>
    </row>
    <row r="3207" spans="1:5" x14ac:dyDescent="0.25">
      <c r="A3207" s="1">
        <v>43488</v>
      </c>
      <c r="B3207">
        <v>120717</v>
      </c>
      <c r="C3207" t="s">
        <v>222</v>
      </c>
      <c r="D3207" t="s">
        <v>3044</v>
      </c>
      <c r="E3207" s="2">
        <v>223.43</v>
      </c>
    </row>
    <row r="3208" spans="1:5" x14ac:dyDescent="0.25">
      <c r="A3208" s="1">
        <v>43488</v>
      </c>
      <c r="B3208">
        <v>120717</v>
      </c>
      <c r="C3208" t="s">
        <v>222</v>
      </c>
      <c r="D3208" t="s">
        <v>3045</v>
      </c>
      <c r="E3208" s="2">
        <v>97</v>
      </c>
    </row>
    <row r="3209" spans="1:5" x14ac:dyDescent="0.25">
      <c r="A3209" s="1">
        <v>43488</v>
      </c>
      <c r="B3209">
        <v>181900170</v>
      </c>
      <c r="C3209" t="s">
        <v>2159</v>
      </c>
      <c r="D3209" t="s">
        <v>3046</v>
      </c>
      <c r="E3209" s="2">
        <v>65.2</v>
      </c>
    </row>
    <row r="3210" spans="1:5" x14ac:dyDescent="0.25">
      <c r="A3210" s="1">
        <v>43489</v>
      </c>
      <c r="B3210">
        <v>120718</v>
      </c>
      <c r="C3210" t="s">
        <v>938</v>
      </c>
      <c r="D3210" t="s">
        <v>3047</v>
      </c>
      <c r="E3210" s="2">
        <v>272.95</v>
      </c>
    </row>
    <row r="3211" spans="1:5" x14ac:dyDescent="0.25">
      <c r="A3211" s="1">
        <v>43489</v>
      </c>
      <c r="B3211">
        <v>120719</v>
      </c>
      <c r="C3211" t="s">
        <v>3048</v>
      </c>
      <c r="D3211" t="s">
        <v>3049</v>
      </c>
      <c r="E3211" s="2">
        <v>400</v>
      </c>
    </row>
    <row r="3212" spans="1:5" x14ac:dyDescent="0.25">
      <c r="A3212" s="1">
        <v>43489</v>
      </c>
      <c r="B3212">
        <v>120736</v>
      </c>
      <c r="C3212" t="s">
        <v>189</v>
      </c>
      <c r="D3212" t="s">
        <v>2334</v>
      </c>
      <c r="E3212" s="2">
        <v>16.760000000000002</v>
      </c>
    </row>
    <row r="3213" spans="1:5" x14ac:dyDescent="0.25">
      <c r="A3213" s="1">
        <v>43489</v>
      </c>
      <c r="B3213">
        <v>120736</v>
      </c>
      <c r="C3213" t="s">
        <v>189</v>
      </c>
      <c r="D3213" t="s">
        <v>3050</v>
      </c>
      <c r="E3213" s="2">
        <v>24.99</v>
      </c>
    </row>
    <row r="3214" spans="1:5" x14ac:dyDescent="0.25">
      <c r="A3214" s="1">
        <v>43489</v>
      </c>
      <c r="B3214">
        <v>120736</v>
      </c>
      <c r="C3214" t="s">
        <v>189</v>
      </c>
      <c r="D3214" t="s">
        <v>1224</v>
      </c>
      <c r="E3214" s="2">
        <v>180.49</v>
      </c>
    </row>
    <row r="3215" spans="1:5" x14ac:dyDescent="0.25">
      <c r="A3215" s="1">
        <v>43489</v>
      </c>
      <c r="B3215">
        <v>120736</v>
      </c>
      <c r="C3215" t="s">
        <v>189</v>
      </c>
      <c r="D3215" t="s">
        <v>1394</v>
      </c>
      <c r="E3215" s="2">
        <v>169</v>
      </c>
    </row>
    <row r="3216" spans="1:5" x14ac:dyDescent="0.25">
      <c r="A3216" s="1">
        <v>43489</v>
      </c>
      <c r="B3216">
        <v>120736</v>
      </c>
      <c r="C3216" t="s">
        <v>189</v>
      </c>
      <c r="D3216" t="s">
        <v>3051</v>
      </c>
      <c r="E3216" s="2">
        <v>82.77</v>
      </c>
    </row>
    <row r="3217" spans="1:5" x14ac:dyDescent="0.25">
      <c r="A3217" s="1">
        <v>43489</v>
      </c>
      <c r="B3217">
        <v>120736</v>
      </c>
      <c r="C3217" t="s">
        <v>189</v>
      </c>
      <c r="D3217" t="s">
        <v>3052</v>
      </c>
      <c r="E3217" s="2">
        <v>65.97</v>
      </c>
    </row>
    <row r="3218" spans="1:5" x14ac:dyDescent="0.25">
      <c r="A3218" s="1">
        <v>43489</v>
      </c>
      <c r="B3218">
        <v>120736</v>
      </c>
      <c r="C3218" t="s">
        <v>189</v>
      </c>
      <c r="D3218" t="s">
        <v>1224</v>
      </c>
      <c r="E3218" s="2">
        <v>7.98</v>
      </c>
    </row>
    <row r="3219" spans="1:5" x14ac:dyDescent="0.25">
      <c r="A3219" s="1">
        <v>43489</v>
      </c>
      <c r="B3219">
        <v>120736</v>
      </c>
      <c r="C3219" t="s">
        <v>189</v>
      </c>
      <c r="D3219" t="s">
        <v>2024</v>
      </c>
      <c r="E3219" s="2">
        <v>880.46</v>
      </c>
    </row>
    <row r="3220" spans="1:5" x14ac:dyDescent="0.25">
      <c r="A3220" s="1">
        <v>43489</v>
      </c>
      <c r="B3220">
        <v>120736</v>
      </c>
      <c r="C3220" t="s">
        <v>189</v>
      </c>
      <c r="D3220" t="s">
        <v>1224</v>
      </c>
      <c r="E3220" s="2">
        <v>12.2</v>
      </c>
    </row>
    <row r="3221" spans="1:5" x14ac:dyDescent="0.25">
      <c r="A3221" s="1">
        <v>43489</v>
      </c>
      <c r="B3221">
        <v>120736</v>
      </c>
      <c r="C3221" t="s">
        <v>189</v>
      </c>
      <c r="D3221" t="s">
        <v>1224</v>
      </c>
      <c r="E3221" s="2">
        <v>28.07</v>
      </c>
    </row>
    <row r="3222" spans="1:5" x14ac:dyDescent="0.25">
      <c r="A3222" s="1">
        <v>43489</v>
      </c>
      <c r="B3222">
        <v>120736</v>
      </c>
      <c r="C3222" t="s">
        <v>189</v>
      </c>
      <c r="D3222" t="s">
        <v>1428</v>
      </c>
      <c r="E3222" s="2">
        <v>78.17</v>
      </c>
    </row>
    <row r="3223" spans="1:5" x14ac:dyDescent="0.25">
      <c r="A3223" s="1">
        <v>43489</v>
      </c>
      <c r="B3223">
        <v>120736</v>
      </c>
      <c r="C3223" t="s">
        <v>189</v>
      </c>
      <c r="D3223" t="s">
        <v>3053</v>
      </c>
      <c r="E3223" s="2">
        <v>188.53</v>
      </c>
    </row>
    <row r="3224" spans="1:5" x14ac:dyDescent="0.25">
      <c r="A3224" s="1">
        <v>43489</v>
      </c>
      <c r="B3224">
        <v>120736</v>
      </c>
      <c r="C3224" t="s">
        <v>189</v>
      </c>
      <c r="D3224" t="s">
        <v>3054</v>
      </c>
      <c r="E3224" s="2">
        <v>169</v>
      </c>
    </row>
    <row r="3225" spans="1:5" x14ac:dyDescent="0.25">
      <c r="A3225" s="1">
        <v>43489</v>
      </c>
      <c r="B3225">
        <v>120736</v>
      </c>
      <c r="C3225" t="s">
        <v>189</v>
      </c>
      <c r="D3225" t="s">
        <v>3055</v>
      </c>
      <c r="E3225" s="2">
        <v>13.95</v>
      </c>
    </row>
    <row r="3226" spans="1:5" x14ac:dyDescent="0.25">
      <c r="A3226" s="1">
        <v>43489</v>
      </c>
      <c r="B3226">
        <v>120736</v>
      </c>
      <c r="C3226" t="s">
        <v>189</v>
      </c>
      <c r="D3226" t="s">
        <v>2024</v>
      </c>
      <c r="E3226" s="2">
        <v>17.75</v>
      </c>
    </row>
    <row r="3227" spans="1:5" x14ac:dyDescent="0.25">
      <c r="A3227" s="1">
        <v>43489</v>
      </c>
      <c r="B3227">
        <v>120736</v>
      </c>
      <c r="C3227" t="s">
        <v>189</v>
      </c>
      <c r="D3227" t="s">
        <v>3053</v>
      </c>
      <c r="E3227" s="2">
        <v>139.4</v>
      </c>
    </row>
    <row r="3228" spans="1:5" x14ac:dyDescent="0.25">
      <c r="A3228" s="1">
        <v>43489</v>
      </c>
      <c r="B3228">
        <v>120736</v>
      </c>
      <c r="C3228" t="s">
        <v>189</v>
      </c>
      <c r="D3228" t="s">
        <v>2024</v>
      </c>
      <c r="E3228" s="2">
        <v>91.91</v>
      </c>
    </row>
    <row r="3229" spans="1:5" x14ac:dyDescent="0.25">
      <c r="A3229" s="1">
        <v>43489</v>
      </c>
      <c r="B3229">
        <v>120736</v>
      </c>
      <c r="C3229" t="s">
        <v>189</v>
      </c>
      <c r="D3229" t="s">
        <v>1411</v>
      </c>
      <c r="E3229" s="2">
        <v>561.12</v>
      </c>
    </row>
    <row r="3230" spans="1:5" x14ac:dyDescent="0.25">
      <c r="A3230" s="1">
        <v>43489</v>
      </c>
      <c r="B3230">
        <v>120736</v>
      </c>
      <c r="C3230" t="s">
        <v>189</v>
      </c>
      <c r="D3230" t="s">
        <v>3053</v>
      </c>
      <c r="E3230" s="2">
        <v>6.8</v>
      </c>
    </row>
    <row r="3231" spans="1:5" x14ac:dyDescent="0.25">
      <c r="A3231" s="1">
        <v>43489</v>
      </c>
      <c r="B3231">
        <v>120736</v>
      </c>
      <c r="C3231" t="s">
        <v>189</v>
      </c>
      <c r="D3231" t="s">
        <v>3056</v>
      </c>
      <c r="E3231" s="2">
        <v>48.72</v>
      </c>
    </row>
    <row r="3232" spans="1:5" x14ac:dyDescent="0.25">
      <c r="A3232" s="1">
        <v>43489</v>
      </c>
      <c r="B3232">
        <v>120736</v>
      </c>
      <c r="C3232" t="s">
        <v>189</v>
      </c>
      <c r="D3232" t="s">
        <v>3056</v>
      </c>
      <c r="E3232" s="2">
        <v>94.04</v>
      </c>
    </row>
    <row r="3233" spans="1:5" x14ac:dyDescent="0.25">
      <c r="A3233" s="1">
        <v>43489</v>
      </c>
      <c r="B3233">
        <v>120736</v>
      </c>
      <c r="C3233" t="s">
        <v>189</v>
      </c>
      <c r="D3233" t="s">
        <v>3056</v>
      </c>
      <c r="E3233" s="2">
        <v>39.99</v>
      </c>
    </row>
    <row r="3234" spans="1:5" x14ac:dyDescent="0.25">
      <c r="A3234" s="1">
        <v>43489</v>
      </c>
      <c r="B3234">
        <v>120736</v>
      </c>
      <c r="C3234" t="s">
        <v>189</v>
      </c>
      <c r="D3234" t="s">
        <v>3057</v>
      </c>
      <c r="E3234" s="2">
        <v>159.97999999999999</v>
      </c>
    </row>
    <row r="3235" spans="1:5" x14ac:dyDescent="0.25">
      <c r="A3235" s="1">
        <v>43489</v>
      </c>
      <c r="B3235">
        <v>120736</v>
      </c>
      <c r="C3235" t="s">
        <v>189</v>
      </c>
      <c r="D3235" t="s">
        <v>1224</v>
      </c>
      <c r="E3235" s="2">
        <v>111.6</v>
      </c>
    </row>
    <row r="3236" spans="1:5" x14ac:dyDescent="0.25">
      <c r="A3236" s="1">
        <v>43489</v>
      </c>
      <c r="B3236">
        <v>120736</v>
      </c>
      <c r="C3236" t="s">
        <v>189</v>
      </c>
      <c r="D3236" t="s">
        <v>3058</v>
      </c>
      <c r="E3236" s="2">
        <v>84.95</v>
      </c>
    </row>
    <row r="3237" spans="1:5" x14ac:dyDescent="0.25">
      <c r="A3237" s="1">
        <v>43489</v>
      </c>
      <c r="B3237">
        <v>120736</v>
      </c>
      <c r="C3237" t="s">
        <v>189</v>
      </c>
      <c r="D3237" t="s">
        <v>3059</v>
      </c>
      <c r="E3237" s="2">
        <v>75.28</v>
      </c>
    </row>
    <row r="3238" spans="1:5" x14ac:dyDescent="0.25">
      <c r="A3238" s="1">
        <v>43489</v>
      </c>
      <c r="B3238">
        <v>120736</v>
      </c>
      <c r="C3238" t="s">
        <v>189</v>
      </c>
      <c r="D3238" t="s">
        <v>3056</v>
      </c>
      <c r="E3238" s="2">
        <v>123</v>
      </c>
    </row>
    <row r="3239" spans="1:5" x14ac:dyDescent="0.25">
      <c r="A3239" s="1">
        <v>43489</v>
      </c>
      <c r="B3239">
        <v>120736</v>
      </c>
      <c r="C3239" t="s">
        <v>189</v>
      </c>
      <c r="D3239" t="s">
        <v>3060</v>
      </c>
      <c r="E3239" s="2">
        <v>39.950000000000003</v>
      </c>
    </row>
    <row r="3240" spans="1:5" x14ac:dyDescent="0.25">
      <c r="A3240" s="1">
        <v>43489</v>
      </c>
      <c r="B3240">
        <v>120736</v>
      </c>
      <c r="C3240" t="s">
        <v>189</v>
      </c>
      <c r="D3240" t="s">
        <v>3061</v>
      </c>
      <c r="E3240" s="2">
        <v>35.99</v>
      </c>
    </row>
    <row r="3241" spans="1:5" x14ac:dyDescent="0.25">
      <c r="A3241" s="1">
        <v>43489</v>
      </c>
      <c r="B3241">
        <v>120736</v>
      </c>
      <c r="C3241" t="s">
        <v>189</v>
      </c>
      <c r="D3241" t="s">
        <v>3062</v>
      </c>
      <c r="E3241" s="2">
        <v>63.31</v>
      </c>
    </row>
    <row r="3242" spans="1:5" x14ac:dyDescent="0.25">
      <c r="A3242" s="1">
        <v>43489</v>
      </c>
      <c r="B3242">
        <v>120736</v>
      </c>
      <c r="C3242" t="s">
        <v>189</v>
      </c>
      <c r="D3242" t="s">
        <v>3063</v>
      </c>
      <c r="E3242" s="2">
        <v>699</v>
      </c>
    </row>
    <row r="3243" spans="1:5" x14ac:dyDescent="0.25">
      <c r="A3243" s="1">
        <v>43489</v>
      </c>
      <c r="B3243">
        <v>120736</v>
      </c>
      <c r="C3243" t="s">
        <v>189</v>
      </c>
      <c r="D3243" t="s">
        <v>1028</v>
      </c>
      <c r="E3243" s="2">
        <v>41.84</v>
      </c>
    </row>
    <row r="3244" spans="1:5" x14ac:dyDescent="0.25">
      <c r="A3244" s="1">
        <v>43489</v>
      </c>
      <c r="B3244">
        <v>120736</v>
      </c>
      <c r="C3244" t="s">
        <v>189</v>
      </c>
      <c r="D3244" t="s">
        <v>3064</v>
      </c>
      <c r="E3244" s="2">
        <v>108.97</v>
      </c>
    </row>
    <row r="3245" spans="1:5" x14ac:dyDescent="0.25">
      <c r="A3245" s="1">
        <v>43489</v>
      </c>
      <c r="B3245">
        <v>120736</v>
      </c>
      <c r="C3245" t="s">
        <v>189</v>
      </c>
      <c r="D3245" t="s">
        <v>3065</v>
      </c>
      <c r="E3245" s="2">
        <v>198</v>
      </c>
    </row>
    <row r="3246" spans="1:5" x14ac:dyDescent="0.25">
      <c r="A3246" s="1">
        <v>43489</v>
      </c>
      <c r="B3246">
        <v>120736</v>
      </c>
      <c r="C3246" t="s">
        <v>189</v>
      </c>
      <c r="D3246" t="s">
        <v>3066</v>
      </c>
      <c r="E3246" s="2">
        <v>69.98</v>
      </c>
    </row>
    <row r="3247" spans="1:5" x14ac:dyDescent="0.25">
      <c r="A3247" s="1">
        <v>43489</v>
      </c>
      <c r="B3247">
        <v>120736</v>
      </c>
      <c r="C3247" t="s">
        <v>189</v>
      </c>
      <c r="D3247" t="s">
        <v>1403</v>
      </c>
      <c r="E3247" s="2">
        <v>9.98</v>
      </c>
    </row>
    <row r="3248" spans="1:5" x14ac:dyDescent="0.25">
      <c r="A3248" s="1">
        <v>43489</v>
      </c>
      <c r="B3248">
        <v>120736</v>
      </c>
      <c r="C3248" t="s">
        <v>189</v>
      </c>
      <c r="D3248" t="s">
        <v>3067</v>
      </c>
      <c r="E3248" s="2">
        <v>219.99</v>
      </c>
    </row>
    <row r="3249" spans="1:5" x14ac:dyDescent="0.25">
      <c r="A3249" s="1">
        <v>43489</v>
      </c>
      <c r="B3249">
        <v>120736</v>
      </c>
      <c r="C3249" t="s">
        <v>189</v>
      </c>
      <c r="D3249" t="s">
        <v>3068</v>
      </c>
      <c r="E3249" s="2">
        <v>44.4</v>
      </c>
    </row>
    <row r="3250" spans="1:5" x14ac:dyDescent="0.25">
      <c r="A3250" s="1">
        <v>43489</v>
      </c>
      <c r="B3250">
        <v>120736</v>
      </c>
      <c r="C3250" t="s">
        <v>189</v>
      </c>
      <c r="D3250" t="s">
        <v>3069</v>
      </c>
      <c r="E3250" s="2">
        <v>70.489999999999995</v>
      </c>
    </row>
    <row r="3251" spans="1:5" x14ac:dyDescent="0.25">
      <c r="A3251" s="1">
        <v>43489</v>
      </c>
      <c r="B3251">
        <v>120736</v>
      </c>
      <c r="C3251" t="s">
        <v>189</v>
      </c>
      <c r="D3251" t="s">
        <v>3068</v>
      </c>
      <c r="E3251" s="2">
        <v>9.99</v>
      </c>
    </row>
    <row r="3252" spans="1:5" x14ac:dyDescent="0.25">
      <c r="A3252" s="1">
        <v>43489</v>
      </c>
      <c r="B3252">
        <v>120736</v>
      </c>
      <c r="C3252" t="s">
        <v>189</v>
      </c>
      <c r="D3252" t="s">
        <v>3070</v>
      </c>
      <c r="E3252" s="2">
        <v>282.23</v>
      </c>
    </row>
    <row r="3253" spans="1:5" x14ac:dyDescent="0.25">
      <c r="A3253" s="1">
        <v>43489</v>
      </c>
      <c r="B3253">
        <v>120736</v>
      </c>
      <c r="C3253" t="s">
        <v>189</v>
      </c>
      <c r="D3253" t="s">
        <v>2364</v>
      </c>
      <c r="E3253" s="2">
        <v>73.25</v>
      </c>
    </row>
    <row r="3254" spans="1:5" x14ac:dyDescent="0.25">
      <c r="A3254" s="1">
        <v>43489</v>
      </c>
      <c r="B3254">
        <v>120736</v>
      </c>
      <c r="C3254" t="s">
        <v>189</v>
      </c>
      <c r="D3254" t="s">
        <v>1224</v>
      </c>
      <c r="E3254" s="2">
        <v>60.86</v>
      </c>
    </row>
    <row r="3255" spans="1:5" x14ac:dyDescent="0.25">
      <c r="A3255" s="1">
        <v>43489</v>
      </c>
      <c r="B3255">
        <v>120736</v>
      </c>
      <c r="C3255" t="s">
        <v>189</v>
      </c>
      <c r="D3255" t="s">
        <v>3071</v>
      </c>
      <c r="E3255" s="2">
        <v>13.92</v>
      </c>
    </row>
    <row r="3256" spans="1:5" x14ac:dyDescent="0.25">
      <c r="A3256" s="1">
        <v>43489</v>
      </c>
      <c r="B3256">
        <v>120736</v>
      </c>
      <c r="C3256" t="s">
        <v>189</v>
      </c>
      <c r="D3256" t="s">
        <v>3071</v>
      </c>
      <c r="E3256" s="2">
        <v>44.1</v>
      </c>
    </row>
    <row r="3257" spans="1:5" x14ac:dyDescent="0.25">
      <c r="A3257" s="1">
        <v>43489</v>
      </c>
      <c r="B3257">
        <v>120736</v>
      </c>
      <c r="C3257" t="s">
        <v>189</v>
      </c>
      <c r="D3257" t="s">
        <v>3071</v>
      </c>
      <c r="E3257" s="2">
        <v>39.99</v>
      </c>
    </row>
    <row r="3258" spans="1:5" x14ac:dyDescent="0.25">
      <c r="A3258" s="1">
        <v>43489</v>
      </c>
      <c r="B3258">
        <v>120736</v>
      </c>
      <c r="C3258" t="s">
        <v>189</v>
      </c>
      <c r="D3258" t="s">
        <v>3072</v>
      </c>
      <c r="E3258" s="2">
        <v>130.65</v>
      </c>
    </row>
    <row r="3259" spans="1:5" x14ac:dyDescent="0.25">
      <c r="A3259" s="1">
        <v>43489</v>
      </c>
      <c r="B3259">
        <v>120736</v>
      </c>
      <c r="C3259" t="s">
        <v>189</v>
      </c>
      <c r="D3259" t="s">
        <v>3073</v>
      </c>
      <c r="E3259" s="2">
        <v>371.96</v>
      </c>
    </row>
    <row r="3260" spans="1:5" x14ac:dyDescent="0.25">
      <c r="A3260" s="1">
        <v>43489</v>
      </c>
      <c r="B3260">
        <v>120736</v>
      </c>
      <c r="C3260" t="s">
        <v>189</v>
      </c>
      <c r="D3260" t="s">
        <v>3074</v>
      </c>
      <c r="E3260" s="2">
        <v>599</v>
      </c>
    </row>
    <row r="3261" spans="1:5" x14ac:dyDescent="0.25">
      <c r="A3261" s="1">
        <v>43489</v>
      </c>
      <c r="B3261">
        <v>120736</v>
      </c>
      <c r="C3261" t="s">
        <v>189</v>
      </c>
      <c r="D3261" t="s">
        <v>3075</v>
      </c>
      <c r="E3261" s="2">
        <v>10.28</v>
      </c>
    </row>
    <row r="3262" spans="1:5" x14ac:dyDescent="0.25">
      <c r="A3262" s="1">
        <v>43489</v>
      </c>
      <c r="B3262">
        <v>120736</v>
      </c>
      <c r="C3262" t="s">
        <v>189</v>
      </c>
      <c r="D3262" t="s">
        <v>3073</v>
      </c>
      <c r="E3262" s="2">
        <v>21.79</v>
      </c>
    </row>
    <row r="3263" spans="1:5" x14ac:dyDescent="0.25">
      <c r="A3263" s="1">
        <v>43489</v>
      </c>
      <c r="B3263">
        <v>120736</v>
      </c>
      <c r="C3263" t="s">
        <v>189</v>
      </c>
      <c r="D3263" t="s">
        <v>1028</v>
      </c>
      <c r="E3263" s="2">
        <v>332.28</v>
      </c>
    </row>
    <row r="3264" spans="1:5" x14ac:dyDescent="0.25">
      <c r="A3264" s="1">
        <v>43489</v>
      </c>
      <c r="B3264">
        <v>120736</v>
      </c>
      <c r="C3264" t="s">
        <v>189</v>
      </c>
      <c r="D3264" t="s">
        <v>3076</v>
      </c>
      <c r="E3264" s="2">
        <v>69.989999999999995</v>
      </c>
    </row>
    <row r="3265" spans="1:5" x14ac:dyDescent="0.25">
      <c r="A3265" s="1">
        <v>43489</v>
      </c>
      <c r="B3265">
        <v>120736</v>
      </c>
      <c r="C3265" t="s">
        <v>189</v>
      </c>
      <c r="D3265" t="s">
        <v>3077</v>
      </c>
      <c r="E3265" s="2">
        <v>359.6</v>
      </c>
    </row>
    <row r="3266" spans="1:5" x14ac:dyDescent="0.25">
      <c r="A3266" s="1">
        <v>43489</v>
      </c>
      <c r="B3266">
        <v>120736</v>
      </c>
      <c r="C3266" t="s">
        <v>189</v>
      </c>
      <c r="D3266" t="s">
        <v>3062</v>
      </c>
      <c r="E3266" s="2">
        <v>242.37</v>
      </c>
    </row>
    <row r="3267" spans="1:5" x14ac:dyDescent="0.25">
      <c r="A3267" s="1">
        <v>43489</v>
      </c>
      <c r="B3267">
        <v>120736</v>
      </c>
      <c r="C3267" t="s">
        <v>189</v>
      </c>
      <c r="D3267" t="s">
        <v>3078</v>
      </c>
      <c r="E3267" s="2">
        <v>17.68</v>
      </c>
    </row>
    <row r="3268" spans="1:5" x14ac:dyDescent="0.25">
      <c r="A3268" s="1">
        <v>43489</v>
      </c>
      <c r="B3268">
        <v>120736</v>
      </c>
      <c r="C3268" t="s">
        <v>189</v>
      </c>
      <c r="D3268" t="s">
        <v>3071</v>
      </c>
      <c r="E3268" s="2">
        <v>75.05</v>
      </c>
    </row>
    <row r="3269" spans="1:5" x14ac:dyDescent="0.25">
      <c r="A3269" s="1">
        <v>43489</v>
      </c>
      <c r="B3269">
        <v>120736</v>
      </c>
      <c r="C3269" t="s">
        <v>189</v>
      </c>
      <c r="D3269" t="s">
        <v>3079</v>
      </c>
      <c r="E3269" s="2">
        <v>36.97</v>
      </c>
    </row>
    <row r="3270" spans="1:5" x14ac:dyDescent="0.25">
      <c r="A3270" s="1">
        <v>43489</v>
      </c>
      <c r="B3270">
        <v>120736</v>
      </c>
      <c r="C3270" t="s">
        <v>189</v>
      </c>
      <c r="D3270" t="s">
        <v>3080</v>
      </c>
      <c r="E3270" s="2">
        <v>320.29000000000002</v>
      </c>
    </row>
    <row r="3271" spans="1:5" x14ac:dyDescent="0.25">
      <c r="A3271" s="1">
        <v>43489</v>
      </c>
      <c r="B3271">
        <v>120736</v>
      </c>
      <c r="C3271" t="s">
        <v>189</v>
      </c>
      <c r="D3271" t="s">
        <v>3081</v>
      </c>
      <c r="E3271" s="2">
        <v>5.29</v>
      </c>
    </row>
    <row r="3272" spans="1:5" x14ac:dyDescent="0.25">
      <c r="A3272" s="1">
        <v>43489</v>
      </c>
      <c r="B3272">
        <v>120736</v>
      </c>
      <c r="C3272" t="s">
        <v>189</v>
      </c>
      <c r="D3272" t="s">
        <v>3065</v>
      </c>
      <c r="E3272" s="2">
        <v>1225.1300000000001</v>
      </c>
    </row>
    <row r="3273" spans="1:5" x14ac:dyDescent="0.25">
      <c r="A3273" s="1">
        <v>43489</v>
      </c>
      <c r="B3273">
        <v>120736</v>
      </c>
      <c r="C3273" t="s">
        <v>189</v>
      </c>
      <c r="D3273" t="s">
        <v>3082</v>
      </c>
      <c r="E3273" s="2">
        <v>53.98</v>
      </c>
    </row>
    <row r="3274" spans="1:5" x14ac:dyDescent="0.25">
      <c r="A3274" s="1">
        <v>43489</v>
      </c>
      <c r="B3274">
        <v>120736</v>
      </c>
      <c r="C3274" t="s">
        <v>189</v>
      </c>
      <c r="D3274" t="s">
        <v>3083</v>
      </c>
      <c r="E3274" s="2">
        <v>27.94</v>
      </c>
    </row>
    <row r="3275" spans="1:5" x14ac:dyDescent="0.25">
      <c r="A3275" s="1">
        <v>43489</v>
      </c>
      <c r="B3275">
        <v>120736</v>
      </c>
      <c r="C3275" t="s">
        <v>189</v>
      </c>
      <c r="D3275" t="s">
        <v>3083</v>
      </c>
      <c r="E3275" s="2">
        <v>38.979999999999997</v>
      </c>
    </row>
    <row r="3276" spans="1:5" x14ac:dyDescent="0.25">
      <c r="A3276" s="1">
        <v>43489</v>
      </c>
      <c r="B3276">
        <v>120736</v>
      </c>
      <c r="C3276" t="s">
        <v>189</v>
      </c>
      <c r="D3276" t="s">
        <v>3084</v>
      </c>
      <c r="E3276" s="2">
        <v>76.08</v>
      </c>
    </row>
    <row r="3277" spans="1:5" x14ac:dyDescent="0.25">
      <c r="A3277" s="1">
        <v>43489</v>
      </c>
      <c r="B3277">
        <v>120736</v>
      </c>
      <c r="C3277" t="s">
        <v>189</v>
      </c>
      <c r="D3277" t="s">
        <v>3081</v>
      </c>
      <c r="E3277" s="2">
        <v>256.89</v>
      </c>
    </row>
    <row r="3278" spans="1:5" x14ac:dyDescent="0.25">
      <c r="A3278" s="1">
        <v>43489</v>
      </c>
      <c r="B3278">
        <v>120736</v>
      </c>
      <c r="C3278" t="s">
        <v>189</v>
      </c>
      <c r="D3278" t="s">
        <v>3083</v>
      </c>
      <c r="E3278" s="2">
        <v>222.37</v>
      </c>
    </row>
    <row r="3279" spans="1:5" x14ac:dyDescent="0.25">
      <c r="A3279" s="1">
        <v>43489</v>
      </c>
      <c r="B3279">
        <v>120736</v>
      </c>
      <c r="C3279" t="s">
        <v>189</v>
      </c>
      <c r="D3279" t="s">
        <v>3085</v>
      </c>
      <c r="E3279" s="2">
        <v>36.950000000000003</v>
      </c>
    </row>
    <row r="3280" spans="1:5" x14ac:dyDescent="0.25">
      <c r="A3280" s="1">
        <v>43489</v>
      </c>
      <c r="B3280">
        <v>120736</v>
      </c>
      <c r="C3280" t="s">
        <v>189</v>
      </c>
      <c r="D3280" t="s">
        <v>3086</v>
      </c>
      <c r="E3280" s="2">
        <v>71.64</v>
      </c>
    </row>
    <row r="3281" spans="1:5" x14ac:dyDescent="0.25">
      <c r="A3281" s="1">
        <v>43489</v>
      </c>
      <c r="B3281">
        <v>120736</v>
      </c>
      <c r="C3281" t="s">
        <v>189</v>
      </c>
      <c r="D3281" t="s">
        <v>3087</v>
      </c>
      <c r="E3281" s="2">
        <v>68.489999999999995</v>
      </c>
    </row>
    <row r="3282" spans="1:5" x14ac:dyDescent="0.25">
      <c r="A3282" s="1">
        <v>43489</v>
      </c>
      <c r="B3282">
        <v>120736</v>
      </c>
      <c r="C3282" t="s">
        <v>189</v>
      </c>
      <c r="D3282" t="s">
        <v>3065</v>
      </c>
      <c r="E3282" s="2">
        <v>171.25</v>
      </c>
    </row>
    <row r="3283" spans="1:5" x14ac:dyDescent="0.25">
      <c r="A3283" s="1">
        <v>43489</v>
      </c>
      <c r="B3283">
        <v>120736</v>
      </c>
      <c r="C3283" t="s">
        <v>189</v>
      </c>
      <c r="D3283" t="s">
        <v>3081</v>
      </c>
      <c r="E3283" s="2">
        <v>260.33</v>
      </c>
    </row>
    <row r="3284" spans="1:5" x14ac:dyDescent="0.25">
      <c r="A3284" s="1">
        <v>43489</v>
      </c>
      <c r="B3284">
        <v>120736</v>
      </c>
      <c r="C3284" t="s">
        <v>189</v>
      </c>
      <c r="D3284" t="s">
        <v>3081</v>
      </c>
      <c r="E3284" s="2">
        <v>47.03</v>
      </c>
    </row>
    <row r="3285" spans="1:5" x14ac:dyDescent="0.25">
      <c r="A3285" s="1">
        <v>43489</v>
      </c>
      <c r="B3285">
        <v>120736</v>
      </c>
      <c r="C3285" t="s">
        <v>189</v>
      </c>
      <c r="D3285" t="s">
        <v>3088</v>
      </c>
      <c r="E3285" s="2">
        <v>189.15</v>
      </c>
    </row>
    <row r="3286" spans="1:5" x14ac:dyDescent="0.25">
      <c r="A3286" s="1">
        <v>43489</v>
      </c>
      <c r="B3286">
        <v>120736</v>
      </c>
      <c r="C3286" t="s">
        <v>189</v>
      </c>
      <c r="D3286" t="s">
        <v>1486</v>
      </c>
      <c r="E3286" s="2">
        <v>69.89</v>
      </c>
    </row>
    <row r="3287" spans="1:5" x14ac:dyDescent="0.25">
      <c r="A3287" s="1">
        <v>43489</v>
      </c>
      <c r="B3287">
        <v>120736</v>
      </c>
      <c r="C3287" t="s">
        <v>189</v>
      </c>
      <c r="D3287" t="s">
        <v>2318</v>
      </c>
      <c r="E3287" s="2">
        <v>95.23</v>
      </c>
    </row>
    <row r="3288" spans="1:5" x14ac:dyDescent="0.25">
      <c r="A3288" s="1">
        <v>43489</v>
      </c>
      <c r="B3288">
        <v>120736</v>
      </c>
      <c r="C3288" t="s">
        <v>189</v>
      </c>
      <c r="D3288" t="s">
        <v>3089</v>
      </c>
      <c r="E3288" s="2">
        <v>74.040000000000006</v>
      </c>
    </row>
    <row r="3289" spans="1:5" x14ac:dyDescent="0.25">
      <c r="A3289" s="1">
        <v>43489</v>
      </c>
      <c r="B3289">
        <v>120736</v>
      </c>
      <c r="C3289" t="s">
        <v>189</v>
      </c>
      <c r="D3289" t="s">
        <v>3090</v>
      </c>
      <c r="E3289" s="2">
        <v>44.22</v>
      </c>
    </row>
    <row r="3290" spans="1:5" x14ac:dyDescent="0.25">
      <c r="A3290" s="1">
        <v>43489</v>
      </c>
      <c r="B3290">
        <v>120736</v>
      </c>
      <c r="C3290" t="s">
        <v>189</v>
      </c>
      <c r="D3290" t="s">
        <v>3081</v>
      </c>
      <c r="E3290" s="2">
        <v>48.48</v>
      </c>
    </row>
    <row r="3291" spans="1:5" x14ac:dyDescent="0.25">
      <c r="A3291" s="1">
        <v>43489</v>
      </c>
      <c r="B3291">
        <v>120736</v>
      </c>
      <c r="C3291" t="s">
        <v>189</v>
      </c>
      <c r="D3291" t="s">
        <v>3091</v>
      </c>
      <c r="E3291" s="2">
        <v>435.26</v>
      </c>
    </row>
    <row r="3292" spans="1:5" x14ac:dyDescent="0.25">
      <c r="A3292" s="1">
        <v>43489</v>
      </c>
      <c r="B3292">
        <v>120736</v>
      </c>
      <c r="C3292" t="s">
        <v>189</v>
      </c>
      <c r="D3292" t="s">
        <v>3081</v>
      </c>
      <c r="E3292" s="2">
        <v>19.95</v>
      </c>
    </row>
    <row r="3293" spans="1:5" x14ac:dyDescent="0.25">
      <c r="A3293" s="1">
        <v>43489</v>
      </c>
      <c r="B3293">
        <v>120736</v>
      </c>
      <c r="C3293" t="s">
        <v>189</v>
      </c>
      <c r="D3293" t="s">
        <v>3081</v>
      </c>
      <c r="E3293" s="2">
        <v>177.55</v>
      </c>
    </row>
    <row r="3294" spans="1:5" x14ac:dyDescent="0.25">
      <c r="A3294" s="1">
        <v>43489</v>
      </c>
      <c r="B3294">
        <v>120736</v>
      </c>
      <c r="C3294" t="s">
        <v>189</v>
      </c>
      <c r="D3294" t="s">
        <v>3092</v>
      </c>
      <c r="E3294" s="2">
        <v>69.900000000000006</v>
      </c>
    </row>
    <row r="3295" spans="1:5" x14ac:dyDescent="0.25">
      <c r="A3295" s="1">
        <v>43489</v>
      </c>
      <c r="B3295">
        <v>120736</v>
      </c>
      <c r="C3295" t="s">
        <v>189</v>
      </c>
      <c r="D3295" t="s">
        <v>3093</v>
      </c>
      <c r="E3295" s="2">
        <v>80.77</v>
      </c>
    </row>
    <row r="3296" spans="1:5" x14ac:dyDescent="0.25">
      <c r="A3296" s="1">
        <v>43489</v>
      </c>
      <c r="B3296">
        <v>120736</v>
      </c>
      <c r="C3296" t="s">
        <v>189</v>
      </c>
      <c r="D3296" t="s">
        <v>3062</v>
      </c>
      <c r="E3296" s="2">
        <v>88.39</v>
      </c>
    </row>
    <row r="3297" spans="1:5" x14ac:dyDescent="0.25">
      <c r="A3297" s="1">
        <v>43489</v>
      </c>
      <c r="B3297">
        <v>120736</v>
      </c>
      <c r="C3297" t="s">
        <v>189</v>
      </c>
      <c r="D3297" t="s">
        <v>416</v>
      </c>
      <c r="E3297" s="3">
        <v>-754.92</v>
      </c>
    </row>
    <row r="3298" spans="1:5" x14ac:dyDescent="0.25">
      <c r="A3298" s="1">
        <v>43489</v>
      </c>
      <c r="B3298">
        <v>120736</v>
      </c>
      <c r="C3298" t="s">
        <v>189</v>
      </c>
      <c r="D3298" t="s">
        <v>416</v>
      </c>
      <c r="E3298" s="3">
        <v>-17.95</v>
      </c>
    </row>
    <row r="3299" spans="1:5" x14ac:dyDescent="0.25">
      <c r="A3299" s="1">
        <v>43489</v>
      </c>
      <c r="B3299">
        <v>120736</v>
      </c>
      <c r="C3299" t="s">
        <v>189</v>
      </c>
      <c r="D3299" t="s">
        <v>416</v>
      </c>
      <c r="E3299" s="3">
        <v>-3.99</v>
      </c>
    </row>
    <row r="3300" spans="1:5" x14ac:dyDescent="0.25">
      <c r="A3300" s="1">
        <v>43489</v>
      </c>
      <c r="B3300">
        <v>120736</v>
      </c>
      <c r="C3300" t="s">
        <v>189</v>
      </c>
      <c r="D3300" t="s">
        <v>764</v>
      </c>
      <c r="E3300" s="3">
        <v>-53.98</v>
      </c>
    </row>
    <row r="3301" spans="1:5" x14ac:dyDescent="0.25">
      <c r="A3301" s="1">
        <v>43489</v>
      </c>
      <c r="B3301">
        <v>120736</v>
      </c>
      <c r="C3301" t="s">
        <v>189</v>
      </c>
      <c r="D3301" t="s">
        <v>1224</v>
      </c>
      <c r="E3301" s="2">
        <v>45.47</v>
      </c>
    </row>
    <row r="3302" spans="1:5" x14ac:dyDescent="0.25">
      <c r="A3302" s="1">
        <v>43489</v>
      </c>
      <c r="B3302">
        <v>120736</v>
      </c>
      <c r="C3302" t="s">
        <v>189</v>
      </c>
      <c r="D3302" t="s">
        <v>3081</v>
      </c>
      <c r="E3302" s="2">
        <v>198.43</v>
      </c>
    </row>
    <row r="3303" spans="1:5" x14ac:dyDescent="0.25">
      <c r="A3303" s="1">
        <v>43489</v>
      </c>
      <c r="B3303">
        <v>120736</v>
      </c>
      <c r="C3303" t="s">
        <v>189</v>
      </c>
      <c r="D3303" t="s">
        <v>3081</v>
      </c>
      <c r="E3303" s="2">
        <v>464.01</v>
      </c>
    </row>
    <row r="3304" spans="1:5" x14ac:dyDescent="0.25">
      <c r="A3304" s="1">
        <v>43489</v>
      </c>
      <c r="B3304">
        <v>120736</v>
      </c>
      <c r="C3304" t="s">
        <v>189</v>
      </c>
      <c r="D3304" t="s">
        <v>3081</v>
      </c>
      <c r="E3304" s="2">
        <v>18.36</v>
      </c>
    </row>
    <row r="3305" spans="1:5" x14ac:dyDescent="0.25">
      <c r="A3305" s="1">
        <v>43489</v>
      </c>
      <c r="B3305">
        <v>120736</v>
      </c>
      <c r="C3305" t="s">
        <v>189</v>
      </c>
      <c r="D3305" t="s">
        <v>3094</v>
      </c>
      <c r="E3305" s="2">
        <v>210.45</v>
      </c>
    </row>
    <row r="3306" spans="1:5" x14ac:dyDescent="0.25">
      <c r="A3306" s="1">
        <v>43489</v>
      </c>
      <c r="B3306">
        <v>120737</v>
      </c>
      <c r="C3306" t="s">
        <v>3095</v>
      </c>
      <c r="D3306" t="s">
        <v>3096</v>
      </c>
      <c r="E3306" s="2">
        <v>135.31</v>
      </c>
    </row>
    <row r="3307" spans="1:5" x14ac:dyDescent="0.25">
      <c r="A3307" s="1">
        <v>43489</v>
      </c>
      <c r="B3307">
        <v>120738</v>
      </c>
      <c r="C3307" t="s">
        <v>235</v>
      </c>
      <c r="D3307" t="s">
        <v>3097</v>
      </c>
      <c r="E3307" s="2">
        <v>300</v>
      </c>
    </row>
    <row r="3308" spans="1:5" x14ac:dyDescent="0.25">
      <c r="A3308" s="1">
        <v>43489</v>
      </c>
      <c r="B3308">
        <v>120739</v>
      </c>
      <c r="C3308" t="s">
        <v>22</v>
      </c>
      <c r="D3308" t="s">
        <v>1985</v>
      </c>
      <c r="E3308" s="2">
        <v>39.03</v>
      </c>
    </row>
    <row r="3309" spans="1:5" x14ac:dyDescent="0.25">
      <c r="A3309" s="1">
        <v>43489</v>
      </c>
      <c r="B3309">
        <v>120740</v>
      </c>
      <c r="C3309" t="s">
        <v>238</v>
      </c>
      <c r="D3309" t="s">
        <v>437</v>
      </c>
      <c r="E3309" s="2">
        <v>3495.99</v>
      </c>
    </row>
    <row r="3310" spans="1:5" x14ac:dyDescent="0.25">
      <c r="A3310" s="1">
        <v>43489</v>
      </c>
      <c r="B3310">
        <v>120741</v>
      </c>
      <c r="C3310" t="s">
        <v>343</v>
      </c>
      <c r="D3310" t="s">
        <v>3098</v>
      </c>
      <c r="E3310" s="2">
        <v>42</v>
      </c>
    </row>
    <row r="3311" spans="1:5" x14ac:dyDescent="0.25">
      <c r="A3311" s="1">
        <v>43489</v>
      </c>
      <c r="B3311">
        <v>120742</v>
      </c>
      <c r="C3311" t="s">
        <v>102</v>
      </c>
      <c r="D3311" t="s">
        <v>3099</v>
      </c>
      <c r="E3311" s="2">
        <v>260</v>
      </c>
    </row>
    <row r="3312" spans="1:5" x14ac:dyDescent="0.25">
      <c r="A3312" s="1">
        <v>43489</v>
      </c>
      <c r="B3312">
        <v>120743</v>
      </c>
      <c r="C3312" t="s">
        <v>3100</v>
      </c>
      <c r="D3312" t="s">
        <v>3101</v>
      </c>
      <c r="E3312" s="2">
        <v>629.99</v>
      </c>
    </row>
    <row r="3313" spans="1:5" x14ac:dyDescent="0.25">
      <c r="A3313" s="1">
        <v>43489</v>
      </c>
      <c r="B3313">
        <v>120744</v>
      </c>
      <c r="C3313" t="s">
        <v>3102</v>
      </c>
      <c r="D3313" t="s">
        <v>3103</v>
      </c>
      <c r="E3313" s="2">
        <v>1500</v>
      </c>
    </row>
    <row r="3314" spans="1:5" x14ac:dyDescent="0.25">
      <c r="A3314" s="1">
        <v>43489</v>
      </c>
      <c r="B3314">
        <v>120745</v>
      </c>
      <c r="C3314" t="s">
        <v>3104</v>
      </c>
      <c r="D3314" t="s">
        <v>3105</v>
      </c>
      <c r="E3314" s="2">
        <v>195</v>
      </c>
    </row>
    <row r="3315" spans="1:5" x14ac:dyDescent="0.25">
      <c r="A3315" s="1">
        <v>43489</v>
      </c>
      <c r="B3315">
        <v>120746</v>
      </c>
      <c r="C3315" t="s">
        <v>662</v>
      </c>
      <c r="D3315" t="s">
        <v>3106</v>
      </c>
      <c r="E3315" s="2">
        <v>26.76</v>
      </c>
    </row>
    <row r="3316" spans="1:5" x14ac:dyDescent="0.25">
      <c r="A3316" s="1">
        <v>43489</v>
      </c>
      <c r="B3316">
        <v>120747</v>
      </c>
      <c r="C3316" t="s">
        <v>243</v>
      </c>
      <c r="D3316" t="s">
        <v>3107</v>
      </c>
      <c r="E3316" s="2">
        <v>200</v>
      </c>
    </row>
    <row r="3317" spans="1:5" x14ac:dyDescent="0.25">
      <c r="A3317" s="1">
        <v>43489</v>
      </c>
      <c r="B3317">
        <v>120747</v>
      </c>
      <c r="C3317" t="s">
        <v>243</v>
      </c>
      <c r="D3317" t="s">
        <v>3108</v>
      </c>
      <c r="E3317" s="2">
        <v>289.60000000000002</v>
      </c>
    </row>
    <row r="3318" spans="1:5" x14ac:dyDescent="0.25">
      <c r="A3318" s="1">
        <v>43489</v>
      </c>
      <c r="B3318">
        <v>120747</v>
      </c>
      <c r="C3318" t="s">
        <v>243</v>
      </c>
      <c r="D3318" t="s">
        <v>3108</v>
      </c>
      <c r="E3318" s="2">
        <v>2260</v>
      </c>
    </row>
    <row r="3319" spans="1:5" x14ac:dyDescent="0.25">
      <c r="A3319" s="1">
        <v>43489</v>
      </c>
      <c r="B3319">
        <v>120748</v>
      </c>
      <c r="C3319" t="s">
        <v>247</v>
      </c>
      <c r="D3319" t="s">
        <v>424</v>
      </c>
      <c r="E3319" s="2">
        <v>14152.01</v>
      </c>
    </row>
    <row r="3320" spans="1:5" x14ac:dyDescent="0.25">
      <c r="A3320" s="1">
        <v>43489</v>
      </c>
      <c r="B3320">
        <v>120750</v>
      </c>
      <c r="C3320" t="s">
        <v>106</v>
      </c>
      <c r="D3320" t="s">
        <v>424</v>
      </c>
      <c r="E3320" s="2">
        <v>3891.19</v>
      </c>
    </row>
    <row r="3321" spans="1:5" x14ac:dyDescent="0.25">
      <c r="A3321" s="1">
        <v>43489</v>
      </c>
      <c r="B3321">
        <v>120751</v>
      </c>
      <c r="C3321" t="s">
        <v>3109</v>
      </c>
      <c r="D3321" t="s">
        <v>3110</v>
      </c>
      <c r="E3321" s="2">
        <v>3600</v>
      </c>
    </row>
    <row r="3322" spans="1:5" x14ac:dyDescent="0.25">
      <c r="A3322" s="1">
        <v>43489</v>
      </c>
      <c r="B3322">
        <v>120752</v>
      </c>
      <c r="C3322" t="s">
        <v>837</v>
      </c>
      <c r="D3322" t="s">
        <v>3111</v>
      </c>
      <c r="E3322" s="2">
        <v>93.84</v>
      </c>
    </row>
    <row r="3323" spans="1:5" x14ac:dyDescent="0.25">
      <c r="A3323" s="1">
        <v>43489</v>
      </c>
      <c r="B3323">
        <v>120753</v>
      </c>
      <c r="C3323" t="s">
        <v>2737</v>
      </c>
      <c r="D3323" t="s">
        <v>3112</v>
      </c>
      <c r="E3323" s="2">
        <v>8799.3700000000008</v>
      </c>
    </row>
    <row r="3324" spans="1:5" x14ac:dyDescent="0.25">
      <c r="A3324" s="1">
        <v>43489</v>
      </c>
      <c r="B3324">
        <v>120754</v>
      </c>
      <c r="C3324" t="s">
        <v>2003</v>
      </c>
      <c r="D3324" t="s">
        <v>3113</v>
      </c>
      <c r="E3324" s="2">
        <v>1895</v>
      </c>
    </row>
    <row r="3325" spans="1:5" x14ac:dyDescent="0.25">
      <c r="A3325" s="1">
        <v>43489</v>
      </c>
      <c r="B3325">
        <v>120755</v>
      </c>
      <c r="C3325" t="s">
        <v>68</v>
      </c>
      <c r="D3325" t="s">
        <v>3114</v>
      </c>
      <c r="E3325" s="2">
        <v>199.48</v>
      </c>
    </row>
    <row r="3326" spans="1:5" x14ac:dyDescent="0.25">
      <c r="A3326" s="1">
        <v>43489</v>
      </c>
      <c r="B3326">
        <v>120755</v>
      </c>
      <c r="C3326" t="s">
        <v>68</v>
      </c>
      <c r="D3326" t="s">
        <v>3115</v>
      </c>
      <c r="E3326" s="2">
        <v>54.14</v>
      </c>
    </row>
    <row r="3327" spans="1:5" x14ac:dyDescent="0.25">
      <c r="A3327" s="1">
        <v>43489</v>
      </c>
      <c r="B3327">
        <v>120755</v>
      </c>
      <c r="C3327" t="s">
        <v>68</v>
      </c>
      <c r="D3327" t="s">
        <v>1486</v>
      </c>
      <c r="E3327" s="2">
        <v>88.34</v>
      </c>
    </row>
    <row r="3328" spans="1:5" x14ac:dyDescent="0.25">
      <c r="A3328" s="1">
        <v>43489</v>
      </c>
      <c r="B3328">
        <v>120755</v>
      </c>
      <c r="C3328" t="s">
        <v>68</v>
      </c>
      <c r="D3328" t="s">
        <v>3068</v>
      </c>
      <c r="E3328" s="2">
        <v>99.74</v>
      </c>
    </row>
    <row r="3329" spans="1:5" x14ac:dyDescent="0.25">
      <c r="A3329" s="1">
        <v>43489</v>
      </c>
      <c r="B3329">
        <v>120756</v>
      </c>
      <c r="C3329" t="s">
        <v>681</v>
      </c>
      <c r="D3329" t="s">
        <v>3116</v>
      </c>
      <c r="E3329" s="2">
        <v>109.22</v>
      </c>
    </row>
    <row r="3330" spans="1:5" x14ac:dyDescent="0.25">
      <c r="A3330" s="1">
        <v>43489</v>
      </c>
      <c r="B3330">
        <v>120757</v>
      </c>
      <c r="C3330" t="s">
        <v>357</v>
      </c>
      <c r="D3330" t="s">
        <v>3117</v>
      </c>
      <c r="E3330" s="2">
        <v>600</v>
      </c>
    </row>
    <row r="3331" spans="1:5" x14ac:dyDescent="0.25">
      <c r="A3331" s="1">
        <v>43489</v>
      </c>
      <c r="B3331">
        <v>120758</v>
      </c>
      <c r="C3331" t="s">
        <v>3118</v>
      </c>
      <c r="D3331" t="s">
        <v>3119</v>
      </c>
      <c r="E3331" s="2">
        <v>790</v>
      </c>
    </row>
    <row r="3332" spans="1:5" x14ac:dyDescent="0.25">
      <c r="A3332" s="1">
        <v>43489</v>
      </c>
      <c r="B3332">
        <v>120759</v>
      </c>
      <c r="C3332" t="s">
        <v>2378</v>
      </c>
      <c r="D3332" t="s">
        <v>464</v>
      </c>
      <c r="E3332" s="2">
        <v>375</v>
      </c>
    </row>
    <row r="3333" spans="1:5" x14ac:dyDescent="0.25">
      <c r="A3333" s="1">
        <v>43489</v>
      </c>
      <c r="B3333">
        <v>120760</v>
      </c>
      <c r="C3333" t="s">
        <v>3120</v>
      </c>
      <c r="D3333" t="s">
        <v>3121</v>
      </c>
      <c r="E3333" s="2">
        <v>66.52</v>
      </c>
    </row>
    <row r="3334" spans="1:5" x14ac:dyDescent="0.25">
      <c r="A3334" s="1">
        <v>43489</v>
      </c>
      <c r="B3334">
        <v>120761</v>
      </c>
      <c r="C3334" t="s">
        <v>361</v>
      </c>
      <c r="D3334" t="s">
        <v>3122</v>
      </c>
      <c r="E3334" s="2">
        <v>374.82</v>
      </c>
    </row>
    <row r="3335" spans="1:5" x14ac:dyDescent="0.25">
      <c r="A3335" s="1">
        <v>43489</v>
      </c>
      <c r="B3335">
        <v>120762</v>
      </c>
      <c r="C3335" t="s">
        <v>1452</v>
      </c>
      <c r="D3335" t="s">
        <v>3123</v>
      </c>
      <c r="E3335" s="2">
        <v>71.92</v>
      </c>
    </row>
    <row r="3336" spans="1:5" x14ac:dyDescent="0.25">
      <c r="A3336" s="1">
        <v>43489</v>
      </c>
      <c r="B3336">
        <v>120763</v>
      </c>
      <c r="C3336" t="s">
        <v>692</v>
      </c>
      <c r="D3336" t="s">
        <v>3124</v>
      </c>
      <c r="E3336" s="2">
        <v>85.98</v>
      </c>
    </row>
    <row r="3337" spans="1:5" x14ac:dyDescent="0.25">
      <c r="A3337" s="1">
        <v>43489</v>
      </c>
      <c r="B3337">
        <v>120763</v>
      </c>
      <c r="C3337" t="s">
        <v>692</v>
      </c>
      <c r="D3337" t="s">
        <v>3124</v>
      </c>
      <c r="E3337" s="2">
        <v>67.98</v>
      </c>
    </row>
    <row r="3338" spans="1:5" x14ac:dyDescent="0.25">
      <c r="A3338" s="1">
        <v>43489</v>
      </c>
      <c r="B3338">
        <v>120775</v>
      </c>
      <c r="C3338" t="s">
        <v>123</v>
      </c>
      <c r="D3338" t="s">
        <v>3125</v>
      </c>
      <c r="E3338" s="2">
        <v>79.2</v>
      </c>
    </row>
    <row r="3339" spans="1:5" x14ac:dyDescent="0.25">
      <c r="A3339" s="1">
        <v>43489</v>
      </c>
      <c r="B3339">
        <v>120775</v>
      </c>
      <c r="C3339" t="s">
        <v>123</v>
      </c>
      <c r="D3339" t="s">
        <v>3126</v>
      </c>
      <c r="E3339" s="2">
        <v>1012.86</v>
      </c>
    </row>
    <row r="3340" spans="1:5" x14ac:dyDescent="0.25">
      <c r="A3340" s="1">
        <v>43489</v>
      </c>
      <c r="B3340">
        <v>120775</v>
      </c>
      <c r="C3340" t="s">
        <v>123</v>
      </c>
      <c r="D3340" t="s">
        <v>3127</v>
      </c>
      <c r="E3340" s="2">
        <v>1004.64</v>
      </c>
    </row>
    <row r="3341" spans="1:5" x14ac:dyDescent="0.25">
      <c r="A3341" s="1">
        <v>43489</v>
      </c>
      <c r="B3341">
        <v>120775</v>
      </c>
      <c r="C3341" t="s">
        <v>123</v>
      </c>
      <c r="D3341" t="s">
        <v>3128</v>
      </c>
      <c r="E3341" s="2">
        <v>223.94</v>
      </c>
    </row>
    <row r="3342" spans="1:5" x14ac:dyDescent="0.25">
      <c r="A3342" s="1">
        <v>43489</v>
      </c>
      <c r="B3342">
        <v>120775</v>
      </c>
      <c r="C3342" t="s">
        <v>123</v>
      </c>
      <c r="D3342" t="s">
        <v>3128</v>
      </c>
      <c r="E3342" s="2">
        <v>275</v>
      </c>
    </row>
    <row r="3343" spans="1:5" x14ac:dyDescent="0.25">
      <c r="A3343" s="1">
        <v>43489</v>
      </c>
      <c r="B3343">
        <v>120775</v>
      </c>
      <c r="C3343" t="s">
        <v>123</v>
      </c>
      <c r="D3343" t="s">
        <v>3129</v>
      </c>
      <c r="E3343" s="2">
        <v>163.36000000000001</v>
      </c>
    </row>
    <row r="3344" spans="1:5" x14ac:dyDescent="0.25">
      <c r="A3344" s="1">
        <v>43489</v>
      </c>
      <c r="B3344">
        <v>120775</v>
      </c>
      <c r="C3344" t="s">
        <v>123</v>
      </c>
      <c r="D3344" t="s">
        <v>3130</v>
      </c>
      <c r="E3344" s="2">
        <v>510.5</v>
      </c>
    </row>
    <row r="3345" spans="1:5" x14ac:dyDescent="0.25">
      <c r="A3345" s="1">
        <v>43489</v>
      </c>
      <c r="B3345">
        <v>120775</v>
      </c>
      <c r="C3345" t="s">
        <v>123</v>
      </c>
      <c r="D3345" t="s">
        <v>3131</v>
      </c>
      <c r="E3345" s="2">
        <v>81.680000000000007</v>
      </c>
    </row>
    <row r="3346" spans="1:5" x14ac:dyDescent="0.25">
      <c r="A3346" s="1">
        <v>43489</v>
      </c>
      <c r="B3346">
        <v>120775</v>
      </c>
      <c r="C3346" t="s">
        <v>123</v>
      </c>
      <c r="D3346" t="s">
        <v>3131</v>
      </c>
      <c r="E3346" s="2">
        <v>306.3</v>
      </c>
    </row>
    <row r="3347" spans="1:5" x14ac:dyDescent="0.25">
      <c r="A3347" s="1">
        <v>43489</v>
      </c>
      <c r="B3347">
        <v>120775</v>
      </c>
      <c r="C3347" t="s">
        <v>123</v>
      </c>
      <c r="D3347" t="s">
        <v>3132</v>
      </c>
      <c r="E3347" s="2">
        <v>132.72999999999999</v>
      </c>
    </row>
    <row r="3348" spans="1:5" x14ac:dyDescent="0.25">
      <c r="A3348" s="1">
        <v>43489</v>
      </c>
      <c r="B3348">
        <v>120775</v>
      </c>
      <c r="C3348" t="s">
        <v>123</v>
      </c>
      <c r="D3348" t="s">
        <v>3133</v>
      </c>
      <c r="E3348" s="2">
        <v>81.680000000000007</v>
      </c>
    </row>
    <row r="3349" spans="1:5" x14ac:dyDescent="0.25">
      <c r="A3349" s="1">
        <v>43489</v>
      </c>
      <c r="B3349">
        <v>120775</v>
      </c>
      <c r="C3349" t="s">
        <v>123</v>
      </c>
      <c r="D3349" t="s">
        <v>3134</v>
      </c>
      <c r="E3349" s="2">
        <v>81.680000000000007</v>
      </c>
    </row>
    <row r="3350" spans="1:5" x14ac:dyDescent="0.25">
      <c r="A3350" s="1">
        <v>43489</v>
      </c>
      <c r="B3350">
        <v>120775</v>
      </c>
      <c r="C3350" t="s">
        <v>123</v>
      </c>
      <c r="D3350" t="s">
        <v>3135</v>
      </c>
      <c r="E3350" s="2">
        <v>214.41</v>
      </c>
    </row>
    <row r="3351" spans="1:5" x14ac:dyDescent="0.25">
      <c r="A3351" s="1">
        <v>43489</v>
      </c>
      <c r="B3351">
        <v>120775</v>
      </c>
      <c r="C3351" t="s">
        <v>123</v>
      </c>
      <c r="D3351" t="s">
        <v>1882</v>
      </c>
      <c r="E3351" s="2">
        <v>245.04</v>
      </c>
    </row>
    <row r="3352" spans="1:5" x14ac:dyDescent="0.25">
      <c r="A3352" s="1">
        <v>43489</v>
      </c>
      <c r="B3352">
        <v>120775</v>
      </c>
      <c r="C3352" t="s">
        <v>123</v>
      </c>
      <c r="D3352" t="s">
        <v>1882</v>
      </c>
      <c r="E3352" s="2">
        <v>81.680000000000007</v>
      </c>
    </row>
    <row r="3353" spans="1:5" x14ac:dyDescent="0.25">
      <c r="A3353" s="1">
        <v>43489</v>
      </c>
      <c r="B3353">
        <v>120775</v>
      </c>
      <c r="C3353" t="s">
        <v>123</v>
      </c>
      <c r="D3353" t="s">
        <v>1882</v>
      </c>
      <c r="E3353" s="2">
        <v>81.680000000000007</v>
      </c>
    </row>
    <row r="3354" spans="1:5" x14ac:dyDescent="0.25">
      <c r="A3354" s="1">
        <v>43489</v>
      </c>
      <c r="B3354">
        <v>120775</v>
      </c>
      <c r="C3354" t="s">
        <v>123</v>
      </c>
      <c r="D3354" t="s">
        <v>1882</v>
      </c>
      <c r="E3354" s="2">
        <v>245.04</v>
      </c>
    </row>
    <row r="3355" spans="1:5" x14ac:dyDescent="0.25">
      <c r="A3355" s="1">
        <v>43489</v>
      </c>
      <c r="B3355">
        <v>120775</v>
      </c>
      <c r="C3355" t="s">
        <v>123</v>
      </c>
      <c r="D3355" t="s">
        <v>3136</v>
      </c>
      <c r="E3355" s="2">
        <v>71.47</v>
      </c>
    </row>
    <row r="3356" spans="1:5" x14ac:dyDescent="0.25">
      <c r="A3356" s="1">
        <v>43489</v>
      </c>
      <c r="B3356">
        <v>120775</v>
      </c>
      <c r="C3356" t="s">
        <v>123</v>
      </c>
      <c r="D3356" t="s">
        <v>3137</v>
      </c>
      <c r="E3356" s="2">
        <v>163.36000000000001</v>
      </c>
    </row>
    <row r="3357" spans="1:5" x14ac:dyDescent="0.25">
      <c r="A3357" s="1">
        <v>43489</v>
      </c>
      <c r="B3357">
        <v>120775</v>
      </c>
      <c r="C3357" t="s">
        <v>123</v>
      </c>
      <c r="D3357" t="s">
        <v>3138</v>
      </c>
      <c r="E3357" s="2">
        <v>81.680000000000007</v>
      </c>
    </row>
    <row r="3358" spans="1:5" x14ac:dyDescent="0.25">
      <c r="A3358" s="1">
        <v>43489</v>
      </c>
      <c r="B3358">
        <v>120775</v>
      </c>
      <c r="C3358" t="s">
        <v>123</v>
      </c>
      <c r="D3358" t="s">
        <v>3139</v>
      </c>
      <c r="E3358" s="2">
        <v>408.4</v>
      </c>
    </row>
    <row r="3359" spans="1:5" x14ac:dyDescent="0.25">
      <c r="A3359" s="1">
        <v>43489</v>
      </c>
      <c r="B3359">
        <v>120775</v>
      </c>
      <c r="C3359" t="s">
        <v>123</v>
      </c>
      <c r="D3359" t="s">
        <v>3139</v>
      </c>
      <c r="E3359" s="2">
        <v>408.4</v>
      </c>
    </row>
    <row r="3360" spans="1:5" x14ac:dyDescent="0.25">
      <c r="A3360" s="1">
        <v>43489</v>
      </c>
      <c r="B3360">
        <v>120775</v>
      </c>
      <c r="C3360" t="s">
        <v>123</v>
      </c>
      <c r="D3360" t="s">
        <v>3140</v>
      </c>
      <c r="E3360" s="2">
        <v>400</v>
      </c>
    </row>
    <row r="3361" spans="1:5" x14ac:dyDescent="0.25">
      <c r="A3361" s="1">
        <v>43489</v>
      </c>
      <c r="B3361">
        <v>120775</v>
      </c>
      <c r="C3361" t="s">
        <v>123</v>
      </c>
      <c r="D3361" t="s">
        <v>3138</v>
      </c>
      <c r="E3361" s="2">
        <v>245.04</v>
      </c>
    </row>
    <row r="3362" spans="1:5" x14ac:dyDescent="0.25">
      <c r="A3362" s="1">
        <v>43489</v>
      </c>
      <c r="B3362">
        <v>120775</v>
      </c>
      <c r="C3362" t="s">
        <v>123</v>
      </c>
      <c r="D3362" t="s">
        <v>3141</v>
      </c>
      <c r="E3362" s="2">
        <v>1194.57</v>
      </c>
    </row>
    <row r="3363" spans="1:5" x14ac:dyDescent="0.25">
      <c r="A3363" s="1">
        <v>43489</v>
      </c>
      <c r="B3363">
        <v>120775</v>
      </c>
      <c r="C3363" t="s">
        <v>123</v>
      </c>
      <c r="D3363" t="s">
        <v>3141</v>
      </c>
      <c r="E3363" s="2">
        <v>1327.3</v>
      </c>
    </row>
    <row r="3364" spans="1:5" x14ac:dyDescent="0.25">
      <c r="A3364" s="1">
        <v>43489</v>
      </c>
      <c r="B3364">
        <v>120775</v>
      </c>
      <c r="C3364" t="s">
        <v>123</v>
      </c>
      <c r="D3364" t="s">
        <v>3141</v>
      </c>
      <c r="E3364" s="2">
        <v>132.72999999999999</v>
      </c>
    </row>
    <row r="3365" spans="1:5" x14ac:dyDescent="0.25">
      <c r="A3365" s="1">
        <v>43489</v>
      </c>
      <c r="B3365">
        <v>120775</v>
      </c>
      <c r="C3365" t="s">
        <v>123</v>
      </c>
      <c r="D3365" t="s">
        <v>3142</v>
      </c>
      <c r="E3365" s="2">
        <v>460.12</v>
      </c>
    </row>
    <row r="3366" spans="1:5" x14ac:dyDescent="0.25">
      <c r="A3366" s="1">
        <v>43489</v>
      </c>
      <c r="B3366">
        <v>120775</v>
      </c>
      <c r="C3366" t="s">
        <v>123</v>
      </c>
      <c r="D3366" t="s">
        <v>3141</v>
      </c>
      <c r="E3366" s="2">
        <v>449.24</v>
      </c>
    </row>
    <row r="3367" spans="1:5" x14ac:dyDescent="0.25">
      <c r="A3367" s="1">
        <v>43489</v>
      </c>
      <c r="B3367">
        <v>120775</v>
      </c>
      <c r="C3367" t="s">
        <v>123</v>
      </c>
      <c r="D3367" t="s">
        <v>3141</v>
      </c>
      <c r="E3367" s="2">
        <v>435.64</v>
      </c>
    </row>
    <row r="3368" spans="1:5" x14ac:dyDescent="0.25">
      <c r="A3368" s="1">
        <v>43489</v>
      </c>
      <c r="B3368">
        <v>120775</v>
      </c>
      <c r="C3368" t="s">
        <v>123</v>
      </c>
      <c r="D3368" t="s">
        <v>3143</v>
      </c>
      <c r="E3368" s="2">
        <v>157.22999999999999</v>
      </c>
    </row>
    <row r="3369" spans="1:5" x14ac:dyDescent="0.25">
      <c r="A3369" s="1">
        <v>43489</v>
      </c>
      <c r="B3369">
        <v>120775</v>
      </c>
      <c r="C3369" t="s">
        <v>123</v>
      </c>
      <c r="D3369" t="s">
        <v>3141</v>
      </c>
      <c r="E3369" s="2">
        <v>612.6</v>
      </c>
    </row>
    <row r="3370" spans="1:5" x14ac:dyDescent="0.25">
      <c r="A3370" s="1">
        <v>43489</v>
      </c>
      <c r="B3370">
        <v>120775</v>
      </c>
      <c r="C3370" t="s">
        <v>123</v>
      </c>
      <c r="D3370" t="s">
        <v>3144</v>
      </c>
      <c r="E3370" s="2">
        <v>119.8</v>
      </c>
    </row>
    <row r="3371" spans="1:5" x14ac:dyDescent="0.25">
      <c r="A3371" s="1">
        <v>43489</v>
      </c>
      <c r="B3371">
        <v>120775</v>
      </c>
      <c r="C3371" t="s">
        <v>123</v>
      </c>
      <c r="D3371" t="s">
        <v>3145</v>
      </c>
      <c r="E3371" s="2">
        <v>530.91999999999996</v>
      </c>
    </row>
    <row r="3372" spans="1:5" x14ac:dyDescent="0.25">
      <c r="A3372" s="1">
        <v>43489</v>
      </c>
      <c r="B3372">
        <v>120775</v>
      </c>
      <c r="C3372" t="s">
        <v>123</v>
      </c>
      <c r="D3372" t="s">
        <v>3146</v>
      </c>
      <c r="E3372" s="2">
        <v>173.57</v>
      </c>
    </row>
    <row r="3373" spans="1:5" x14ac:dyDescent="0.25">
      <c r="A3373" s="1">
        <v>43489</v>
      </c>
      <c r="B3373">
        <v>120775</v>
      </c>
      <c r="C3373" t="s">
        <v>123</v>
      </c>
      <c r="D3373" t="s">
        <v>3141</v>
      </c>
      <c r="E3373" s="2">
        <v>673.86</v>
      </c>
    </row>
    <row r="3374" spans="1:5" x14ac:dyDescent="0.25">
      <c r="A3374" s="1">
        <v>43489</v>
      </c>
      <c r="B3374">
        <v>120776</v>
      </c>
      <c r="C3374" t="s">
        <v>3147</v>
      </c>
      <c r="D3374" t="s">
        <v>3148</v>
      </c>
      <c r="E3374" s="2">
        <v>980</v>
      </c>
    </row>
    <row r="3375" spans="1:5" x14ac:dyDescent="0.25">
      <c r="A3375" s="1">
        <v>43489</v>
      </c>
      <c r="B3375">
        <v>120777</v>
      </c>
      <c r="C3375" t="s">
        <v>264</v>
      </c>
      <c r="D3375" t="s">
        <v>3149</v>
      </c>
      <c r="E3375" s="2">
        <v>223.02</v>
      </c>
    </row>
    <row r="3376" spans="1:5" x14ac:dyDescent="0.25">
      <c r="A3376" s="1">
        <v>43489</v>
      </c>
      <c r="B3376">
        <v>120777</v>
      </c>
      <c r="C3376" t="s">
        <v>264</v>
      </c>
      <c r="D3376" t="s">
        <v>3150</v>
      </c>
      <c r="E3376" s="2">
        <v>53.32</v>
      </c>
    </row>
    <row r="3377" spans="1:5" x14ac:dyDescent="0.25">
      <c r="A3377" s="1">
        <v>43489</v>
      </c>
      <c r="B3377">
        <v>120778</v>
      </c>
      <c r="C3377" t="s">
        <v>265</v>
      </c>
      <c r="D3377" t="s">
        <v>3151</v>
      </c>
      <c r="E3377" s="2">
        <v>2702.7</v>
      </c>
    </row>
    <row r="3378" spans="1:5" x14ac:dyDescent="0.25">
      <c r="A3378" s="1">
        <v>43489</v>
      </c>
      <c r="B3378">
        <v>120778</v>
      </c>
      <c r="C3378" t="s">
        <v>265</v>
      </c>
      <c r="D3378" t="s">
        <v>2763</v>
      </c>
      <c r="E3378" s="2">
        <v>304.08</v>
      </c>
    </row>
    <row r="3379" spans="1:5" x14ac:dyDescent="0.25">
      <c r="A3379" s="1">
        <v>43489</v>
      </c>
      <c r="B3379">
        <v>120779</v>
      </c>
      <c r="C3379" t="s">
        <v>1196</v>
      </c>
      <c r="D3379" t="s">
        <v>3152</v>
      </c>
      <c r="E3379" s="2">
        <v>500</v>
      </c>
    </row>
    <row r="3380" spans="1:5" x14ac:dyDescent="0.25">
      <c r="A3380" s="1">
        <v>43489</v>
      </c>
      <c r="B3380">
        <v>120779</v>
      </c>
      <c r="C3380" t="s">
        <v>1196</v>
      </c>
      <c r="D3380" t="s">
        <v>3153</v>
      </c>
      <c r="E3380" s="2">
        <v>3729</v>
      </c>
    </row>
    <row r="3381" spans="1:5" x14ac:dyDescent="0.25">
      <c r="A3381" s="1">
        <v>43489</v>
      </c>
      <c r="B3381">
        <v>120780</v>
      </c>
      <c r="C3381" t="s">
        <v>269</v>
      </c>
      <c r="D3381" t="s">
        <v>3154</v>
      </c>
      <c r="E3381" s="2">
        <v>289.69</v>
      </c>
    </row>
    <row r="3382" spans="1:5" x14ac:dyDescent="0.25">
      <c r="A3382" s="1">
        <v>43489</v>
      </c>
      <c r="B3382">
        <v>120780</v>
      </c>
      <c r="C3382" t="s">
        <v>269</v>
      </c>
      <c r="D3382" t="s">
        <v>270</v>
      </c>
      <c r="E3382" s="2">
        <v>295</v>
      </c>
    </row>
    <row r="3383" spans="1:5" x14ac:dyDescent="0.25">
      <c r="A3383" s="1">
        <v>43489</v>
      </c>
      <c r="B3383">
        <v>120782</v>
      </c>
      <c r="C3383" t="s">
        <v>274</v>
      </c>
      <c r="D3383" t="s">
        <v>3155</v>
      </c>
      <c r="E3383" s="2">
        <v>228.28</v>
      </c>
    </row>
    <row r="3384" spans="1:5" x14ac:dyDescent="0.25">
      <c r="A3384" s="1">
        <v>43489</v>
      </c>
      <c r="B3384">
        <v>120782</v>
      </c>
      <c r="C3384" t="s">
        <v>274</v>
      </c>
      <c r="D3384" t="s">
        <v>3156</v>
      </c>
      <c r="E3384" s="2">
        <v>263.95999999999998</v>
      </c>
    </row>
    <row r="3385" spans="1:5" x14ac:dyDescent="0.25">
      <c r="A3385" s="1">
        <v>43489</v>
      </c>
      <c r="B3385">
        <v>120782</v>
      </c>
      <c r="C3385" t="s">
        <v>274</v>
      </c>
      <c r="D3385" t="s">
        <v>3157</v>
      </c>
      <c r="E3385" s="2">
        <v>752.82</v>
      </c>
    </row>
    <row r="3386" spans="1:5" x14ac:dyDescent="0.25">
      <c r="A3386" s="1">
        <v>43489</v>
      </c>
      <c r="B3386">
        <v>120783</v>
      </c>
      <c r="C3386" t="s">
        <v>3158</v>
      </c>
      <c r="D3386" t="s">
        <v>3159</v>
      </c>
      <c r="E3386" s="2">
        <v>4000</v>
      </c>
    </row>
    <row r="3387" spans="1:5" x14ac:dyDescent="0.25">
      <c r="A3387" s="1">
        <v>43489</v>
      </c>
      <c r="B3387">
        <v>120785</v>
      </c>
      <c r="C3387" t="s">
        <v>616</v>
      </c>
      <c r="D3387" t="s">
        <v>3160</v>
      </c>
      <c r="E3387" s="2">
        <v>63.19</v>
      </c>
    </row>
    <row r="3388" spans="1:5" x14ac:dyDescent="0.25">
      <c r="A3388" s="1">
        <v>43489</v>
      </c>
      <c r="B3388">
        <v>120785</v>
      </c>
      <c r="C3388" t="s">
        <v>616</v>
      </c>
      <c r="D3388" t="s">
        <v>434</v>
      </c>
      <c r="E3388" s="2">
        <v>111.09</v>
      </c>
    </row>
    <row r="3389" spans="1:5" x14ac:dyDescent="0.25">
      <c r="A3389" s="1">
        <v>43489</v>
      </c>
      <c r="B3389">
        <v>120785</v>
      </c>
      <c r="C3389" t="s">
        <v>616</v>
      </c>
      <c r="D3389" t="s">
        <v>3161</v>
      </c>
      <c r="E3389" s="2">
        <v>56.98</v>
      </c>
    </row>
    <row r="3390" spans="1:5" x14ac:dyDescent="0.25">
      <c r="A3390" s="1">
        <v>43489</v>
      </c>
      <c r="B3390">
        <v>120785</v>
      </c>
      <c r="C3390" t="s">
        <v>616</v>
      </c>
      <c r="D3390" t="s">
        <v>3161</v>
      </c>
      <c r="E3390" s="2">
        <v>65.52</v>
      </c>
    </row>
    <row r="3391" spans="1:5" x14ac:dyDescent="0.25">
      <c r="A3391" s="1">
        <v>43489</v>
      </c>
      <c r="B3391">
        <v>120785</v>
      </c>
      <c r="C3391" t="s">
        <v>616</v>
      </c>
      <c r="D3391" t="s">
        <v>3161</v>
      </c>
      <c r="E3391" s="2">
        <v>123</v>
      </c>
    </row>
    <row r="3392" spans="1:5" x14ac:dyDescent="0.25">
      <c r="A3392" s="1">
        <v>43489</v>
      </c>
      <c r="B3392">
        <v>120788</v>
      </c>
      <c r="C3392" t="s">
        <v>2406</v>
      </c>
      <c r="D3392" t="s">
        <v>3162</v>
      </c>
      <c r="E3392" s="2">
        <v>235</v>
      </c>
    </row>
    <row r="3393" spans="1:5" x14ac:dyDescent="0.25">
      <c r="A3393" s="1">
        <v>43489</v>
      </c>
      <c r="B3393">
        <v>120788</v>
      </c>
      <c r="C3393" t="s">
        <v>2406</v>
      </c>
      <c r="D3393" t="s">
        <v>3162</v>
      </c>
      <c r="E3393" s="2">
        <v>235</v>
      </c>
    </row>
    <row r="3394" spans="1:5" x14ac:dyDescent="0.25">
      <c r="A3394" s="1">
        <v>43489</v>
      </c>
      <c r="B3394">
        <v>120788</v>
      </c>
      <c r="C3394" t="s">
        <v>2406</v>
      </c>
      <c r="D3394" t="s">
        <v>3162</v>
      </c>
      <c r="E3394" s="2">
        <v>235</v>
      </c>
    </row>
    <row r="3395" spans="1:5" x14ac:dyDescent="0.25">
      <c r="A3395" s="1">
        <v>43489</v>
      </c>
      <c r="B3395">
        <v>120788</v>
      </c>
      <c r="C3395" t="s">
        <v>2406</v>
      </c>
      <c r="D3395" t="s">
        <v>3162</v>
      </c>
      <c r="E3395" s="2">
        <v>235</v>
      </c>
    </row>
    <row r="3396" spans="1:5" x14ac:dyDescent="0.25">
      <c r="A3396" s="1">
        <v>43489</v>
      </c>
      <c r="B3396">
        <v>120789</v>
      </c>
      <c r="C3396" t="s">
        <v>712</v>
      </c>
      <c r="D3396" t="s">
        <v>3163</v>
      </c>
      <c r="E3396" s="2">
        <v>399.88</v>
      </c>
    </row>
    <row r="3397" spans="1:5" x14ac:dyDescent="0.25">
      <c r="A3397" s="1">
        <v>43489</v>
      </c>
      <c r="B3397">
        <v>120790</v>
      </c>
      <c r="C3397" t="s">
        <v>48</v>
      </c>
      <c r="D3397" t="s">
        <v>2927</v>
      </c>
      <c r="E3397" s="2">
        <v>4815.18</v>
      </c>
    </row>
    <row r="3398" spans="1:5" x14ac:dyDescent="0.25">
      <c r="A3398" s="1">
        <v>43489</v>
      </c>
      <c r="B3398">
        <v>120793</v>
      </c>
      <c r="C3398" t="s">
        <v>74</v>
      </c>
      <c r="D3398" t="s">
        <v>3164</v>
      </c>
      <c r="E3398" s="2">
        <v>602.54999999999995</v>
      </c>
    </row>
    <row r="3399" spans="1:5" x14ac:dyDescent="0.25">
      <c r="A3399" s="1">
        <v>43489</v>
      </c>
      <c r="B3399">
        <v>120793</v>
      </c>
      <c r="C3399" t="s">
        <v>74</v>
      </c>
      <c r="D3399" t="s">
        <v>3165</v>
      </c>
      <c r="E3399" s="2">
        <v>361.91</v>
      </c>
    </row>
    <row r="3400" spans="1:5" x14ac:dyDescent="0.25">
      <c r="A3400" s="1">
        <v>43489</v>
      </c>
      <c r="B3400">
        <v>120793</v>
      </c>
      <c r="C3400" t="s">
        <v>74</v>
      </c>
      <c r="D3400" t="s">
        <v>3166</v>
      </c>
      <c r="E3400" s="2">
        <v>48.95</v>
      </c>
    </row>
    <row r="3401" spans="1:5" x14ac:dyDescent="0.25">
      <c r="A3401" s="1">
        <v>43489</v>
      </c>
      <c r="B3401">
        <v>120793</v>
      </c>
      <c r="C3401" t="s">
        <v>74</v>
      </c>
      <c r="D3401" t="s">
        <v>3167</v>
      </c>
      <c r="E3401" s="2">
        <v>338.08</v>
      </c>
    </row>
    <row r="3402" spans="1:5" x14ac:dyDescent="0.25">
      <c r="A3402" s="1">
        <v>43489</v>
      </c>
      <c r="B3402">
        <v>120793</v>
      </c>
      <c r="C3402" t="s">
        <v>74</v>
      </c>
      <c r="D3402" t="s">
        <v>3168</v>
      </c>
      <c r="E3402" s="2">
        <v>349.9</v>
      </c>
    </row>
    <row r="3403" spans="1:5" x14ac:dyDescent="0.25">
      <c r="A3403" s="1">
        <v>43489</v>
      </c>
      <c r="B3403">
        <v>120793</v>
      </c>
      <c r="C3403" t="s">
        <v>74</v>
      </c>
      <c r="D3403" t="s">
        <v>3169</v>
      </c>
      <c r="E3403" s="2">
        <v>185.24</v>
      </c>
    </row>
    <row r="3404" spans="1:5" x14ac:dyDescent="0.25">
      <c r="A3404" s="1">
        <v>43489</v>
      </c>
      <c r="B3404">
        <v>120793</v>
      </c>
      <c r="C3404" t="s">
        <v>74</v>
      </c>
      <c r="D3404" t="s">
        <v>3169</v>
      </c>
      <c r="E3404" s="2">
        <v>2.99</v>
      </c>
    </row>
    <row r="3405" spans="1:5" x14ac:dyDescent="0.25">
      <c r="A3405" s="1">
        <v>43489</v>
      </c>
      <c r="B3405">
        <v>120793</v>
      </c>
      <c r="C3405" t="s">
        <v>74</v>
      </c>
      <c r="D3405" t="s">
        <v>3170</v>
      </c>
      <c r="E3405" s="2">
        <v>664.7</v>
      </c>
    </row>
    <row r="3406" spans="1:5" x14ac:dyDescent="0.25">
      <c r="A3406" s="1">
        <v>43489</v>
      </c>
      <c r="B3406">
        <v>120793</v>
      </c>
      <c r="C3406" t="s">
        <v>74</v>
      </c>
      <c r="D3406" t="s">
        <v>3171</v>
      </c>
      <c r="E3406" s="2">
        <v>217.61</v>
      </c>
    </row>
    <row r="3407" spans="1:5" x14ac:dyDescent="0.25">
      <c r="A3407" s="1">
        <v>43489</v>
      </c>
      <c r="B3407">
        <v>120793</v>
      </c>
      <c r="C3407" t="s">
        <v>74</v>
      </c>
      <c r="D3407" t="s">
        <v>427</v>
      </c>
      <c r="E3407" s="2">
        <v>14.95</v>
      </c>
    </row>
    <row r="3408" spans="1:5" x14ac:dyDescent="0.25">
      <c r="A3408" s="1">
        <v>43489</v>
      </c>
      <c r="B3408">
        <v>120793</v>
      </c>
      <c r="C3408" t="s">
        <v>74</v>
      </c>
      <c r="D3408" t="s">
        <v>3172</v>
      </c>
      <c r="E3408" s="2">
        <v>56.45</v>
      </c>
    </row>
    <row r="3409" spans="1:5" x14ac:dyDescent="0.25">
      <c r="A3409" s="1">
        <v>43489</v>
      </c>
      <c r="B3409">
        <v>120794</v>
      </c>
      <c r="C3409" t="s">
        <v>145</v>
      </c>
      <c r="D3409" t="s">
        <v>3173</v>
      </c>
      <c r="E3409" s="2">
        <v>113.64</v>
      </c>
    </row>
    <row r="3410" spans="1:5" x14ac:dyDescent="0.25">
      <c r="A3410" s="1">
        <v>43489</v>
      </c>
      <c r="B3410">
        <v>120795</v>
      </c>
      <c r="C3410" t="s">
        <v>336</v>
      </c>
      <c r="D3410" t="s">
        <v>3174</v>
      </c>
      <c r="E3410" s="2">
        <v>10.75</v>
      </c>
    </row>
    <row r="3411" spans="1:5" x14ac:dyDescent="0.25">
      <c r="A3411" s="1">
        <v>43489</v>
      </c>
      <c r="B3411">
        <v>120796</v>
      </c>
      <c r="C3411" t="s">
        <v>739</v>
      </c>
      <c r="D3411" t="s">
        <v>3175</v>
      </c>
      <c r="E3411" s="2">
        <v>14296.91</v>
      </c>
    </row>
    <row r="3412" spans="1:5" x14ac:dyDescent="0.25">
      <c r="A3412" s="1">
        <v>43489</v>
      </c>
      <c r="B3412">
        <v>120797</v>
      </c>
      <c r="C3412" t="s">
        <v>11</v>
      </c>
      <c r="D3412" t="s">
        <v>1486</v>
      </c>
      <c r="E3412" s="2">
        <v>303.68</v>
      </c>
    </row>
    <row r="3413" spans="1:5" x14ac:dyDescent="0.25">
      <c r="A3413" s="1">
        <v>43489</v>
      </c>
      <c r="B3413">
        <v>120797</v>
      </c>
      <c r="C3413" t="s">
        <v>11</v>
      </c>
      <c r="D3413" t="s">
        <v>1483</v>
      </c>
      <c r="E3413" s="2">
        <v>136.12</v>
      </c>
    </row>
    <row r="3414" spans="1:5" x14ac:dyDescent="0.25">
      <c r="A3414" s="1">
        <v>43489</v>
      </c>
      <c r="B3414">
        <v>120798</v>
      </c>
      <c r="C3414" t="s">
        <v>12</v>
      </c>
      <c r="D3414" t="s">
        <v>3176</v>
      </c>
      <c r="E3414" s="2">
        <v>59.58</v>
      </c>
    </row>
    <row r="3415" spans="1:5" x14ac:dyDescent="0.25">
      <c r="A3415" s="1">
        <v>43489</v>
      </c>
      <c r="B3415">
        <v>120799</v>
      </c>
      <c r="C3415" t="s">
        <v>1489</v>
      </c>
      <c r="D3415" t="s">
        <v>3177</v>
      </c>
      <c r="E3415" s="2">
        <v>8114</v>
      </c>
    </row>
    <row r="3416" spans="1:5" x14ac:dyDescent="0.25">
      <c r="A3416" s="1">
        <v>43489</v>
      </c>
      <c r="B3416">
        <v>120800</v>
      </c>
      <c r="C3416" t="s">
        <v>3178</v>
      </c>
      <c r="D3416" t="s">
        <v>3179</v>
      </c>
      <c r="E3416" s="2">
        <v>487.18</v>
      </c>
    </row>
    <row r="3417" spans="1:5" x14ac:dyDescent="0.25">
      <c r="A3417" s="1">
        <v>43489</v>
      </c>
      <c r="B3417">
        <v>120801</v>
      </c>
      <c r="C3417" t="s">
        <v>3180</v>
      </c>
      <c r="D3417" t="s">
        <v>3181</v>
      </c>
      <c r="E3417" s="2">
        <v>85</v>
      </c>
    </row>
    <row r="3418" spans="1:5" x14ac:dyDescent="0.25">
      <c r="A3418" s="1">
        <v>43489</v>
      </c>
      <c r="B3418">
        <v>120802</v>
      </c>
      <c r="C3418" t="s">
        <v>51</v>
      </c>
      <c r="D3418" t="s">
        <v>52</v>
      </c>
      <c r="E3418" s="2">
        <v>30.93</v>
      </c>
    </row>
    <row r="3419" spans="1:5" x14ac:dyDescent="0.25">
      <c r="A3419" s="1">
        <v>43489</v>
      </c>
      <c r="B3419">
        <v>120803</v>
      </c>
      <c r="C3419" t="s">
        <v>152</v>
      </c>
      <c r="D3419" t="s">
        <v>3182</v>
      </c>
      <c r="E3419" s="2">
        <v>200</v>
      </c>
    </row>
    <row r="3420" spans="1:5" x14ac:dyDescent="0.25">
      <c r="A3420" s="1">
        <v>43489</v>
      </c>
      <c r="B3420">
        <v>120804</v>
      </c>
      <c r="C3420" t="s">
        <v>1110</v>
      </c>
      <c r="D3420" t="s">
        <v>3160</v>
      </c>
      <c r="E3420" s="2">
        <v>73.67</v>
      </c>
    </row>
    <row r="3421" spans="1:5" x14ac:dyDescent="0.25">
      <c r="A3421" s="1">
        <v>43489</v>
      </c>
      <c r="B3421">
        <v>120804</v>
      </c>
      <c r="C3421" t="s">
        <v>1110</v>
      </c>
      <c r="D3421" t="s">
        <v>3183</v>
      </c>
      <c r="E3421" s="2">
        <v>68.400000000000006</v>
      </c>
    </row>
    <row r="3422" spans="1:5" x14ac:dyDescent="0.25">
      <c r="A3422" s="1">
        <v>43489</v>
      </c>
      <c r="B3422">
        <v>120805</v>
      </c>
      <c r="C3422" t="s">
        <v>302</v>
      </c>
      <c r="D3422" t="s">
        <v>3184</v>
      </c>
      <c r="E3422" s="2">
        <v>136</v>
      </c>
    </row>
    <row r="3423" spans="1:5" x14ac:dyDescent="0.25">
      <c r="A3423" s="1">
        <v>43489</v>
      </c>
      <c r="B3423">
        <v>120805</v>
      </c>
      <c r="C3423" t="s">
        <v>302</v>
      </c>
      <c r="D3423" t="s">
        <v>3185</v>
      </c>
      <c r="E3423" s="2">
        <v>24</v>
      </c>
    </row>
    <row r="3424" spans="1:5" x14ac:dyDescent="0.25">
      <c r="A3424" s="1">
        <v>43489</v>
      </c>
      <c r="B3424">
        <v>120806</v>
      </c>
      <c r="C3424" t="s">
        <v>14</v>
      </c>
      <c r="D3424" t="s">
        <v>3186</v>
      </c>
      <c r="E3424" s="2">
        <v>460.57</v>
      </c>
    </row>
    <row r="3425" spans="1:5" x14ac:dyDescent="0.25">
      <c r="A3425" s="1">
        <v>43489</v>
      </c>
      <c r="B3425">
        <v>120807</v>
      </c>
      <c r="C3425" t="s">
        <v>750</v>
      </c>
      <c r="D3425" t="s">
        <v>3187</v>
      </c>
      <c r="E3425" s="2">
        <v>208.5</v>
      </c>
    </row>
    <row r="3426" spans="1:5" x14ac:dyDescent="0.25">
      <c r="A3426" s="1">
        <v>43489</v>
      </c>
      <c r="B3426">
        <v>120807</v>
      </c>
      <c r="C3426" t="s">
        <v>750</v>
      </c>
      <c r="D3426" t="s">
        <v>3187</v>
      </c>
      <c r="E3426" s="2">
        <v>450</v>
      </c>
    </row>
    <row r="3427" spans="1:5" x14ac:dyDescent="0.25">
      <c r="A3427" s="1">
        <v>43489</v>
      </c>
      <c r="B3427">
        <v>120808</v>
      </c>
      <c r="C3427" t="s">
        <v>765</v>
      </c>
      <c r="D3427" t="s">
        <v>3188</v>
      </c>
      <c r="E3427" s="2">
        <v>2420</v>
      </c>
    </row>
    <row r="3428" spans="1:5" x14ac:dyDescent="0.25">
      <c r="A3428" s="1">
        <v>43489</v>
      </c>
      <c r="B3428">
        <v>120809</v>
      </c>
      <c r="C3428" t="s">
        <v>310</v>
      </c>
      <c r="D3428" t="s">
        <v>3189</v>
      </c>
      <c r="E3428" s="2">
        <v>175</v>
      </c>
    </row>
    <row r="3429" spans="1:5" x14ac:dyDescent="0.25">
      <c r="A3429" s="1">
        <v>43489</v>
      </c>
      <c r="B3429">
        <v>120809</v>
      </c>
      <c r="C3429" t="s">
        <v>310</v>
      </c>
      <c r="D3429" t="s">
        <v>3190</v>
      </c>
      <c r="E3429" s="2">
        <v>200</v>
      </c>
    </row>
    <row r="3430" spans="1:5" x14ac:dyDescent="0.25">
      <c r="A3430" s="1">
        <v>43489</v>
      </c>
      <c r="B3430">
        <v>120809</v>
      </c>
      <c r="C3430" t="s">
        <v>310</v>
      </c>
      <c r="D3430" t="s">
        <v>3191</v>
      </c>
      <c r="E3430" s="2">
        <v>175</v>
      </c>
    </row>
    <row r="3431" spans="1:5" x14ac:dyDescent="0.25">
      <c r="A3431" s="1">
        <v>43489</v>
      </c>
      <c r="B3431">
        <v>120810</v>
      </c>
      <c r="C3431" t="s">
        <v>1516</v>
      </c>
      <c r="D3431" t="s">
        <v>3192</v>
      </c>
      <c r="E3431" s="2">
        <v>84</v>
      </c>
    </row>
    <row r="3432" spans="1:5" x14ac:dyDescent="0.25">
      <c r="A3432" s="1">
        <v>43489</v>
      </c>
      <c r="B3432">
        <v>120810</v>
      </c>
      <c r="C3432" t="s">
        <v>1516</v>
      </c>
      <c r="D3432" t="s">
        <v>3192</v>
      </c>
      <c r="E3432" s="2">
        <v>216</v>
      </c>
    </row>
    <row r="3433" spans="1:5" x14ac:dyDescent="0.25">
      <c r="A3433" s="1">
        <v>43489</v>
      </c>
      <c r="B3433">
        <v>120811</v>
      </c>
      <c r="C3433" t="s">
        <v>318</v>
      </c>
      <c r="D3433" t="s">
        <v>3193</v>
      </c>
      <c r="E3433" s="2">
        <v>7715.87</v>
      </c>
    </row>
    <row r="3434" spans="1:5" x14ac:dyDescent="0.25">
      <c r="A3434" s="1">
        <v>43489</v>
      </c>
      <c r="B3434">
        <v>120812</v>
      </c>
      <c r="C3434" t="s">
        <v>162</v>
      </c>
      <c r="D3434" t="s">
        <v>163</v>
      </c>
      <c r="E3434" s="2">
        <v>1548</v>
      </c>
    </row>
    <row r="3435" spans="1:5" x14ac:dyDescent="0.25">
      <c r="A3435" s="1">
        <v>43489</v>
      </c>
      <c r="B3435">
        <v>120813</v>
      </c>
      <c r="C3435" t="s">
        <v>2970</v>
      </c>
      <c r="D3435" t="s">
        <v>3194</v>
      </c>
      <c r="E3435" s="2">
        <v>460</v>
      </c>
    </row>
    <row r="3436" spans="1:5" x14ac:dyDescent="0.25">
      <c r="A3436" s="1">
        <v>43489</v>
      </c>
      <c r="B3436">
        <v>120813</v>
      </c>
      <c r="C3436" t="s">
        <v>2970</v>
      </c>
      <c r="D3436" t="s">
        <v>3195</v>
      </c>
      <c r="E3436" s="2">
        <v>1250</v>
      </c>
    </row>
    <row r="3437" spans="1:5" x14ac:dyDescent="0.25">
      <c r="A3437" s="1">
        <v>43489</v>
      </c>
      <c r="B3437">
        <v>120814</v>
      </c>
      <c r="C3437" t="s">
        <v>166</v>
      </c>
      <c r="D3437" t="s">
        <v>3196</v>
      </c>
      <c r="E3437" s="2">
        <v>135</v>
      </c>
    </row>
    <row r="3438" spans="1:5" x14ac:dyDescent="0.25">
      <c r="A3438" s="1">
        <v>43489</v>
      </c>
      <c r="B3438">
        <v>120815</v>
      </c>
      <c r="C3438" t="s">
        <v>321</v>
      </c>
      <c r="D3438" t="s">
        <v>3197</v>
      </c>
      <c r="E3438" s="2">
        <v>246</v>
      </c>
    </row>
    <row r="3439" spans="1:5" x14ac:dyDescent="0.25">
      <c r="A3439" s="1">
        <v>43489</v>
      </c>
      <c r="B3439">
        <v>120816</v>
      </c>
      <c r="C3439" t="s">
        <v>3198</v>
      </c>
      <c r="D3439" t="s">
        <v>3199</v>
      </c>
      <c r="E3439" s="2">
        <v>1440</v>
      </c>
    </row>
    <row r="3440" spans="1:5" x14ac:dyDescent="0.25">
      <c r="A3440" s="1">
        <v>43489</v>
      </c>
      <c r="B3440">
        <v>120817</v>
      </c>
      <c r="C3440" t="s">
        <v>366</v>
      </c>
      <c r="D3440" t="s">
        <v>3200</v>
      </c>
      <c r="E3440" s="2">
        <v>125</v>
      </c>
    </row>
    <row r="3441" spans="1:5" x14ac:dyDescent="0.25">
      <c r="A3441" s="1">
        <v>43489</v>
      </c>
      <c r="B3441">
        <v>120818</v>
      </c>
      <c r="C3441" t="s">
        <v>88</v>
      </c>
      <c r="D3441" t="s">
        <v>3201</v>
      </c>
      <c r="E3441" s="2">
        <v>594</v>
      </c>
    </row>
    <row r="3442" spans="1:5" x14ac:dyDescent="0.25">
      <c r="A3442" s="1">
        <v>43489</v>
      </c>
      <c r="B3442">
        <v>120819</v>
      </c>
      <c r="C3442" t="s">
        <v>174</v>
      </c>
      <c r="D3442" t="s">
        <v>3202</v>
      </c>
      <c r="E3442" s="2">
        <v>1941.06</v>
      </c>
    </row>
    <row r="3443" spans="1:5" x14ac:dyDescent="0.25">
      <c r="A3443" s="1">
        <v>43489</v>
      </c>
      <c r="B3443">
        <v>120820</v>
      </c>
      <c r="C3443" t="s">
        <v>179</v>
      </c>
      <c r="D3443" t="s">
        <v>3203</v>
      </c>
      <c r="E3443" s="2">
        <v>390.42</v>
      </c>
    </row>
    <row r="3444" spans="1:5" x14ac:dyDescent="0.25">
      <c r="A3444" s="1">
        <v>43489</v>
      </c>
      <c r="B3444">
        <v>120821</v>
      </c>
      <c r="C3444" t="s">
        <v>2979</v>
      </c>
      <c r="D3444" t="s">
        <v>3204</v>
      </c>
      <c r="E3444" s="2">
        <v>350</v>
      </c>
    </row>
    <row r="3445" spans="1:5" x14ac:dyDescent="0.25">
      <c r="A3445" s="1">
        <v>43489</v>
      </c>
      <c r="B3445">
        <v>120824</v>
      </c>
      <c r="C3445" t="s">
        <v>222</v>
      </c>
      <c r="D3445" t="s">
        <v>3205</v>
      </c>
      <c r="E3445" s="2">
        <v>72.3</v>
      </c>
    </row>
    <row r="3446" spans="1:5" x14ac:dyDescent="0.25">
      <c r="A3446" s="1">
        <v>43489</v>
      </c>
      <c r="B3446">
        <v>120824</v>
      </c>
      <c r="C3446" t="s">
        <v>222</v>
      </c>
      <c r="D3446" t="s">
        <v>3206</v>
      </c>
      <c r="E3446" s="2">
        <v>76.66</v>
      </c>
    </row>
    <row r="3447" spans="1:5" x14ac:dyDescent="0.25">
      <c r="A3447" s="1">
        <v>43489</v>
      </c>
      <c r="B3447">
        <v>120824</v>
      </c>
      <c r="C3447" t="s">
        <v>222</v>
      </c>
      <c r="D3447" t="s">
        <v>1224</v>
      </c>
      <c r="E3447" s="2">
        <v>68.680000000000007</v>
      </c>
    </row>
    <row r="3448" spans="1:5" x14ac:dyDescent="0.25">
      <c r="A3448" s="1">
        <v>43489</v>
      </c>
      <c r="B3448">
        <v>120824</v>
      </c>
      <c r="C3448" t="s">
        <v>222</v>
      </c>
      <c r="D3448" t="s">
        <v>3207</v>
      </c>
      <c r="E3448" s="2">
        <v>103.22</v>
      </c>
    </row>
    <row r="3449" spans="1:5" x14ac:dyDescent="0.25">
      <c r="A3449" s="1">
        <v>43489</v>
      </c>
      <c r="B3449">
        <v>120824</v>
      </c>
      <c r="C3449" t="s">
        <v>222</v>
      </c>
      <c r="D3449" t="s">
        <v>3208</v>
      </c>
      <c r="E3449" s="2">
        <v>18.43</v>
      </c>
    </row>
    <row r="3450" spans="1:5" x14ac:dyDescent="0.25">
      <c r="A3450" s="1">
        <v>43489</v>
      </c>
      <c r="B3450">
        <v>120824</v>
      </c>
      <c r="C3450" t="s">
        <v>222</v>
      </c>
      <c r="D3450" t="s">
        <v>3209</v>
      </c>
      <c r="E3450" s="2">
        <v>68.34</v>
      </c>
    </row>
    <row r="3451" spans="1:5" x14ac:dyDescent="0.25">
      <c r="A3451" s="1">
        <v>43489</v>
      </c>
      <c r="B3451">
        <v>120824</v>
      </c>
      <c r="C3451" t="s">
        <v>222</v>
      </c>
      <c r="D3451" t="s">
        <v>3210</v>
      </c>
      <c r="E3451" s="2">
        <v>44.77</v>
      </c>
    </row>
    <row r="3452" spans="1:5" x14ac:dyDescent="0.25">
      <c r="A3452" s="1">
        <v>43489</v>
      </c>
      <c r="B3452">
        <v>120824</v>
      </c>
      <c r="C3452" t="s">
        <v>222</v>
      </c>
      <c r="D3452" t="s">
        <v>3211</v>
      </c>
      <c r="E3452" s="2">
        <v>139.44999999999999</v>
      </c>
    </row>
    <row r="3453" spans="1:5" x14ac:dyDescent="0.25">
      <c r="A3453" s="1">
        <v>43489</v>
      </c>
      <c r="B3453">
        <v>120824</v>
      </c>
      <c r="C3453" t="s">
        <v>222</v>
      </c>
      <c r="D3453" t="s">
        <v>3210</v>
      </c>
      <c r="E3453" s="2">
        <f>93.49+123.24+31.72</f>
        <v>248.45</v>
      </c>
    </row>
    <row r="3454" spans="1:5" x14ac:dyDescent="0.25">
      <c r="A3454" s="1">
        <v>43489</v>
      </c>
      <c r="B3454">
        <v>120824</v>
      </c>
      <c r="C3454" t="s">
        <v>222</v>
      </c>
      <c r="D3454" t="s">
        <v>3209</v>
      </c>
      <c r="E3454" s="2">
        <v>53.12</v>
      </c>
    </row>
    <row r="3455" spans="1:5" x14ac:dyDescent="0.25">
      <c r="A3455" s="1">
        <v>43489</v>
      </c>
      <c r="B3455">
        <v>120824</v>
      </c>
      <c r="C3455" t="s">
        <v>222</v>
      </c>
      <c r="D3455" t="s">
        <v>3209</v>
      </c>
      <c r="E3455" s="2">
        <v>86.55</v>
      </c>
    </row>
    <row r="3456" spans="1:5" x14ac:dyDescent="0.25">
      <c r="A3456" s="1">
        <v>43489</v>
      </c>
      <c r="B3456">
        <v>120824</v>
      </c>
      <c r="C3456" t="s">
        <v>222</v>
      </c>
      <c r="D3456" t="s">
        <v>3212</v>
      </c>
      <c r="E3456" s="2">
        <v>39.44</v>
      </c>
    </row>
    <row r="3457" spans="1:5" x14ac:dyDescent="0.25">
      <c r="A3457" s="1">
        <v>43489</v>
      </c>
      <c r="B3457">
        <v>120824</v>
      </c>
      <c r="C3457" t="s">
        <v>222</v>
      </c>
      <c r="D3457" t="s">
        <v>3213</v>
      </c>
      <c r="E3457" s="2">
        <v>100.35</v>
      </c>
    </row>
    <row r="3458" spans="1:5" x14ac:dyDescent="0.25">
      <c r="A3458" s="1">
        <v>43489</v>
      </c>
      <c r="B3458">
        <v>181900171</v>
      </c>
      <c r="C3458" t="s">
        <v>1541</v>
      </c>
      <c r="D3458" t="s">
        <v>3214</v>
      </c>
      <c r="E3458" s="2">
        <v>518.71</v>
      </c>
    </row>
    <row r="3459" spans="1:5" x14ac:dyDescent="0.25">
      <c r="A3459" s="1">
        <v>43489</v>
      </c>
      <c r="B3459">
        <v>181900172</v>
      </c>
      <c r="C3459" t="s">
        <v>1734</v>
      </c>
      <c r="D3459" t="s">
        <v>3215</v>
      </c>
      <c r="E3459" s="2">
        <v>216.09</v>
      </c>
    </row>
    <row r="3460" spans="1:5" x14ac:dyDescent="0.25">
      <c r="A3460" s="1">
        <v>43490</v>
      </c>
      <c r="B3460">
        <v>120836</v>
      </c>
      <c r="C3460" t="s">
        <v>123</v>
      </c>
      <c r="D3460" t="s">
        <v>3138</v>
      </c>
      <c r="E3460" s="2">
        <v>245.04</v>
      </c>
    </row>
    <row r="3461" spans="1:5" x14ac:dyDescent="0.25">
      <c r="A3461" s="1">
        <v>43490</v>
      </c>
      <c r="B3461">
        <v>120836</v>
      </c>
      <c r="C3461" t="s">
        <v>123</v>
      </c>
      <c r="D3461" t="s">
        <v>3216</v>
      </c>
      <c r="E3461" s="2">
        <v>1012.86</v>
      </c>
    </row>
    <row r="3462" spans="1:5" x14ac:dyDescent="0.25">
      <c r="A3462" s="1">
        <v>43490</v>
      </c>
      <c r="B3462">
        <v>120836</v>
      </c>
      <c r="C3462" t="s">
        <v>123</v>
      </c>
      <c r="D3462" t="s">
        <v>3217</v>
      </c>
      <c r="E3462" s="2">
        <v>71.47</v>
      </c>
    </row>
    <row r="3463" spans="1:5" x14ac:dyDescent="0.25">
      <c r="A3463" s="1">
        <v>43490</v>
      </c>
      <c r="B3463">
        <v>120836</v>
      </c>
      <c r="C3463" t="s">
        <v>123</v>
      </c>
      <c r="D3463" t="s">
        <v>3218</v>
      </c>
      <c r="E3463" s="2">
        <v>275</v>
      </c>
    </row>
    <row r="3464" spans="1:5" x14ac:dyDescent="0.25">
      <c r="A3464" s="1">
        <v>43490</v>
      </c>
      <c r="B3464">
        <v>120836</v>
      </c>
      <c r="C3464" t="s">
        <v>123</v>
      </c>
      <c r="D3464" t="s">
        <v>3219</v>
      </c>
      <c r="E3464" s="2">
        <v>163.36000000000001</v>
      </c>
    </row>
    <row r="3465" spans="1:5" x14ac:dyDescent="0.25">
      <c r="A3465" s="1">
        <v>43490</v>
      </c>
      <c r="B3465">
        <v>120836</v>
      </c>
      <c r="C3465" t="s">
        <v>123</v>
      </c>
      <c r="D3465" t="s">
        <v>3130</v>
      </c>
      <c r="E3465" s="2">
        <v>510.5</v>
      </c>
    </row>
    <row r="3466" spans="1:5" x14ac:dyDescent="0.25">
      <c r="A3466" s="1">
        <v>43490</v>
      </c>
      <c r="B3466">
        <v>120836</v>
      </c>
      <c r="C3466" t="s">
        <v>123</v>
      </c>
      <c r="D3466" t="s">
        <v>3141</v>
      </c>
      <c r="E3466" s="2">
        <f>673.86+612.6+449.24</f>
        <v>1735.7</v>
      </c>
    </row>
    <row r="3467" spans="1:5" x14ac:dyDescent="0.25">
      <c r="A3467" s="1">
        <v>43490</v>
      </c>
      <c r="B3467">
        <v>120836</v>
      </c>
      <c r="C3467" t="s">
        <v>123</v>
      </c>
      <c r="D3467" t="s">
        <v>3133</v>
      </c>
      <c r="E3467" s="2">
        <v>81.680000000000007</v>
      </c>
    </row>
    <row r="3468" spans="1:5" x14ac:dyDescent="0.25">
      <c r="A3468" s="1">
        <v>43490</v>
      </c>
      <c r="B3468">
        <v>120836</v>
      </c>
      <c r="C3468" t="s">
        <v>123</v>
      </c>
      <c r="D3468" t="s">
        <v>3131</v>
      </c>
      <c r="E3468" s="2">
        <v>81.680000000000007</v>
      </c>
    </row>
    <row r="3469" spans="1:5" x14ac:dyDescent="0.25">
      <c r="A3469" s="1">
        <v>43490</v>
      </c>
      <c r="B3469">
        <v>120836</v>
      </c>
      <c r="C3469" t="s">
        <v>123</v>
      </c>
      <c r="D3469" t="s">
        <v>3141</v>
      </c>
      <c r="E3469" s="2">
        <v>1194.57</v>
      </c>
    </row>
    <row r="3470" spans="1:5" x14ac:dyDescent="0.25">
      <c r="A3470" s="1">
        <v>43490</v>
      </c>
      <c r="B3470">
        <v>120836</v>
      </c>
      <c r="C3470" t="s">
        <v>123</v>
      </c>
      <c r="D3470" t="s">
        <v>3220</v>
      </c>
      <c r="E3470" s="2">
        <v>460.12</v>
      </c>
    </row>
    <row r="3471" spans="1:5" x14ac:dyDescent="0.25">
      <c r="A3471" s="1">
        <v>43490</v>
      </c>
      <c r="B3471">
        <v>120836</v>
      </c>
      <c r="C3471" t="s">
        <v>123</v>
      </c>
      <c r="D3471" t="s">
        <v>1882</v>
      </c>
      <c r="E3471" s="2">
        <v>245.04</v>
      </c>
    </row>
    <row r="3472" spans="1:5" x14ac:dyDescent="0.25">
      <c r="A3472" s="1">
        <v>43490</v>
      </c>
      <c r="B3472">
        <v>120836</v>
      </c>
      <c r="C3472" t="s">
        <v>123</v>
      </c>
      <c r="D3472" t="s">
        <v>3141</v>
      </c>
      <c r="E3472" s="2">
        <v>132.72999999999999</v>
      </c>
    </row>
    <row r="3473" spans="1:5" x14ac:dyDescent="0.25">
      <c r="A3473" s="1">
        <v>43490</v>
      </c>
      <c r="B3473">
        <v>120836</v>
      </c>
      <c r="C3473" t="s">
        <v>123</v>
      </c>
      <c r="D3473" t="s">
        <v>3141</v>
      </c>
      <c r="E3473" s="2">
        <v>435.64</v>
      </c>
    </row>
    <row r="3474" spans="1:5" x14ac:dyDescent="0.25">
      <c r="A3474" s="1">
        <v>43490</v>
      </c>
      <c r="B3474">
        <v>120836</v>
      </c>
      <c r="C3474" t="s">
        <v>123</v>
      </c>
      <c r="D3474" t="s">
        <v>3141</v>
      </c>
      <c r="E3474" s="2">
        <v>1327.3</v>
      </c>
    </row>
    <row r="3475" spans="1:5" x14ac:dyDescent="0.25">
      <c r="A3475" s="1">
        <v>43490</v>
      </c>
      <c r="B3475">
        <v>120836</v>
      </c>
      <c r="C3475" t="s">
        <v>123</v>
      </c>
      <c r="D3475" t="s">
        <v>3145</v>
      </c>
      <c r="E3475" s="2">
        <v>530.91999999999996</v>
      </c>
    </row>
    <row r="3476" spans="1:5" x14ac:dyDescent="0.25">
      <c r="A3476" s="1">
        <v>43490</v>
      </c>
      <c r="B3476">
        <v>120836</v>
      </c>
      <c r="C3476" t="s">
        <v>123</v>
      </c>
      <c r="D3476" t="s">
        <v>3146</v>
      </c>
      <c r="E3476" s="2">
        <v>173.57</v>
      </c>
    </row>
    <row r="3477" spans="1:5" x14ac:dyDescent="0.25">
      <c r="A3477" s="1">
        <v>43490</v>
      </c>
      <c r="B3477">
        <v>120836</v>
      </c>
      <c r="C3477" t="s">
        <v>123</v>
      </c>
      <c r="D3477" t="s">
        <v>3138</v>
      </c>
      <c r="E3477" s="2">
        <v>81.680000000000007</v>
      </c>
    </row>
    <row r="3478" spans="1:5" x14ac:dyDescent="0.25">
      <c r="A3478" s="1">
        <v>43490</v>
      </c>
      <c r="B3478">
        <v>120836</v>
      </c>
      <c r="C3478" t="s">
        <v>123</v>
      </c>
      <c r="D3478" t="s">
        <v>3221</v>
      </c>
      <c r="E3478" s="2">
        <v>81.680000000000007</v>
      </c>
    </row>
    <row r="3479" spans="1:5" x14ac:dyDescent="0.25">
      <c r="A3479" s="1">
        <v>43490</v>
      </c>
      <c r="B3479">
        <v>120836</v>
      </c>
      <c r="C3479" t="s">
        <v>123</v>
      </c>
      <c r="D3479" t="s">
        <v>1882</v>
      </c>
      <c r="E3479" s="2">
        <v>81.680000000000007</v>
      </c>
    </row>
    <row r="3480" spans="1:5" x14ac:dyDescent="0.25">
      <c r="A3480" s="1">
        <v>43490</v>
      </c>
      <c r="B3480">
        <v>120836</v>
      </c>
      <c r="C3480" t="s">
        <v>123</v>
      </c>
      <c r="D3480" t="s">
        <v>3135</v>
      </c>
      <c r="E3480" s="2">
        <v>214.41</v>
      </c>
    </row>
    <row r="3481" spans="1:5" x14ac:dyDescent="0.25">
      <c r="A3481" s="1">
        <v>43490</v>
      </c>
      <c r="B3481">
        <v>120836</v>
      </c>
      <c r="C3481" t="s">
        <v>123</v>
      </c>
      <c r="D3481" t="s">
        <v>3137</v>
      </c>
      <c r="E3481" s="2">
        <v>163.36000000000001</v>
      </c>
    </row>
    <row r="3482" spans="1:5" x14ac:dyDescent="0.25">
      <c r="A3482" s="1">
        <v>43490</v>
      </c>
      <c r="B3482">
        <v>120836</v>
      </c>
      <c r="C3482" t="s">
        <v>123</v>
      </c>
      <c r="D3482" t="s">
        <v>3132</v>
      </c>
      <c r="E3482" s="2">
        <v>132.72999999999999</v>
      </c>
    </row>
    <row r="3483" spans="1:5" x14ac:dyDescent="0.25">
      <c r="A3483" s="1">
        <v>43490</v>
      </c>
      <c r="B3483">
        <v>120836</v>
      </c>
      <c r="C3483" t="s">
        <v>123</v>
      </c>
      <c r="D3483" t="s">
        <v>3141</v>
      </c>
      <c r="E3483" s="2">
        <v>223.94</v>
      </c>
    </row>
    <row r="3484" spans="1:5" x14ac:dyDescent="0.25">
      <c r="A3484" s="1">
        <v>43490</v>
      </c>
      <c r="B3484">
        <v>120836</v>
      </c>
      <c r="C3484" t="s">
        <v>123</v>
      </c>
      <c r="D3484" t="s">
        <v>3143</v>
      </c>
      <c r="E3484" s="2">
        <v>157.22999999999999</v>
      </c>
    </row>
    <row r="3485" spans="1:5" x14ac:dyDescent="0.25">
      <c r="A3485" s="1">
        <v>43490</v>
      </c>
      <c r="B3485">
        <v>120836</v>
      </c>
      <c r="C3485" t="s">
        <v>123</v>
      </c>
      <c r="D3485" t="s">
        <v>3222</v>
      </c>
      <c r="E3485" s="2">
        <v>408.4</v>
      </c>
    </row>
    <row r="3486" spans="1:5" x14ac:dyDescent="0.25">
      <c r="A3486" s="1">
        <v>43490</v>
      </c>
      <c r="B3486">
        <v>120836</v>
      </c>
      <c r="C3486" t="s">
        <v>123</v>
      </c>
      <c r="D3486" t="s">
        <v>3222</v>
      </c>
      <c r="E3486" s="2">
        <v>408.4</v>
      </c>
    </row>
    <row r="3487" spans="1:5" x14ac:dyDescent="0.25">
      <c r="A3487" s="1">
        <v>43490</v>
      </c>
      <c r="B3487">
        <v>120836</v>
      </c>
      <c r="C3487" t="s">
        <v>123</v>
      </c>
      <c r="D3487" t="s">
        <v>1882</v>
      </c>
      <c r="E3487" s="2">
        <v>245.04</v>
      </c>
    </row>
    <row r="3488" spans="1:5" x14ac:dyDescent="0.25">
      <c r="A3488" s="1">
        <v>43490</v>
      </c>
      <c r="B3488">
        <v>120836</v>
      </c>
      <c r="C3488" t="s">
        <v>123</v>
      </c>
      <c r="D3488" t="s">
        <v>3223</v>
      </c>
      <c r="E3488" s="2">
        <v>400</v>
      </c>
    </row>
    <row r="3489" spans="1:5" x14ac:dyDescent="0.25">
      <c r="A3489" s="1">
        <v>43490</v>
      </c>
      <c r="B3489">
        <v>120836</v>
      </c>
      <c r="C3489" t="s">
        <v>123</v>
      </c>
      <c r="D3489" t="s">
        <v>3224</v>
      </c>
      <c r="E3489" s="2">
        <v>79.2</v>
      </c>
    </row>
    <row r="3490" spans="1:5" x14ac:dyDescent="0.25">
      <c r="A3490" s="1">
        <v>43490</v>
      </c>
      <c r="B3490">
        <v>120836</v>
      </c>
      <c r="C3490" t="s">
        <v>123</v>
      </c>
      <c r="D3490" t="s">
        <v>1882</v>
      </c>
      <c r="E3490" s="2">
        <v>81.680000000000007</v>
      </c>
    </row>
    <row r="3491" spans="1:5" x14ac:dyDescent="0.25">
      <c r="A3491" s="1">
        <v>43490</v>
      </c>
      <c r="B3491">
        <v>120836</v>
      </c>
      <c r="C3491" t="s">
        <v>123</v>
      </c>
      <c r="D3491" t="s">
        <v>3131</v>
      </c>
      <c r="E3491" s="2">
        <f>306.3+1004.64</f>
        <v>1310.94</v>
      </c>
    </row>
    <row r="3492" spans="1:5" x14ac:dyDescent="0.25">
      <c r="A3492" s="1">
        <v>43490</v>
      </c>
      <c r="B3492">
        <v>120836</v>
      </c>
      <c r="C3492" t="s">
        <v>123</v>
      </c>
      <c r="D3492" t="s">
        <v>3218</v>
      </c>
      <c r="E3492" s="2">
        <v>200.8</v>
      </c>
    </row>
    <row r="3493" spans="1:5" x14ac:dyDescent="0.25">
      <c r="A3493" s="1">
        <v>43490</v>
      </c>
      <c r="B3493">
        <v>120839</v>
      </c>
      <c r="C3493" t="s">
        <v>2406</v>
      </c>
      <c r="D3493" t="s">
        <v>3225</v>
      </c>
      <c r="E3493" s="2">
        <f>235+470+235+235</f>
        <v>1175</v>
      </c>
    </row>
    <row r="3494" spans="1:5" x14ac:dyDescent="0.25">
      <c r="A3494" s="1">
        <v>43495</v>
      </c>
      <c r="B3494">
        <v>120840</v>
      </c>
      <c r="C3494" t="s">
        <v>3226</v>
      </c>
      <c r="D3494" t="s">
        <v>3227</v>
      </c>
      <c r="E3494" s="2">
        <v>1595</v>
      </c>
    </row>
    <row r="3495" spans="1:5" x14ac:dyDescent="0.25">
      <c r="A3495" s="1">
        <v>43495</v>
      </c>
      <c r="B3495">
        <v>120841</v>
      </c>
      <c r="C3495" t="s">
        <v>1079</v>
      </c>
      <c r="D3495" t="s">
        <v>3228</v>
      </c>
      <c r="E3495" s="2">
        <f>3+1.75</f>
        <v>4.75</v>
      </c>
    </row>
    <row r="3496" spans="1:5" x14ac:dyDescent="0.25">
      <c r="A3496" s="1">
        <v>43495</v>
      </c>
      <c r="B3496">
        <v>120842</v>
      </c>
      <c r="C3496" t="s">
        <v>3229</v>
      </c>
      <c r="D3496" t="s">
        <v>3230</v>
      </c>
      <c r="E3496" s="2">
        <v>722</v>
      </c>
    </row>
    <row r="3497" spans="1:5" x14ac:dyDescent="0.25">
      <c r="A3497" s="1">
        <v>43495</v>
      </c>
      <c r="B3497">
        <v>120843</v>
      </c>
      <c r="C3497" t="s">
        <v>67</v>
      </c>
      <c r="D3497" t="s">
        <v>3231</v>
      </c>
      <c r="E3497" s="2">
        <v>724.5</v>
      </c>
    </row>
    <row r="3498" spans="1:5" x14ac:dyDescent="0.25">
      <c r="A3498" s="1">
        <v>43495</v>
      </c>
      <c r="B3498">
        <v>120844</v>
      </c>
      <c r="C3498" t="s">
        <v>69</v>
      </c>
      <c r="D3498" t="s">
        <v>1461</v>
      </c>
      <c r="E3498" s="2">
        <v>5360</v>
      </c>
    </row>
    <row r="3499" spans="1:5" x14ac:dyDescent="0.25">
      <c r="A3499" s="1">
        <v>43495</v>
      </c>
      <c r="B3499">
        <v>120845</v>
      </c>
      <c r="C3499" t="s">
        <v>3232</v>
      </c>
      <c r="D3499" t="s">
        <v>3233</v>
      </c>
      <c r="E3499" s="2">
        <v>500</v>
      </c>
    </row>
    <row r="3500" spans="1:5" x14ac:dyDescent="0.25">
      <c r="A3500" s="1">
        <v>43495</v>
      </c>
      <c r="B3500">
        <v>120846</v>
      </c>
      <c r="C3500" t="s">
        <v>199</v>
      </c>
      <c r="D3500" t="s">
        <v>3234</v>
      </c>
      <c r="E3500" s="2">
        <v>64</v>
      </c>
    </row>
    <row r="3501" spans="1:5" x14ac:dyDescent="0.25">
      <c r="A3501" s="1">
        <v>43495</v>
      </c>
      <c r="B3501">
        <v>120847</v>
      </c>
      <c r="C3501" t="s">
        <v>123</v>
      </c>
      <c r="D3501" t="s">
        <v>3235</v>
      </c>
      <c r="E3501" s="2">
        <v>119.8</v>
      </c>
    </row>
    <row r="3502" spans="1:5" x14ac:dyDescent="0.25">
      <c r="A3502" s="1">
        <v>43495</v>
      </c>
      <c r="B3502">
        <v>120848</v>
      </c>
      <c r="C3502" t="s">
        <v>269</v>
      </c>
      <c r="D3502" t="s">
        <v>3236</v>
      </c>
      <c r="E3502" s="2">
        <v>130.51</v>
      </c>
    </row>
    <row r="3503" spans="1:5" x14ac:dyDescent="0.25">
      <c r="A3503" s="1">
        <v>43495</v>
      </c>
      <c r="B3503">
        <v>120849</v>
      </c>
      <c r="C3503" t="s">
        <v>44</v>
      </c>
      <c r="D3503" t="s">
        <v>3237</v>
      </c>
      <c r="E3503" s="2">
        <v>109.23</v>
      </c>
    </row>
    <row r="3504" spans="1:5" x14ac:dyDescent="0.25">
      <c r="A3504" s="1">
        <v>43495</v>
      </c>
      <c r="B3504">
        <v>120850</v>
      </c>
      <c r="C3504" t="s">
        <v>225</v>
      </c>
      <c r="D3504" t="s">
        <v>3238</v>
      </c>
      <c r="E3504" s="2">
        <v>15372.66</v>
      </c>
    </row>
    <row r="3505" spans="1:5" x14ac:dyDescent="0.25">
      <c r="A3505" s="1">
        <v>43495</v>
      </c>
      <c r="B3505">
        <v>120851</v>
      </c>
      <c r="C3505" t="s">
        <v>618</v>
      </c>
      <c r="D3505" t="s">
        <v>3239</v>
      </c>
      <c r="E3505" s="2">
        <v>50</v>
      </c>
    </row>
    <row r="3506" spans="1:5" x14ac:dyDescent="0.25">
      <c r="A3506" s="1">
        <v>43495</v>
      </c>
      <c r="B3506">
        <v>120852</v>
      </c>
      <c r="C3506" t="s">
        <v>3240</v>
      </c>
      <c r="D3506" t="s">
        <v>510</v>
      </c>
      <c r="E3506" s="2">
        <v>1000</v>
      </c>
    </row>
    <row r="3507" spans="1:5" x14ac:dyDescent="0.25">
      <c r="A3507" s="1">
        <v>43495</v>
      </c>
      <c r="B3507">
        <v>120853</v>
      </c>
      <c r="C3507" t="s">
        <v>336</v>
      </c>
      <c r="D3507" t="s">
        <v>3241</v>
      </c>
      <c r="E3507" s="2">
        <v>337</v>
      </c>
    </row>
    <row r="3508" spans="1:5" x14ac:dyDescent="0.25">
      <c r="A3508" s="1">
        <v>43495</v>
      </c>
      <c r="B3508">
        <v>120854</v>
      </c>
      <c r="C3508" t="s">
        <v>77</v>
      </c>
      <c r="D3508" t="s">
        <v>3242</v>
      </c>
      <c r="E3508" s="2">
        <v>50</v>
      </c>
    </row>
    <row r="3509" spans="1:5" x14ac:dyDescent="0.25">
      <c r="A3509" s="1">
        <v>43495</v>
      </c>
      <c r="B3509">
        <v>120855</v>
      </c>
      <c r="C3509" t="s">
        <v>77</v>
      </c>
      <c r="D3509" t="s">
        <v>2123</v>
      </c>
      <c r="E3509" s="2">
        <v>66</v>
      </c>
    </row>
    <row r="3510" spans="1:5" x14ac:dyDescent="0.25">
      <c r="A3510" s="1">
        <v>43495</v>
      </c>
      <c r="B3510">
        <v>120859</v>
      </c>
      <c r="C3510" t="s">
        <v>631</v>
      </c>
      <c r="D3510" t="s">
        <v>3243</v>
      </c>
      <c r="E3510" s="2">
        <v>433.43</v>
      </c>
    </row>
    <row r="3511" spans="1:5" x14ac:dyDescent="0.25">
      <c r="A3511" s="1">
        <v>43495</v>
      </c>
      <c r="B3511">
        <v>120859</v>
      </c>
      <c r="C3511" t="s">
        <v>631</v>
      </c>
      <c r="D3511" t="s">
        <v>3244</v>
      </c>
      <c r="E3511" s="2">
        <v>140.22999999999999</v>
      </c>
    </row>
    <row r="3512" spans="1:5" x14ac:dyDescent="0.25">
      <c r="A3512" s="1">
        <v>43495</v>
      </c>
      <c r="B3512">
        <v>120859</v>
      </c>
      <c r="C3512" t="s">
        <v>631</v>
      </c>
      <c r="D3512" t="s">
        <v>3245</v>
      </c>
      <c r="E3512" s="2">
        <v>135.94</v>
      </c>
    </row>
    <row r="3513" spans="1:5" x14ac:dyDescent="0.25">
      <c r="A3513" s="1">
        <v>43495</v>
      </c>
      <c r="B3513">
        <v>120859</v>
      </c>
      <c r="C3513" t="s">
        <v>631</v>
      </c>
      <c r="D3513" t="s">
        <v>3246</v>
      </c>
      <c r="E3513" s="2">
        <v>62.23</v>
      </c>
    </row>
    <row r="3514" spans="1:5" x14ac:dyDescent="0.25">
      <c r="A3514" s="1">
        <v>43495</v>
      </c>
      <c r="B3514">
        <v>120859</v>
      </c>
      <c r="C3514" t="s">
        <v>631</v>
      </c>
      <c r="D3514" t="s">
        <v>3247</v>
      </c>
      <c r="E3514" s="2">
        <v>23.55</v>
      </c>
    </row>
    <row r="3515" spans="1:5" x14ac:dyDescent="0.25">
      <c r="A3515" s="1">
        <v>43495</v>
      </c>
      <c r="B3515">
        <v>120859</v>
      </c>
      <c r="C3515" t="s">
        <v>631</v>
      </c>
      <c r="D3515" t="s">
        <v>3248</v>
      </c>
      <c r="E3515" s="2">
        <v>179.56</v>
      </c>
    </row>
    <row r="3516" spans="1:5" x14ac:dyDescent="0.25">
      <c r="A3516" s="1">
        <v>43495</v>
      </c>
      <c r="B3516">
        <v>120859</v>
      </c>
      <c r="C3516" t="s">
        <v>631</v>
      </c>
      <c r="D3516" t="s">
        <v>2141</v>
      </c>
      <c r="E3516" s="2">
        <v>191.6</v>
      </c>
    </row>
    <row r="3517" spans="1:5" x14ac:dyDescent="0.25">
      <c r="A3517" s="1">
        <v>43495</v>
      </c>
      <c r="B3517">
        <v>120859</v>
      </c>
      <c r="C3517" t="s">
        <v>631</v>
      </c>
      <c r="D3517" t="s">
        <v>3249</v>
      </c>
      <c r="E3517" s="2">
        <v>213.82</v>
      </c>
    </row>
    <row r="3518" spans="1:5" x14ac:dyDescent="0.25">
      <c r="A3518" s="1">
        <v>43495</v>
      </c>
      <c r="B3518">
        <v>120859</v>
      </c>
      <c r="C3518" t="s">
        <v>631</v>
      </c>
      <c r="D3518" t="s">
        <v>3250</v>
      </c>
      <c r="E3518" s="2">
        <v>34.19</v>
      </c>
    </row>
    <row r="3519" spans="1:5" x14ac:dyDescent="0.25">
      <c r="A3519" s="1">
        <v>43495</v>
      </c>
      <c r="B3519">
        <v>120859</v>
      </c>
      <c r="C3519" t="s">
        <v>631</v>
      </c>
      <c r="D3519" t="s">
        <v>3251</v>
      </c>
      <c r="E3519" s="2">
        <v>348.9</v>
      </c>
    </row>
    <row r="3520" spans="1:5" x14ac:dyDescent="0.25">
      <c r="A3520" s="1">
        <v>43495</v>
      </c>
      <c r="B3520">
        <v>120859</v>
      </c>
      <c r="C3520" t="s">
        <v>631</v>
      </c>
      <c r="D3520" t="s">
        <v>3252</v>
      </c>
      <c r="E3520" s="2">
        <v>286.39999999999998</v>
      </c>
    </row>
    <row r="3521" spans="1:5" x14ac:dyDescent="0.25">
      <c r="A3521" s="1">
        <v>43495</v>
      </c>
      <c r="B3521">
        <v>120859</v>
      </c>
      <c r="C3521" t="s">
        <v>631</v>
      </c>
      <c r="D3521" t="s">
        <v>3253</v>
      </c>
      <c r="E3521" s="2">
        <v>79.52</v>
      </c>
    </row>
    <row r="3522" spans="1:5" x14ac:dyDescent="0.25">
      <c r="A3522" s="1">
        <v>43495</v>
      </c>
      <c r="B3522">
        <v>120859</v>
      </c>
      <c r="C3522" t="s">
        <v>631</v>
      </c>
      <c r="D3522" t="s">
        <v>3254</v>
      </c>
      <c r="E3522" s="2">
        <v>249.44</v>
      </c>
    </row>
    <row r="3523" spans="1:5" x14ac:dyDescent="0.25">
      <c r="A3523" s="1">
        <v>43495</v>
      </c>
      <c r="B3523">
        <v>120859</v>
      </c>
      <c r="C3523" t="s">
        <v>631</v>
      </c>
      <c r="D3523" t="s">
        <v>2864</v>
      </c>
      <c r="E3523" s="2">
        <v>88.06</v>
      </c>
    </row>
    <row r="3524" spans="1:5" x14ac:dyDescent="0.25">
      <c r="A3524" s="1">
        <v>43495</v>
      </c>
      <c r="B3524">
        <v>120860</v>
      </c>
      <c r="C3524" t="s">
        <v>3255</v>
      </c>
      <c r="D3524" t="s">
        <v>3256</v>
      </c>
      <c r="E3524" s="2">
        <v>1078</v>
      </c>
    </row>
    <row r="3525" spans="1:5" x14ac:dyDescent="0.25">
      <c r="A3525" s="1">
        <v>43495</v>
      </c>
      <c r="B3525">
        <v>120861</v>
      </c>
      <c r="C3525" t="s">
        <v>2970</v>
      </c>
      <c r="D3525" t="s">
        <v>3257</v>
      </c>
      <c r="E3525" s="2">
        <v>550</v>
      </c>
    </row>
    <row r="3526" spans="1:5" x14ac:dyDescent="0.25">
      <c r="A3526" s="1">
        <v>43495</v>
      </c>
      <c r="B3526">
        <v>120862</v>
      </c>
      <c r="C3526" t="s">
        <v>1116</v>
      </c>
      <c r="D3526" t="s">
        <v>3258</v>
      </c>
      <c r="E3526" s="2">
        <v>12</v>
      </c>
    </row>
    <row r="3527" spans="1:5" x14ac:dyDescent="0.25">
      <c r="A3527" s="1">
        <v>43495</v>
      </c>
      <c r="B3527">
        <v>120863</v>
      </c>
      <c r="C3527" t="s">
        <v>3259</v>
      </c>
      <c r="D3527" t="s">
        <v>3260</v>
      </c>
      <c r="E3527" s="2">
        <v>640</v>
      </c>
    </row>
    <row r="3528" spans="1:5" x14ac:dyDescent="0.25">
      <c r="A3528" s="1">
        <v>43495</v>
      </c>
      <c r="B3528">
        <v>181900173</v>
      </c>
      <c r="C3528" t="s">
        <v>3261</v>
      </c>
      <c r="D3528" t="s">
        <v>3262</v>
      </c>
      <c r="E3528" s="2">
        <v>25</v>
      </c>
    </row>
    <row r="3529" spans="1:5" x14ac:dyDescent="0.25">
      <c r="A3529" s="1">
        <v>43495</v>
      </c>
      <c r="B3529">
        <v>181900174</v>
      </c>
      <c r="C3529" t="s">
        <v>395</v>
      </c>
      <c r="D3529" t="s">
        <v>3263</v>
      </c>
      <c r="E3529" s="2">
        <f>1000+42.45</f>
        <v>1042.45</v>
      </c>
    </row>
    <row r="3530" spans="1:5" x14ac:dyDescent="0.25">
      <c r="A3530" s="1">
        <v>43496</v>
      </c>
      <c r="B3530">
        <v>120864</v>
      </c>
      <c r="C3530" t="s">
        <v>1139</v>
      </c>
      <c r="D3530" t="s">
        <v>2617</v>
      </c>
      <c r="E3530" s="2">
        <v>498.3</v>
      </c>
    </row>
    <row r="3531" spans="1:5" x14ac:dyDescent="0.25">
      <c r="A3531" s="1">
        <v>43496</v>
      </c>
      <c r="B3531">
        <v>120865</v>
      </c>
      <c r="C3531" t="s">
        <v>226</v>
      </c>
      <c r="D3531" t="s">
        <v>3264</v>
      </c>
      <c r="E3531" s="2">
        <v>122.6</v>
      </c>
    </row>
    <row r="3532" spans="1:5" x14ac:dyDescent="0.25">
      <c r="A3532" s="1">
        <v>43496</v>
      </c>
      <c r="B3532">
        <v>120866</v>
      </c>
      <c r="C3532" t="s">
        <v>66</v>
      </c>
      <c r="D3532" t="s">
        <v>3265</v>
      </c>
      <c r="E3532" s="2">
        <v>149</v>
      </c>
    </row>
    <row r="3533" spans="1:5" x14ac:dyDescent="0.25">
      <c r="A3533" s="1">
        <v>43496</v>
      </c>
      <c r="B3533">
        <v>120867</v>
      </c>
      <c r="C3533" t="s">
        <v>3266</v>
      </c>
      <c r="D3533" t="s">
        <v>3267</v>
      </c>
      <c r="E3533" s="2">
        <v>225</v>
      </c>
    </row>
    <row r="3534" spans="1:5" x14ac:dyDescent="0.25">
      <c r="A3534" s="1">
        <v>43496</v>
      </c>
      <c r="B3534">
        <v>120867</v>
      </c>
      <c r="C3534" t="s">
        <v>3266</v>
      </c>
      <c r="D3534" t="s">
        <v>3268</v>
      </c>
      <c r="E3534" s="2">
        <v>450</v>
      </c>
    </row>
    <row r="3535" spans="1:5" x14ac:dyDescent="0.25">
      <c r="A3535" s="1">
        <v>43496</v>
      </c>
      <c r="B3535">
        <v>120869</v>
      </c>
      <c r="C3535" t="s">
        <v>22</v>
      </c>
      <c r="D3535" t="s">
        <v>24</v>
      </c>
      <c r="E3535" s="2">
        <v>3981.62</v>
      </c>
    </row>
    <row r="3536" spans="1:5" x14ac:dyDescent="0.25">
      <c r="A3536" s="1">
        <v>43496</v>
      </c>
      <c r="B3536">
        <v>120869</v>
      </c>
      <c r="C3536" t="s">
        <v>22</v>
      </c>
      <c r="D3536" t="s">
        <v>23</v>
      </c>
      <c r="E3536" s="2">
        <v>1633.32</v>
      </c>
    </row>
    <row r="3537" spans="1:5" x14ac:dyDescent="0.25">
      <c r="A3537" s="1">
        <v>43496</v>
      </c>
      <c r="B3537">
        <v>120870</v>
      </c>
      <c r="C3537" t="s">
        <v>100</v>
      </c>
      <c r="D3537" t="s">
        <v>3269</v>
      </c>
      <c r="E3537" s="2">
        <v>391.67</v>
      </c>
    </row>
    <row r="3538" spans="1:5" x14ac:dyDescent="0.25">
      <c r="A3538" s="1">
        <v>43496</v>
      </c>
      <c r="B3538">
        <v>120871</v>
      </c>
      <c r="C3538" t="s">
        <v>102</v>
      </c>
      <c r="D3538" t="s">
        <v>3270</v>
      </c>
      <c r="E3538" s="2">
        <v>43.64</v>
      </c>
    </row>
    <row r="3539" spans="1:5" x14ac:dyDescent="0.25">
      <c r="A3539" s="1">
        <v>43496</v>
      </c>
      <c r="B3539">
        <v>120872</v>
      </c>
      <c r="C3539" t="s">
        <v>3271</v>
      </c>
      <c r="D3539" t="s">
        <v>3272</v>
      </c>
      <c r="E3539" s="2">
        <f>4405.01+329</f>
        <v>4734.01</v>
      </c>
    </row>
    <row r="3540" spans="1:5" x14ac:dyDescent="0.25">
      <c r="A3540" s="1">
        <v>43496</v>
      </c>
      <c r="B3540">
        <v>120873</v>
      </c>
      <c r="C3540" t="s">
        <v>2881</v>
      </c>
      <c r="D3540" t="s">
        <v>2882</v>
      </c>
      <c r="E3540" s="2">
        <v>285</v>
      </c>
    </row>
    <row r="3541" spans="1:5" x14ac:dyDescent="0.25">
      <c r="A3541" s="1">
        <v>43496</v>
      </c>
      <c r="B3541">
        <v>120873</v>
      </c>
      <c r="C3541" t="s">
        <v>2881</v>
      </c>
      <c r="D3541" t="s">
        <v>3273</v>
      </c>
      <c r="E3541" s="2">
        <v>286.5</v>
      </c>
    </row>
    <row r="3542" spans="1:5" x14ac:dyDescent="0.25">
      <c r="A3542" s="1">
        <v>43496</v>
      </c>
      <c r="B3542">
        <v>120874</v>
      </c>
      <c r="C3542" t="s">
        <v>1988</v>
      </c>
      <c r="D3542" t="s">
        <v>3274</v>
      </c>
      <c r="E3542" s="2">
        <v>10240</v>
      </c>
    </row>
    <row r="3543" spans="1:5" x14ac:dyDescent="0.25">
      <c r="A3543" s="1">
        <v>43496</v>
      </c>
      <c r="B3543">
        <v>120875</v>
      </c>
      <c r="C3543" t="s">
        <v>3275</v>
      </c>
      <c r="D3543" t="s">
        <v>3276</v>
      </c>
      <c r="E3543" s="2">
        <v>2400</v>
      </c>
    </row>
    <row r="3544" spans="1:5" x14ac:dyDescent="0.25">
      <c r="A3544" s="1">
        <v>43496</v>
      </c>
      <c r="B3544">
        <v>120875</v>
      </c>
      <c r="C3544" t="s">
        <v>3275</v>
      </c>
      <c r="D3544" t="s">
        <v>3277</v>
      </c>
      <c r="E3544" s="2">
        <v>800</v>
      </c>
    </row>
    <row r="3545" spans="1:5" x14ac:dyDescent="0.25">
      <c r="A3545" s="1">
        <v>43496</v>
      </c>
      <c r="B3545">
        <v>120876</v>
      </c>
      <c r="C3545" t="s">
        <v>1156</v>
      </c>
      <c r="D3545" t="s">
        <v>3278</v>
      </c>
      <c r="E3545" s="2">
        <v>23.16</v>
      </c>
    </row>
    <row r="3546" spans="1:5" x14ac:dyDescent="0.25">
      <c r="A3546" s="1">
        <v>43496</v>
      </c>
      <c r="B3546">
        <v>120878</v>
      </c>
      <c r="C3546" t="s">
        <v>662</v>
      </c>
      <c r="D3546" t="s">
        <v>3279</v>
      </c>
      <c r="E3546" s="2">
        <v>594</v>
      </c>
    </row>
    <row r="3547" spans="1:5" x14ac:dyDescent="0.25">
      <c r="A3547" s="1">
        <v>43496</v>
      </c>
      <c r="B3547">
        <v>120878</v>
      </c>
      <c r="C3547" t="s">
        <v>662</v>
      </c>
      <c r="D3547" t="s">
        <v>3280</v>
      </c>
      <c r="E3547" s="2">
        <v>489</v>
      </c>
    </row>
    <row r="3548" spans="1:5" x14ac:dyDescent="0.25">
      <c r="A3548" s="1">
        <v>43496</v>
      </c>
      <c r="B3548">
        <v>120878</v>
      </c>
      <c r="C3548" t="s">
        <v>662</v>
      </c>
      <c r="D3548" t="s">
        <v>3281</v>
      </c>
      <c r="E3548" s="2">
        <v>436</v>
      </c>
    </row>
    <row r="3549" spans="1:5" x14ac:dyDescent="0.25">
      <c r="A3549" s="1">
        <v>43496</v>
      </c>
      <c r="B3549">
        <v>120878</v>
      </c>
      <c r="C3549" t="s">
        <v>662</v>
      </c>
      <c r="D3549" t="s">
        <v>3282</v>
      </c>
      <c r="E3549" s="2">
        <v>489</v>
      </c>
    </row>
    <row r="3550" spans="1:5" x14ac:dyDescent="0.25">
      <c r="A3550" s="1">
        <v>43496</v>
      </c>
      <c r="B3550">
        <v>120879</v>
      </c>
      <c r="C3550" t="s">
        <v>243</v>
      </c>
      <c r="D3550" t="s">
        <v>3283</v>
      </c>
      <c r="E3550" s="2">
        <v>200</v>
      </c>
    </row>
    <row r="3551" spans="1:5" x14ac:dyDescent="0.25">
      <c r="A3551" s="1">
        <v>43496</v>
      </c>
      <c r="B3551">
        <v>120879</v>
      </c>
      <c r="C3551" t="s">
        <v>243</v>
      </c>
      <c r="D3551" t="s">
        <v>3284</v>
      </c>
      <c r="E3551" s="2">
        <v>1687.5</v>
      </c>
    </row>
    <row r="3552" spans="1:5" x14ac:dyDescent="0.25">
      <c r="A3552" s="1">
        <v>43496</v>
      </c>
      <c r="B3552">
        <v>120880</v>
      </c>
      <c r="C3552" t="s">
        <v>7</v>
      </c>
      <c r="D3552" t="s">
        <v>3285</v>
      </c>
      <c r="E3552" s="2">
        <v>20</v>
      </c>
    </row>
    <row r="3553" spans="1:5" x14ac:dyDescent="0.25">
      <c r="A3553" s="1">
        <v>43496</v>
      </c>
      <c r="B3553">
        <v>120881</v>
      </c>
      <c r="C3553" t="s">
        <v>107</v>
      </c>
      <c r="D3553" t="s">
        <v>3286</v>
      </c>
      <c r="E3553" s="2">
        <v>41</v>
      </c>
    </row>
    <row r="3554" spans="1:5" x14ac:dyDescent="0.25">
      <c r="A3554" s="1">
        <v>43496</v>
      </c>
      <c r="B3554">
        <v>120882</v>
      </c>
      <c r="C3554" t="s">
        <v>197</v>
      </c>
      <c r="D3554" t="s">
        <v>3287</v>
      </c>
      <c r="E3554" s="2">
        <v>1476.4</v>
      </c>
    </row>
    <row r="3555" spans="1:5" x14ac:dyDescent="0.25">
      <c r="A3555" s="1">
        <v>43496</v>
      </c>
      <c r="B3555">
        <v>120883</v>
      </c>
      <c r="C3555" t="s">
        <v>3288</v>
      </c>
      <c r="D3555" t="s">
        <v>3289</v>
      </c>
      <c r="E3555" s="2">
        <v>175</v>
      </c>
    </row>
    <row r="3556" spans="1:5" x14ac:dyDescent="0.25">
      <c r="A3556" s="1">
        <v>43496</v>
      </c>
      <c r="B3556">
        <v>120884</v>
      </c>
      <c r="C3556" t="s">
        <v>251</v>
      </c>
      <c r="D3556" t="s">
        <v>3290</v>
      </c>
      <c r="E3556" s="2">
        <v>575</v>
      </c>
    </row>
    <row r="3557" spans="1:5" x14ac:dyDescent="0.25">
      <c r="A3557" s="1">
        <v>43496</v>
      </c>
      <c r="B3557">
        <v>120885</v>
      </c>
      <c r="C3557" t="s">
        <v>3291</v>
      </c>
      <c r="D3557" t="s">
        <v>3292</v>
      </c>
      <c r="E3557" s="2">
        <v>463.24</v>
      </c>
    </row>
    <row r="3558" spans="1:5" x14ac:dyDescent="0.25">
      <c r="A3558" s="1">
        <v>43496</v>
      </c>
      <c r="B3558">
        <v>120886</v>
      </c>
      <c r="C3558" t="s">
        <v>68</v>
      </c>
      <c r="D3558" t="s">
        <v>3293</v>
      </c>
      <c r="E3558" s="2">
        <v>102.59</v>
      </c>
    </row>
    <row r="3559" spans="1:5" x14ac:dyDescent="0.25">
      <c r="A3559" s="1">
        <v>43496</v>
      </c>
      <c r="B3559">
        <v>120886</v>
      </c>
      <c r="C3559" t="s">
        <v>68</v>
      </c>
      <c r="D3559" t="s">
        <v>3294</v>
      </c>
      <c r="E3559" s="2">
        <v>99.74</v>
      </c>
    </row>
    <row r="3560" spans="1:5" x14ac:dyDescent="0.25">
      <c r="A3560" s="1">
        <v>43496</v>
      </c>
      <c r="B3560">
        <v>120886</v>
      </c>
      <c r="C3560" t="s">
        <v>68</v>
      </c>
      <c r="D3560" t="s">
        <v>3295</v>
      </c>
      <c r="E3560" s="2">
        <v>3750</v>
      </c>
    </row>
    <row r="3561" spans="1:5" x14ac:dyDescent="0.25">
      <c r="A3561" s="1">
        <v>43496</v>
      </c>
      <c r="B3561">
        <v>120886</v>
      </c>
      <c r="C3561" t="s">
        <v>68</v>
      </c>
      <c r="D3561" t="s">
        <v>3296</v>
      </c>
      <c r="E3561" s="2">
        <v>194.25</v>
      </c>
    </row>
    <row r="3562" spans="1:5" x14ac:dyDescent="0.25">
      <c r="A3562" s="1">
        <v>43496</v>
      </c>
      <c r="B3562">
        <v>120887</v>
      </c>
      <c r="C3562" t="s">
        <v>681</v>
      </c>
      <c r="D3562" t="s">
        <v>3297</v>
      </c>
      <c r="E3562" s="2">
        <v>90.23</v>
      </c>
    </row>
    <row r="3563" spans="1:5" x14ac:dyDescent="0.25">
      <c r="A3563" s="1">
        <v>43496</v>
      </c>
      <c r="B3563">
        <v>120888</v>
      </c>
      <c r="C3563" t="s">
        <v>1177</v>
      </c>
      <c r="D3563" t="s">
        <v>3298</v>
      </c>
      <c r="E3563" s="2">
        <v>104</v>
      </c>
    </row>
    <row r="3564" spans="1:5" x14ac:dyDescent="0.25">
      <c r="A3564" s="1">
        <v>43496</v>
      </c>
      <c r="B3564">
        <v>120889</v>
      </c>
      <c r="C3564" t="s">
        <v>685</v>
      </c>
      <c r="D3564" t="s">
        <v>1311</v>
      </c>
      <c r="E3564" s="2">
        <v>452.28</v>
      </c>
    </row>
    <row r="3565" spans="1:5" x14ac:dyDescent="0.25">
      <c r="A3565" s="1">
        <v>43496</v>
      </c>
      <c r="B3565">
        <v>120890</v>
      </c>
      <c r="C3565" t="s">
        <v>2376</v>
      </c>
      <c r="D3565" t="s">
        <v>2377</v>
      </c>
      <c r="E3565" s="2">
        <v>157.5</v>
      </c>
    </row>
    <row r="3566" spans="1:5" x14ac:dyDescent="0.25">
      <c r="A3566" s="1">
        <v>43496</v>
      </c>
      <c r="B3566">
        <v>120891</v>
      </c>
      <c r="C3566" t="s">
        <v>3299</v>
      </c>
      <c r="D3566" t="s">
        <v>3300</v>
      </c>
      <c r="E3566" s="2">
        <v>16</v>
      </c>
    </row>
    <row r="3567" spans="1:5" x14ac:dyDescent="0.25">
      <c r="A3567" s="1">
        <v>43496</v>
      </c>
      <c r="B3567">
        <v>120892</v>
      </c>
      <c r="C3567" t="s">
        <v>1452</v>
      </c>
      <c r="D3567" t="s">
        <v>3301</v>
      </c>
      <c r="E3567" s="2">
        <v>60.96</v>
      </c>
    </row>
    <row r="3568" spans="1:5" x14ac:dyDescent="0.25">
      <c r="A3568" s="1">
        <v>43496</v>
      </c>
      <c r="B3568">
        <v>120892</v>
      </c>
      <c r="C3568" t="s">
        <v>1452</v>
      </c>
      <c r="D3568" t="s">
        <v>3301</v>
      </c>
      <c r="E3568" s="2">
        <v>31.85</v>
      </c>
    </row>
    <row r="3569" spans="1:5" x14ac:dyDescent="0.25">
      <c r="A3569" s="1">
        <v>43496</v>
      </c>
      <c r="B3569">
        <v>120893</v>
      </c>
      <c r="C3569" t="s">
        <v>3302</v>
      </c>
      <c r="D3569" t="s">
        <v>3303</v>
      </c>
      <c r="E3569" s="2">
        <v>45</v>
      </c>
    </row>
    <row r="3570" spans="1:5" x14ac:dyDescent="0.25">
      <c r="A3570" s="1">
        <v>43496</v>
      </c>
      <c r="B3570">
        <v>120894</v>
      </c>
      <c r="C3570" t="s">
        <v>3304</v>
      </c>
      <c r="D3570" t="s">
        <v>3305</v>
      </c>
      <c r="E3570" s="2">
        <v>3283.17</v>
      </c>
    </row>
    <row r="3571" spans="1:5" x14ac:dyDescent="0.25">
      <c r="A3571" s="1">
        <v>43496</v>
      </c>
      <c r="B3571">
        <v>120895</v>
      </c>
      <c r="C3571" t="s">
        <v>72</v>
      </c>
      <c r="D3571" s="10" t="s">
        <v>3306</v>
      </c>
      <c r="E3571" s="2">
        <v>322.5</v>
      </c>
    </row>
    <row r="3572" spans="1:5" x14ac:dyDescent="0.25">
      <c r="A3572" s="1">
        <v>43496</v>
      </c>
      <c r="B3572">
        <v>120896</v>
      </c>
      <c r="C3572" t="s">
        <v>364</v>
      </c>
      <c r="D3572" t="s">
        <v>3307</v>
      </c>
      <c r="E3572" s="2">
        <v>3323.97</v>
      </c>
    </row>
    <row r="3573" spans="1:5" x14ac:dyDescent="0.25">
      <c r="A3573" s="1">
        <v>43496</v>
      </c>
      <c r="B3573">
        <v>120897</v>
      </c>
      <c r="C3573" t="s">
        <v>264</v>
      </c>
      <c r="D3573" t="s">
        <v>3308</v>
      </c>
      <c r="E3573" s="2">
        <v>59.52</v>
      </c>
    </row>
    <row r="3574" spans="1:5" x14ac:dyDescent="0.25">
      <c r="A3574" s="1">
        <v>43496</v>
      </c>
      <c r="B3574">
        <v>120897</v>
      </c>
      <c r="C3574" t="s">
        <v>264</v>
      </c>
      <c r="D3574" t="s">
        <v>3309</v>
      </c>
      <c r="E3574" s="2">
        <v>165.3</v>
      </c>
    </row>
    <row r="3575" spans="1:5" x14ac:dyDescent="0.25">
      <c r="A3575" s="1">
        <v>43496</v>
      </c>
      <c r="B3575">
        <v>120897</v>
      </c>
      <c r="C3575" t="s">
        <v>264</v>
      </c>
      <c r="D3575" t="s">
        <v>416</v>
      </c>
      <c r="E3575" s="3">
        <v>-45</v>
      </c>
    </row>
    <row r="3576" spans="1:5" x14ac:dyDescent="0.25">
      <c r="A3576" s="1">
        <v>43496</v>
      </c>
      <c r="B3576">
        <v>120900</v>
      </c>
      <c r="C3576" t="s">
        <v>1196</v>
      </c>
      <c r="D3576" t="s">
        <v>3310</v>
      </c>
      <c r="E3576" s="2">
        <f>445+145+435+290+290+1600+580+2320+290</f>
        <v>6395</v>
      </c>
    </row>
    <row r="3577" spans="1:5" x14ac:dyDescent="0.25">
      <c r="A3577" s="1">
        <v>43496</v>
      </c>
      <c r="B3577">
        <v>120901</v>
      </c>
      <c r="C3577" t="s">
        <v>3311</v>
      </c>
      <c r="D3577" t="s">
        <v>3312</v>
      </c>
      <c r="E3577" s="2">
        <v>1500</v>
      </c>
    </row>
    <row r="3578" spans="1:5" x14ac:dyDescent="0.25">
      <c r="A3578" s="1">
        <v>43496</v>
      </c>
      <c r="B3578">
        <v>120902</v>
      </c>
      <c r="C3578" t="s">
        <v>269</v>
      </c>
      <c r="D3578" t="s">
        <v>3313</v>
      </c>
      <c r="E3578" s="2">
        <f>454.99-115-9.95-80</f>
        <v>250.04000000000002</v>
      </c>
    </row>
    <row r="3579" spans="1:5" x14ac:dyDescent="0.25">
      <c r="A3579" s="1">
        <v>43496</v>
      </c>
      <c r="B3579">
        <v>120903</v>
      </c>
      <c r="C3579" t="s">
        <v>44</v>
      </c>
      <c r="D3579" t="s">
        <v>3314</v>
      </c>
      <c r="E3579" s="2">
        <v>297.39</v>
      </c>
    </row>
    <row r="3580" spans="1:5" x14ac:dyDescent="0.25">
      <c r="A3580" s="1">
        <v>43496</v>
      </c>
      <c r="B3580">
        <v>120904</v>
      </c>
      <c r="C3580" t="s">
        <v>708</v>
      </c>
      <c r="D3580" t="s">
        <v>3315</v>
      </c>
      <c r="E3580" s="2">
        <v>5167.1000000000004</v>
      </c>
    </row>
    <row r="3581" spans="1:5" x14ac:dyDescent="0.25">
      <c r="A3581" s="1">
        <v>43496</v>
      </c>
      <c r="B3581">
        <v>120905</v>
      </c>
      <c r="C3581" t="s">
        <v>616</v>
      </c>
      <c r="D3581" t="s">
        <v>3316</v>
      </c>
      <c r="E3581" s="2">
        <v>134.21</v>
      </c>
    </row>
    <row r="3582" spans="1:5" x14ac:dyDescent="0.25">
      <c r="A3582" s="1">
        <v>43496</v>
      </c>
      <c r="B3582">
        <v>120905</v>
      </c>
      <c r="C3582" t="s">
        <v>616</v>
      </c>
      <c r="D3582" t="s">
        <v>1028</v>
      </c>
      <c r="E3582" s="2">
        <v>162.97</v>
      </c>
    </row>
    <row r="3583" spans="1:5" x14ac:dyDescent="0.25">
      <c r="A3583" s="1">
        <v>43496</v>
      </c>
      <c r="B3583">
        <v>120906</v>
      </c>
      <c r="C3583" t="s">
        <v>712</v>
      </c>
      <c r="D3583" t="s">
        <v>3317</v>
      </c>
      <c r="E3583" s="2">
        <v>87.97</v>
      </c>
    </row>
    <row r="3584" spans="1:5" x14ac:dyDescent="0.25">
      <c r="A3584" s="1">
        <v>43496</v>
      </c>
      <c r="B3584">
        <v>120906</v>
      </c>
      <c r="C3584" t="s">
        <v>712</v>
      </c>
      <c r="D3584" t="s">
        <v>3318</v>
      </c>
      <c r="E3584" s="2">
        <v>399.88</v>
      </c>
    </row>
    <row r="3585" spans="1:5" x14ac:dyDescent="0.25">
      <c r="A3585" s="1">
        <v>43496</v>
      </c>
      <c r="B3585">
        <v>120907</v>
      </c>
      <c r="C3585" t="s">
        <v>3319</v>
      </c>
      <c r="D3585" t="s">
        <v>3320</v>
      </c>
      <c r="E3585" s="2">
        <v>75</v>
      </c>
    </row>
    <row r="3586" spans="1:5" x14ac:dyDescent="0.25">
      <c r="A3586" s="1">
        <v>43496</v>
      </c>
      <c r="B3586">
        <v>120908</v>
      </c>
      <c r="C3586" t="s">
        <v>1823</v>
      </c>
      <c r="D3586" t="s">
        <v>3321</v>
      </c>
      <c r="E3586" s="2">
        <v>279</v>
      </c>
    </row>
    <row r="3587" spans="1:5" x14ac:dyDescent="0.25">
      <c r="A3587" s="1">
        <v>43496</v>
      </c>
      <c r="B3587">
        <v>120909</v>
      </c>
      <c r="C3587" t="s">
        <v>3322</v>
      </c>
      <c r="D3587" t="s">
        <v>3323</v>
      </c>
      <c r="E3587" s="2">
        <v>302.56</v>
      </c>
    </row>
    <row r="3588" spans="1:5" x14ac:dyDescent="0.25">
      <c r="A3588" s="1">
        <v>43496</v>
      </c>
      <c r="B3588">
        <v>120910</v>
      </c>
      <c r="C3588" t="s">
        <v>618</v>
      </c>
      <c r="D3588" t="s">
        <v>3324</v>
      </c>
      <c r="E3588" s="2">
        <v>149.99</v>
      </c>
    </row>
    <row r="3589" spans="1:5" x14ac:dyDescent="0.25">
      <c r="A3589" s="1">
        <v>43496</v>
      </c>
      <c r="B3589">
        <v>120911</v>
      </c>
      <c r="C3589" t="s">
        <v>47</v>
      </c>
      <c r="D3589" t="s">
        <v>3325</v>
      </c>
      <c r="E3589" s="2">
        <v>28.6</v>
      </c>
    </row>
    <row r="3590" spans="1:5" x14ac:dyDescent="0.25">
      <c r="A3590" s="1">
        <v>43496</v>
      </c>
      <c r="B3590">
        <v>120912</v>
      </c>
      <c r="C3590" t="s">
        <v>48</v>
      </c>
      <c r="D3590" t="s">
        <v>2927</v>
      </c>
      <c r="E3590" s="2">
        <f>1615.38+1964.81</f>
        <v>3580.19</v>
      </c>
    </row>
    <row r="3591" spans="1:5" x14ac:dyDescent="0.25">
      <c r="A3591" s="1">
        <v>43496</v>
      </c>
      <c r="B3591">
        <v>120913</v>
      </c>
      <c r="C3591" t="s">
        <v>3326</v>
      </c>
      <c r="D3591" t="s">
        <v>3327</v>
      </c>
      <c r="E3591" s="2">
        <v>1675</v>
      </c>
    </row>
    <row r="3592" spans="1:5" x14ac:dyDescent="0.25">
      <c r="A3592" s="1">
        <v>43496</v>
      </c>
      <c r="B3592">
        <v>120915</v>
      </c>
      <c r="C3592" t="s">
        <v>74</v>
      </c>
      <c r="D3592" t="s">
        <v>230</v>
      </c>
      <c r="E3592" s="2">
        <v>144.5</v>
      </c>
    </row>
    <row r="3593" spans="1:5" x14ac:dyDescent="0.25">
      <c r="A3593" s="1">
        <v>43496</v>
      </c>
      <c r="B3593">
        <v>120915</v>
      </c>
      <c r="C3593" t="s">
        <v>74</v>
      </c>
      <c r="D3593" t="s">
        <v>3328</v>
      </c>
      <c r="E3593" s="2">
        <v>142.97999999999999</v>
      </c>
    </row>
    <row r="3594" spans="1:5" x14ac:dyDescent="0.25">
      <c r="A3594" s="1">
        <v>43496</v>
      </c>
      <c r="B3594">
        <v>120915</v>
      </c>
      <c r="C3594" t="s">
        <v>74</v>
      </c>
      <c r="D3594" t="s">
        <v>3329</v>
      </c>
      <c r="E3594" s="2">
        <v>30.97</v>
      </c>
    </row>
    <row r="3595" spans="1:5" x14ac:dyDescent="0.25">
      <c r="A3595" s="1">
        <v>43496</v>
      </c>
      <c r="B3595">
        <v>120915</v>
      </c>
      <c r="C3595" t="s">
        <v>74</v>
      </c>
      <c r="D3595" t="s">
        <v>3330</v>
      </c>
      <c r="E3595" s="2">
        <v>293.60000000000002</v>
      </c>
    </row>
    <row r="3596" spans="1:5" x14ac:dyDescent="0.25">
      <c r="A3596" s="1">
        <v>43496</v>
      </c>
      <c r="B3596">
        <v>120915</v>
      </c>
      <c r="C3596" t="s">
        <v>74</v>
      </c>
      <c r="D3596" t="s">
        <v>3331</v>
      </c>
      <c r="E3596" s="2">
        <v>158.85</v>
      </c>
    </row>
    <row r="3597" spans="1:5" x14ac:dyDescent="0.25">
      <c r="A3597" s="1">
        <v>43496</v>
      </c>
      <c r="B3597">
        <v>120915</v>
      </c>
      <c r="C3597" t="s">
        <v>74</v>
      </c>
      <c r="D3597" t="s">
        <v>1680</v>
      </c>
      <c r="E3597" s="2">
        <v>956.8</v>
      </c>
    </row>
    <row r="3598" spans="1:5" x14ac:dyDescent="0.25">
      <c r="A3598" s="1">
        <v>43496</v>
      </c>
      <c r="B3598">
        <v>120915</v>
      </c>
      <c r="C3598" t="s">
        <v>74</v>
      </c>
      <c r="D3598" t="s">
        <v>3332</v>
      </c>
      <c r="E3598" s="2">
        <v>69</v>
      </c>
    </row>
    <row r="3599" spans="1:5" x14ac:dyDescent="0.25">
      <c r="A3599" s="1">
        <v>43496</v>
      </c>
      <c r="B3599">
        <v>120915</v>
      </c>
      <c r="C3599" t="s">
        <v>74</v>
      </c>
      <c r="D3599" t="s">
        <v>3333</v>
      </c>
      <c r="E3599" s="2">
        <v>269.7</v>
      </c>
    </row>
    <row r="3600" spans="1:5" x14ac:dyDescent="0.25">
      <c r="A3600" s="1">
        <v>43496</v>
      </c>
      <c r="B3600">
        <v>120915</v>
      </c>
      <c r="C3600" t="s">
        <v>74</v>
      </c>
      <c r="D3600" t="s">
        <v>3334</v>
      </c>
      <c r="E3600" s="2">
        <v>125.39</v>
      </c>
    </row>
    <row r="3601" spans="1:5" x14ac:dyDescent="0.25">
      <c r="A3601" s="1">
        <v>43496</v>
      </c>
      <c r="B3601">
        <v>120915</v>
      </c>
      <c r="C3601" t="s">
        <v>74</v>
      </c>
      <c r="D3601" t="s">
        <v>3335</v>
      </c>
      <c r="E3601" s="2">
        <v>437.75</v>
      </c>
    </row>
    <row r="3602" spans="1:5" x14ac:dyDescent="0.25">
      <c r="A3602" s="1">
        <v>43496</v>
      </c>
      <c r="B3602">
        <v>120916</v>
      </c>
      <c r="C3602" t="s">
        <v>1340</v>
      </c>
      <c r="D3602" t="s">
        <v>270</v>
      </c>
      <c r="E3602" s="2">
        <v>639.62</v>
      </c>
    </row>
    <row r="3603" spans="1:5" x14ac:dyDescent="0.25">
      <c r="A3603" s="1">
        <v>43496</v>
      </c>
      <c r="B3603">
        <v>120917</v>
      </c>
      <c r="C3603" t="s">
        <v>142</v>
      </c>
      <c r="D3603" t="s">
        <v>3336</v>
      </c>
      <c r="E3603" s="2">
        <v>26.22</v>
      </c>
    </row>
    <row r="3604" spans="1:5" x14ac:dyDescent="0.25">
      <c r="A3604" s="1">
        <v>43496</v>
      </c>
      <c r="B3604">
        <v>120917</v>
      </c>
      <c r="C3604" t="s">
        <v>142</v>
      </c>
      <c r="D3604" t="s">
        <v>764</v>
      </c>
      <c r="E3604" s="3">
        <v>-25.5</v>
      </c>
    </row>
    <row r="3605" spans="1:5" x14ac:dyDescent="0.25">
      <c r="A3605" s="1">
        <v>43496</v>
      </c>
      <c r="B3605">
        <v>120917</v>
      </c>
      <c r="C3605" t="s">
        <v>142</v>
      </c>
      <c r="D3605" t="s">
        <v>3337</v>
      </c>
      <c r="E3605" s="2">
        <v>25.5</v>
      </c>
    </row>
    <row r="3606" spans="1:5" x14ac:dyDescent="0.25">
      <c r="A3606" s="1">
        <v>43496</v>
      </c>
      <c r="B3606">
        <v>120918</v>
      </c>
      <c r="C3606" t="s">
        <v>146</v>
      </c>
      <c r="D3606" t="s">
        <v>3338</v>
      </c>
      <c r="E3606" s="2">
        <v>182.18</v>
      </c>
    </row>
    <row r="3607" spans="1:5" x14ac:dyDescent="0.25">
      <c r="A3607" s="1">
        <v>43496</v>
      </c>
      <c r="B3607">
        <v>120919</v>
      </c>
      <c r="C3607" t="s">
        <v>2030</v>
      </c>
      <c r="D3607" t="s">
        <v>3339</v>
      </c>
      <c r="E3607" s="2">
        <v>150</v>
      </c>
    </row>
    <row r="3608" spans="1:5" x14ac:dyDescent="0.25">
      <c r="A3608" s="1">
        <v>43496</v>
      </c>
      <c r="B3608">
        <v>120920</v>
      </c>
      <c r="C3608" t="s">
        <v>734</v>
      </c>
      <c r="D3608" t="s">
        <v>3340</v>
      </c>
      <c r="E3608" s="2">
        <v>3211.6</v>
      </c>
    </row>
    <row r="3609" spans="1:5" x14ac:dyDescent="0.25">
      <c r="A3609" s="1">
        <v>43496</v>
      </c>
      <c r="B3609">
        <v>120921</v>
      </c>
      <c r="C3609" t="s">
        <v>336</v>
      </c>
      <c r="D3609" t="s">
        <v>3341</v>
      </c>
      <c r="E3609" s="2">
        <v>394.5</v>
      </c>
    </row>
    <row r="3610" spans="1:5" x14ac:dyDescent="0.25">
      <c r="A3610" s="1">
        <v>43496</v>
      </c>
      <c r="B3610">
        <v>120922</v>
      </c>
      <c r="C3610" t="s">
        <v>75</v>
      </c>
      <c r="D3610" t="s">
        <v>3342</v>
      </c>
      <c r="E3610" s="2">
        <v>68.819999999999993</v>
      </c>
    </row>
    <row r="3611" spans="1:5" x14ac:dyDescent="0.25">
      <c r="A3611" s="1">
        <v>43496</v>
      </c>
      <c r="B3611">
        <v>120922</v>
      </c>
      <c r="C3611" t="s">
        <v>75</v>
      </c>
      <c r="D3611" t="s">
        <v>3343</v>
      </c>
      <c r="E3611" s="2">
        <v>23.69</v>
      </c>
    </row>
    <row r="3612" spans="1:5" x14ac:dyDescent="0.25">
      <c r="A3612" s="1">
        <v>43496</v>
      </c>
      <c r="B3612">
        <v>120923</v>
      </c>
      <c r="C3612" t="s">
        <v>1837</v>
      </c>
      <c r="D3612" t="s">
        <v>1838</v>
      </c>
      <c r="E3612" s="2">
        <v>295</v>
      </c>
    </row>
    <row r="3613" spans="1:5" x14ac:dyDescent="0.25">
      <c r="A3613" s="1">
        <v>43496</v>
      </c>
      <c r="B3613">
        <v>120924</v>
      </c>
      <c r="C3613" t="s">
        <v>1026</v>
      </c>
      <c r="D3613" t="s">
        <v>3344</v>
      </c>
      <c r="E3613" s="2">
        <v>232.81</v>
      </c>
    </row>
    <row r="3614" spans="1:5" x14ac:dyDescent="0.25">
      <c r="A3614" s="1">
        <v>43496</v>
      </c>
      <c r="B3614">
        <v>120924</v>
      </c>
      <c r="C3614" t="s">
        <v>1026</v>
      </c>
      <c r="D3614" t="s">
        <v>3344</v>
      </c>
      <c r="E3614" s="2">
        <v>350</v>
      </c>
    </row>
    <row r="3615" spans="1:5" x14ac:dyDescent="0.25">
      <c r="A3615" s="1">
        <v>43496</v>
      </c>
      <c r="B3615">
        <v>120927</v>
      </c>
      <c r="C3615" t="s">
        <v>11</v>
      </c>
      <c r="D3615" t="s">
        <v>1486</v>
      </c>
      <c r="E3615" s="2">
        <v>353.19</v>
      </c>
    </row>
    <row r="3616" spans="1:5" x14ac:dyDescent="0.25">
      <c r="A3616" s="1">
        <v>43496</v>
      </c>
      <c r="B3616">
        <v>120927</v>
      </c>
      <c r="C3616" t="s">
        <v>11</v>
      </c>
      <c r="D3616" t="s">
        <v>3345</v>
      </c>
      <c r="E3616" s="2">
        <v>144.36000000000001</v>
      </c>
    </row>
    <row r="3617" spans="1:5" x14ac:dyDescent="0.25">
      <c r="A3617" s="1">
        <v>43496</v>
      </c>
      <c r="B3617">
        <v>120927</v>
      </c>
      <c r="C3617" t="s">
        <v>11</v>
      </c>
      <c r="D3617" t="s">
        <v>1224</v>
      </c>
      <c r="E3617" s="2">
        <v>218.79</v>
      </c>
    </row>
    <row r="3618" spans="1:5" x14ac:dyDescent="0.25">
      <c r="A3618" s="1">
        <v>43496</v>
      </c>
      <c r="B3618">
        <v>120927</v>
      </c>
      <c r="C3618" t="s">
        <v>11</v>
      </c>
      <c r="D3618" t="s">
        <v>2024</v>
      </c>
      <c r="E3618" s="2">
        <v>88.38</v>
      </c>
    </row>
    <row r="3619" spans="1:5" x14ac:dyDescent="0.25">
      <c r="A3619" s="1">
        <v>43496</v>
      </c>
      <c r="B3619">
        <v>120927</v>
      </c>
      <c r="C3619" t="s">
        <v>11</v>
      </c>
      <c r="D3619" t="s">
        <v>2024</v>
      </c>
      <c r="E3619" s="2">
        <v>39.979999999999997</v>
      </c>
    </row>
    <row r="3620" spans="1:5" x14ac:dyDescent="0.25">
      <c r="A3620" s="1">
        <v>43496</v>
      </c>
      <c r="B3620">
        <v>120927</v>
      </c>
      <c r="C3620" t="s">
        <v>11</v>
      </c>
      <c r="D3620" t="s">
        <v>2024</v>
      </c>
      <c r="E3620" s="2">
        <v>28.8</v>
      </c>
    </row>
    <row r="3621" spans="1:5" x14ac:dyDescent="0.25">
      <c r="A3621" s="1">
        <v>43496</v>
      </c>
      <c r="B3621">
        <v>120927</v>
      </c>
      <c r="C3621" t="s">
        <v>11</v>
      </c>
      <c r="D3621" t="s">
        <v>3346</v>
      </c>
      <c r="E3621" s="2">
        <v>186.29</v>
      </c>
    </row>
    <row r="3622" spans="1:5" x14ac:dyDescent="0.25">
      <c r="A3622" s="1">
        <v>43496</v>
      </c>
      <c r="B3622">
        <v>120927</v>
      </c>
      <c r="C3622" t="s">
        <v>11</v>
      </c>
      <c r="D3622" t="s">
        <v>2024</v>
      </c>
      <c r="E3622" s="2">
        <v>242.43</v>
      </c>
    </row>
    <row r="3623" spans="1:5" x14ac:dyDescent="0.25">
      <c r="A3623" s="1">
        <v>43496</v>
      </c>
      <c r="B3623">
        <v>120927</v>
      </c>
      <c r="C3623" t="s">
        <v>11</v>
      </c>
      <c r="D3623" t="s">
        <v>2024</v>
      </c>
      <c r="E3623" s="2">
        <v>49.89</v>
      </c>
    </row>
    <row r="3624" spans="1:5" x14ac:dyDescent="0.25">
      <c r="A3624" s="1">
        <v>43496</v>
      </c>
      <c r="B3624">
        <v>120927</v>
      </c>
      <c r="C3624" t="s">
        <v>11</v>
      </c>
      <c r="D3624" t="s">
        <v>3347</v>
      </c>
      <c r="E3624" s="2">
        <v>64.55</v>
      </c>
    </row>
    <row r="3625" spans="1:5" x14ac:dyDescent="0.25">
      <c r="A3625" s="1">
        <v>43496</v>
      </c>
      <c r="B3625">
        <v>120927</v>
      </c>
      <c r="C3625" t="s">
        <v>11</v>
      </c>
      <c r="D3625" t="s">
        <v>3348</v>
      </c>
      <c r="E3625" s="2">
        <v>90.37</v>
      </c>
    </row>
    <row r="3626" spans="1:5" x14ac:dyDescent="0.25">
      <c r="A3626" s="1">
        <v>43496</v>
      </c>
      <c r="B3626">
        <v>120927</v>
      </c>
      <c r="C3626" t="s">
        <v>11</v>
      </c>
      <c r="D3626" t="s">
        <v>3347</v>
      </c>
      <c r="E3626" s="2">
        <v>209.98</v>
      </c>
    </row>
    <row r="3627" spans="1:5" x14ac:dyDescent="0.25">
      <c r="A3627" s="1">
        <v>43496</v>
      </c>
      <c r="B3627">
        <v>120928</v>
      </c>
      <c r="C3627" t="s">
        <v>12</v>
      </c>
      <c r="D3627" t="s">
        <v>3349</v>
      </c>
      <c r="E3627" s="2">
        <v>296.86</v>
      </c>
    </row>
    <row r="3628" spans="1:5" x14ac:dyDescent="0.25">
      <c r="A3628" s="1">
        <v>43496</v>
      </c>
      <c r="B3628">
        <v>120929</v>
      </c>
      <c r="C3628" t="s">
        <v>295</v>
      </c>
      <c r="D3628" t="s">
        <v>3350</v>
      </c>
      <c r="E3628" s="2">
        <v>975</v>
      </c>
    </row>
    <row r="3629" spans="1:5" x14ac:dyDescent="0.25">
      <c r="A3629" s="1">
        <v>43496</v>
      </c>
      <c r="B3629">
        <v>120930</v>
      </c>
      <c r="C3629" t="s">
        <v>3351</v>
      </c>
      <c r="D3629" t="s">
        <v>3352</v>
      </c>
      <c r="E3629" s="2">
        <v>16.36</v>
      </c>
    </row>
    <row r="3630" spans="1:5" x14ac:dyDescent="0.25">
      <c r="A3630" s="1">
        <v>43496</v>
      </c>
      <c r="B3630">
        <v>120931</v>
      </c>
      <c r="C3630" t="s">
        <v>2579</v>
      </c>
      <c r="D3630" t="s">
        <v>3353</v>
      </c>
      <c r="E3630" s="2">
        <v>910.05</v>
      </c>
    </row>
    <row r="3631" spans="1:5" x14ac:dyDescent="0.25">
      <c r="A3631" s="1">
        <v>43496</v>
      </c>
      <c r="B3631">
        <v>120932</v>
      </c>
      <c r="C3631" t="s">
        <v>50</v>
      </c>
      <c r="D3631" t="s">
        <v>2047</v>
      </c>
      <c r="E3631" s="2">
        <v>5585</v>
      </c>
    </row>
    <row r="3632" spans="1:5" x14ac:dyDescent="0.25">
      <c r="A3632" s="1">
        <v>43496</v>
      </c>
      <c r="B3632">
        <v>120933</v>
      </c>
      <c r="C3632" t="s">
        <v>51</v>
      </c>
      <c r="D3632" t="s">
        <v>2049</v>
      </c>
      <c r="E3632" s="2">
        <v>50.7</v>
      </c>
    </row>
    <row r="3633" spans="1:5" x14ac:dyDescent="0.25">
      <c r="A3633" s="1">
        <v>43496</v>
      </c>
      <c r="B3633">
        <v>120933</v>
      </c>
      <c r="C3633" t="s">
        <v>51</v>
      </c>
      <c r="D3633" t="s">
        <v>2227</v>
      </c>
      <c r="E3633" s="2">
        <v>51.05</v>
      </c>
    </row>
    <row r="3634" spans="1:5" x14ac:dyDescent="0.25">
      <c r="A3634" s="1">
        <v>43496</v>
      </c>
      <c r="B3634">
        <v>120934</v>
      </c>
      <c r="C3634" t="s">
        <v>3354</v>
      </c>
      <c r="D3634" t="s">
        <v>3355</v>
      </c>
      <c r="E3634" s="2">
        <v>85</v>
      </c>
    </row>
    <row r="3635" spans="1:5" x14ac:dyDescent="0.25">
      <c r="A3635" s="1">
        <v>43496</v>
      </c>
      <c r="B3635">
        <v>120935</v>
      </c>
      <c r="C3635" t="s">
        <v>3356</v>
      </c>
      <c r="D3635" t="s">
        <v>3357</v>
      </c>
      <c r="E3635" s="2">
        <v>150</v>
      </c>
    </row>
    <row r="3636" spans="1:5" x14ac:dyDescent="0.25">
      <c r="A3636" s="1">
        <v>43496</v>
      </c>
      <c r="B3636">
        <v>120936</v>
      </c>
      <c r="C3636" t="s">
        <v>631</v>
      </c>
      <c r="D3636" t="s">
        <v>3358</v>
      </c>
      <c r="E3636" s="2">
        <v>785.07</v>
      </c>
    </row>
    <row r="3637" spans="1:5" x14ac:dyDescent="0.25">
      <c r="A3637" s="1">
        <v>43496</v>
      </c>
      <c r="B3637">
        <v>120936</v>
      </c>
      <c r="C3637" t="s">
        <v>631</v>
      </c>
      <c r="D3637" t="s">
        <v>3359</v>
      </c>
      <c r="E3637" s="2">
        <v>37.229999999999997</v>
      </c>
    </row>
    <row r="3638" spans="1:5" x14ac:dyDescent="0.25">
      <c r="A3638" s="1">
        <v>43496</v>
      </c>
      <c r="B3638">
        <v>120936</v>
      </c>
      <c r="C3638" t="s">
        <v>631</v>
      </c>
      <c r="D3638" t="s">
        <v>3345</v>
      </c>
      <c r="E3638" s="2">
        <v>527.29999999999995</v>
      </c>
    </row>
    <row r="3639" spans="1:5" x14ac:dyDescent="0.25">
      <c r="A3639" s="1">
        <v>43496</v>
      </c>
      <c r="B3639">
        <v>120937</v>
      </c>
      <c r="C3639" t="s">
        <v>382</v>
      </c>
      <c r="D3639" t="s">
        <v>3360</v>
      </c>
      <c r="E3639" s="2">
        <v>5</v>
      </c>
    </row>
    <row r="3640" spans="1:5" x14ac:dyDescent="0.25">
      <c r="A3640" s="1">
        <v>43496</v>
      </c>
      <c r="B3640">
        <v>120937</v>
      </c>
      <c r="C3640" t="s">
        <v>382</v>
      </c>
      <c r="D3640" t="s">
        <v>3360</v>
      </c>
      <c r="E3640" s="2">
        <v>44</v>
      </c>
    </row>
    <row r="3641" spans="1:5" x14ac:dyDescent="0.25">
      <c r="A3641" s="1">
        <v>43496</v>
      </c>
      <c r="B3641">
        <v>120938</v>
      </c>
      <c r="C3641" t="s">
        <v>760</v>
      </c>
      <c r="D3641" t="s">
        <v>2507</v>
      </c>
      <c r="E3641" s="2">
        <v>263.22000000000003</v>
      </c>
    </row>
    <row r="3642" spans="1:5" x14ac:dyDescent="0.25">
      <c r="A3642" s="1">
        <v>43496</v>
      </c>
      <c r="B3642">
        <v>120938</v>
      </c>
      <c r="C3642" t="s">
        <v>760</v>
      </c>
      <c r="D3642" t="s">
        <v>3361</v>
      </c>
      <c r="E3642" s="2">
        <v>46.31</v>
      </c>
    </row>
    <row r="3643" spans="1:5" x14ac:dyDescent="0.25">
      <c r="A3643" s="1">
        <v>43496</v>
      </c>
      <c r="B3643">
        <v>120939</v>
      </c>
      <c r="C3643" t="s">
        <v>2591</v>
      </c>
      <c r="D3643" t="s">
        <v>3362</v>
      </c>
      <c r="E3643" s="2">
        <v>422.5</v>
      </c>
    </row>
    <row r="3644" spans="1:5" x14ac:dyDescent="0.25">
      <c r="A3644" s="1">
        <v>43496</v>
      </c>
      <c r="B3644">
        <v>120940</v>
      </c>
      <c r="C3644" t="s">
        <v>308</v>
      </c>
      <c r="D3644" t="s">
        <v>3363</v>
      </c>
      <c r="E3644" s="2">
        <v>455</v>
      </c>
    </row>
    <row r="3645" spans="1:5" x14ac:dyDescent="0.25">
      <c r="A3645" s="1">
        <v>43496</v>
      </c>
      <c r="B3645">
        <v>120940</v>
      </c>
      <c r="C3645" t="s">
        <v>308</v>
      </c>
      <c r="D3645" t="s">
        <v>3364</v>
      </c>
      <c r="E3645" s="2">
        <v>13362.33</v>
      </c>
    </row>
    <row r="3646" spans="1:5" x14ac:dyDescent="0.25">
      <c r="A3646" s="1">
        <v>43496</v>
      </c>
      <c r="B3646">
        <v>120941</v>
      </c>
      <c r="C3646" t="s">
        <v>2061</v>
      </c>
      <c r="D3646" t="s">
        <v>3365</v>
      </c>
      <c r="E3646" s="2">
        <v>149</v>
      </c>
    </row>
    <row r="3647" spans="1:5" x14ac:dyDescent="0.25">
      <c r="A3647" s="1">
        <v>43496</v>
      </c>
      <c r="B3647">
        <v>120941</v>
      </c>
      <c r="C3647" t="s">
        <v>2061</v>
      </c>
      <c r="D3647" t="s">
        <v>3366</v>
      </c>
      <c r="E3647" s="2">
        <v>199</v>
      </c>
    </row>
    <row r="3648" spans="1:5" x14ac:dyDescent="0.25">
      <c r="A3648" s="1">
        <v>43496</v>
      </c>
      <c r="B3648">
        <v>120942</v>
      </c>
      <c r="C3648" t="s">
        <v>160</v>
      </c>
      <c r="D3648" t="s">
        <v>3367</v>
      </c>
      <c r="E3648" s="2">
        <v>3610</v>
      </c>
    </row>
    <row r="3649" spans="1:5" x14ac:dyDescent="0.25">
      <c r="A3649" s="1">
        <v>43496</v>
      </c>
      <c r="B3649">
        <v>120944</v>
      </c>
      <c r="C3649" t="s">
        <v>161</v>
      </c>
      <c r="D3649" t="s">
        <v>3225</v>
      </c>
      <c r="E3649" s="2">
        <f>2676+5352+2007-669+5320-1338</f>
        <v>13348</v>
      </c>
    </row>
    <row r="3650" spans="1:5" x14ac:dyDescent="0.25">
      <c r="A3650" s="1">
        <v>43496</v>
      </c>
      <c r="B3650">
        <v>120945</v>
      </c>
      <c r="C3650" t="s">
        <v>1516</v>
      </c>
      <c r="D3650" t="s">
        <v>3192</v>
      </c>
      <c r="E3650" s="2">
        <f>84+132</f>
        <v>216</v>
      </c>
    </row>
    <row r="3651" spans="1:5" x14ac:dyDescent="0.25">
      <c r="A3651" s="1">
        <v>43496</v>
      </c>
      <c r="B3651">
        <v>120946</v>
      </c>
      <c r="C3651" t="s">
        <v>317</v>
      </c>
      <c r="D3651" t="s">
        <v>3368</v>
      </c>
      <c r="E3651" s="2">
        <v>3500</v>
      </c>
    </row>
    <row r="3652" spans="1:5" x14ac:dyDescent="0.25">
      <c r="A3652" s="1">
        <v>43496</v>
      </c>
      <c r="B3652">
        <v>120947</v>
      </c>
      <c r="C3652" t="s">
        <v>55</v>
      </c>
      <c r="D3652" t="s">
        <v>3369</v>
      </c>
      <c r="E3652" s="2">
        <v>470</v>
      </c>
    </row>
    <row r="3653" spans="1:5" x14ac:dyDescent="0.25">
      <c r="A3653" s="1">
        <v>43496</v>
      </c>
      <c r="B3653">
        <v>120949</v>
      </c>
      <c r="C3653" t="s">
        <v>1518</v>
      </c>
      <c r="D3653" t="s">
        <v>3225</v>
      </c>
      <c r="E3653" s="2">
        <f>225+325+275</f>
        <v>825</v>
      </c>
    </row>
    <row r="3654" spans="1:5" x14ac:dyDescent="0.25">
      <c r="A3654" s="1">
        <v>43496</v>
      </c>
      <c r="B3654">
        <v>120950</v>
      </c>
      <c r="C3654" t="s">
        <v>162</v>
      </c>
      <c r="D3654" t="s">
        <v>163</v>
      </c>
      <c r="E3654" s="2">
        <v>1677</v>
      </c>
    </row>
    <row r="3655" spans="1:5" x14ac:dyDescent="0.25">
      <c r="A3655" s="1">
        <v>43496</v>
      </c>
      <c r="B3655">
        <v>120951</v>
      </c>
      <c r="C3655" t="s">
        <v>320</v>
      </c>
      <c r="D3655" t="s">
        <v>3370</v>
      </c>
      <c r="E3655" s="2">
        <v>1834</v>
      </c>
    </row>
    <row r="3656" spans="1:5" x14ac:dyDescent="0.25">
      <c r="A3656" s="1">
        <v>43496</v>
      </c>
      <c r="B3656">
        <v>120952</v>
      </c>
      <c r="C3656" t="s">
        <v>3371</v>
      </c>
      <c r="D3656" t="s">
        <v>3225</v>
      </c>
      <c r="E3656" s="2">
        <v>525</v>
      </c>
    </row>
    <row r="3657" spans="1:5" x14ac:dyDescent="0.25">
      <c r="A3657" s="1">
        <v>43496</v>
      </c>
      <c r="B3657">
        <v>120953</v>
      </c>
      <c r="C3657" t="s">
        <v>3372</v>
      </c>
      <c r="D3657" t="s">
        <v>3373</v>
      </c>
      <c r="E3657" s="2">
        <v>120</v>
      </c>
    </row>
    <row r="3658" spans="1:5" x14ac:dyDescent="0.25">
      <c r="A3658" s="1">
        <v>43496</v>
      </c>
      <c r="B3658">
        <v>120954</v>
      </c>
      <c r="C3658" t="s">
        <v>2248</v>
      </c>
      <c r="D3658" t="s">
        <v>3374</v>
      </c>
      <c r="E3658" s="2">
        <v>519.25</v>
      </c>
    </row>
    <row r="3659" spans="1:5" x14ac:dyDescent="0.25">
      <c r="A3659" s="1">
        <v>43496</v>
      </c>
      <c r="B3659">
        <v>120955</v>
      </c>
      <c r="C3659" t="s">
        <v>323</v>
      </c>
      <c r="D3659" t="s">
        <v>3225</v>
      </c>
      <c r="E3659" s="2">
        <f>336+374+374+374</f>
        <v>1458</v>
      </c>
    </row>
    <row r="3660" spans="1:5" x14ac:dyDescent="0.25">
      <c r="A3660" s="1">
        <v>43496</v>
      </c>
      <c r="B3660">
        <v>120956</v>
      </c>
      <c r="C3660" t="s">
        <v>3375</v>
      </c>
      <c r="D3660" t="s">
        <v>3376</v>
      </c>
      <c r="E3660" s="2">
        <v>220</v>
      </c>
    </row>
    <row r="3661" spans="1:5" x14ac:dyDescent="0.25">
      <c r="A3661" s="1">
        <v>43496</v>
      </c>
      <c r="B3661">
        <v>120957</v>
      </c>
      <c r="C3661" t="s">
        <v>2252</v>
      </c>
      <c r="D3661" t="s">
        <v>3377</v>
      </c>
      <c r="E3661" s="2">
        <v>1121.25</v>
      </c>
    </row>
    <row r="3662" spans="1:5" x14ac:dyDescent="0.25">
      <c r="A3662" s="1">
        <v>43496</v>
      </c>
      <c r="B3662">
        <v>120958</v>
      </c>
      <c r="C3662" t="s">
        <v>2073</v>
      </c>
      <c r="D3662" t="s">
        <v>3225</v>
      </c>
      <c r="E3662" s="2">
        <v>430</v>
      </c>
    </row>
    <row r="3663" spans="1:5" x14ac:dyDescent="0.25">
      <c r="A3663" s="1">
        <v>43496</v>
      </c>
      <c r="B3663">
        <v>120959</v>
      </c>
      <c r="C3663" t="s">
        <v>2495</v>
      </c>
      <c r="D3663" t="s">
        <v>3378</v>
      </c>
      <c r="E3663" s="2">
        <v>419.83</v>
      </c>
    </row>
    <row r="3664" spans="1:5" x14ac:dyDescent="0.25">
      <c r="A3664" s="1">
        <v>43496</v>
      </c>
      <c r="B3664">
        <v>120960</v>
      </c>
      <c r="C3664" t="s">
        <v>1729</v>
      </c>
      <c r="D3664" t="s">
        <v>3379</v>
      </c>
      <c r="E3664" s="2">
        <v>3.54</v>
      </c>
    </row>
    <row r="3665" spans="1:6" x14ac:dyDescent="0.25">
      <c r="A3665" s="1">
        <v>43496</v>
      </c>
      <c r="B3665">
        <v>120961</v>
      </c>
      <c r="C3665" t="s">
        <v>179</v>
      </c>
      <c r="D3665" t="s">
        <v>3149</v>
      </c>
      <c r="E3665" s="2">
        <v>57.74</v>
      </c>
    </row>
    <row r="3666" spans="1:6" x14ac:dyDescent="0.25">
      <c r="A3666" s="1">
        <v>43496</v>
      </c>
      <c r="B3666">
        <v>120962</v>
      </c>
      <c r="C3666" t="s">
        <v>3380</v>
      </c>
      <c r="D3666" t="s">
        <v>3381</v>
      </c>
      <c r="E3666" s="2">
        <v>179.85</v>
      </c>
    </row>
    <row r="3667" spans="1:6" x14ac:dyDescent="0.25">
      <c r="A3667" s="1">
        <v>43496</v>
      </c>
      <c r="B3667">
        <v>120963</v>
      </c>
      <c r="C3667" t="s">
        <v>3382</v>
      </c>
      <c r="D3667" t="s">
        <v>3383</v>
      </c>
      <c r="E3667" s="2">
        <v>250</v>
      </c>
    </row>
    <row r="3668" spans="1:6" x14ac:dyDescent="0.25">
      <c r="A3668" s="1">
        <v>43496</v>
      </c>
      <c r="B3668">
        <v>120964</v>
      </c>
      <c r="C3668" t="s">
        <v>327</v>
      </c>
      <c r="D3668" t="s">
        <v>3384</v>
      </c>
      <c r="E3668" s="2">
        <v>50</v>
      </c>
    </row>
    <row r="3669" spans="1:6" x14ac:dyDescent="0.25">
      <c r="A3669" s="1">
        <v>43496</v>
      </c>
      <c r="B3669">
        <v>120965</v>
      </c>
      <c r="C3669" t="s">
        <v>3385</v>
      </c>
      <c r="D3669" t="s">
        <v>3386</v>
      </c>
      <c r="E3669" s="2">
        <v>23963.94</v>
      </c>
    </row>
    <row r="3670" spans="1:6" x14ac:dyDescent="0.25">
      <c r="A3670" s="1">
        <v>43496</v>
      </c>
      <c r="B3670">
        <v>120966</v>
      </c>
      <c r="C3670" t="s">
        <v>780</v>
      </c>
      <c r="D3670" t="s">
        <v>3387</v>
      </c>
      <c r="E3670" s="2">
        <v>992.5</v>
      </c>
    </row>
    <row r="3671" spans="1:6" x14ac:dyDescent="0.25">
      <c r="A3671" s="1">
        <v>43496</v>
      </c>
      <c r="B3671">
        <v>120967</v>
      </c>
      <c r="C3671" t="s">
        <v>3388</v>
      </c>
      <c r="D3671" t="s">
        <v>3389</v>
      </c>
      <c r="E3671" s="2">
        <v>400</v>
      </c>
    </row>
    <row r="3672" spans="1:6" x14ac:dyDescent="0.25">
      <c r="A3672" s="1">
        <v>43496</v>
      </c>
      <c r="B3672">
        <v>120968</v>
      </c>
      <c r="C3672" t="s">
        <v>19</v>
      </c>
      <c r="D3672" t="s">
        <v>3390</v>
      </c>
      <c r="E3672" s="2">
        <v>1247</v>
      </c>
    </row>
    <row r="3673" spans="1:6" x14ac:dyDescent="0.25">
      <c r="C3673" t="s">
        <v>2659</v>
      </c>
      <c r="F3673" s="9">
        <f>SUM(E2799:E3672)</f>
        <v>1558026.6199999994</v>
      </c>
    </row>
    <row r="3674" spans="1:6" x14ac:dyDescent="0.25">
      <c r="A3674" s="1">
        <v>43501</v>
      </c>
      <c r="B3674">
        <v>120969</v>
      </c>
      <c r="C3674" t="s">
        <v>629</v>
      </c>
      <c r="D3674" t="s">
        <v>3391</v>
      </c>
      <c r="E3674" s="2">
        <v>353.24</v>
      </c>
    </row>
    <row r="3675" spans="1:6" x14ac:dyDescent="0.25">
      <c r="A3675" s="1">
        <v>43501</v>
      </c>
      <c r="B3675">
        <v>120970</v>
      </c>
      <c r="C3675" t="s">
        <v>308</v>
      </c>
      <c r="D3675" t="s">
        <v>3392</v>
      </c>
      <c r="E3675" s="2">
        <v>700</v>
      </c>
    </row>
    <row r="3676" spans="1:6" x14ac:dyDescent="0.25">
      <c r="A3676" s="1">
        <v>43501</v>
      </c>
      <c r="B3676">
        <v>120970</v>
      </c>
      <c r="C3676" t="s">
        <v>308</v>
      </c>
      <c r="D3676" t="s">
        <v>3393</v>
      </c>
      <c r="E3676" s="2">
        <v>590</v>
      </c>
    </row>
    <row r="3677" spans="1:6" x14ac:dyDescent="0.25">
      <c r="A3677" s="1">
        <v>43501</v>
      </c>
      <c r="B3677">
        <v>120970</v>
      </c>
      <c r="C3677" t="s">
        <v>308</v>
      </c>
      <c r="D3677" t="s">
        <v>4228</v>
      </c>
      <c r="E3677" s="2">
        <v>16296</v>
      </c>
    </row>
    <row r="3678" spans="1:6" x14ac:dyDescent="0.25">
      <c r="A3678" s="1">
        <v>43502</v>
      </c>
      <c r="B3678">
        <v>120971</v>
      </c>
      <c r="C3678" t="s">
        <v>3394</v>
      </c>
      <c r="D3678" t="s">
        <v>3395</v>
      </c>
      <c r="E3678" s="2">
        <v>500</v>
      </c>
    </row>
    <row r="3679" spans="1:6" x14ac:dyDescent="0.25">
      <c r="A3679" s="1">
        <v>43502</v>
      </c>
      <c r="B3679">
        <v>120972</v>
      </c>
      <c r="C3679" t="s">
        <v>31</v>
      </c>
      <c r="D3679" t="s">
        <v>3396</v>
      </c>
      <c r="E3679" s="2">
        <v>163.19999999999999</v>
      </c>
    </row>
    <row r="3680" spans="1:6" x14ac:dyDescent="0.25">
      <c r="A3680" s="1">
        <v>43502</v>
      </c>
      <c r="B3680">
        <v>120973</v>
      </c>
      <c r="C3680" t="s">
        <v>1324</v>
      </c>
      <c r="D3680" t="s">
        <v>3397</v>
      </c>
      <c r="E3680" s="2">
        <v>259.2</v>
      </c>
    </row>
    <row r="3681" spans="1:5" x14ac:dyDescent="0.25">
      <c r="A3681" s="1">
        <v>43502</v>
      </c>
      <c r="B3681">
        <v>120974</v>
      </c>
      <c r="C3681" t="s">
        <v>68</v>
      </c>
      <c r="D3681" t="s">
        <v>3398</v>
      </c>
      <c r="E3681" s="2">
        <v>301.11</v>
      </c>
    </row>
    <row r="3682" spans="1:5" x14ac:dyDescent="0.25">
      <c r="A3682" s="1">
        <v>43502</v>
      </c>
      <c r="B3682">
        <v>120975</v>
      </c>
      <c r="C3682" t="s">
        <v>1092</v>
      </c>
      <c r="D3682" t="s">
        <v>3399</v>
      </c>
      <c r="E3682" s="2">
        <v>225</v>
      </c>
    </row>
    <row r="3683" spans="1:5" x14ac:dyDescent="0.25">
      <c r="A3683" s="1">
        <v>43502</v>
      </c>
      <c r="B3683">
        <v>120975</v>
      </c>
      <c r="C3683" t="s">
        <v>1092</v>
      </c>
      <c r="D3683" t="s">
        <v>3400</v>
      </c>
      <c r="E3683" s="2">
        <v>88</v>
      </c>
    </row>
    <row r="3684" spans="1:5" x14ac:dyDescent="0.25">
      <c r="A3684" s="1">
        <v>43502</v>
      </c>
      <c r="B3684">
        <v>120976</v>
      </c>
      <c r="C3684" t="s">
        <v>3401</v>
      </c>
      <c r="D3684" t="s">
        <v>3402</v>
      </c>
      <c r="E3684" s="2">
        <v>1580</v>
      </c>
    </row>
    <row r="3685" spans="1:5" x14ac:dyDescent="0.25">
      <c r="A3685" s="1">
        <v>43502</v>
      </c>
      <c r="B3685">
        <v>120977</v>
      </c>
      <c r="C3685" t="s">
        <v>201</v>
      </c>
      <c r="D3685" t="s">
        <v>202</v>
      </c>
      <c r="E3685" s="2">
        <v>15</v>
      </c>
    </row>
    <row r="3686" spans="1:5" x14ac:dyDescent="0.25">
      <c r="A3686" s="1">
        <v>43502</v>
      </c>
      <c r="B3686">
        <v>120978</v>
      </c>
      <c r="C3686" t="s">
        <v>1762</v>
      </c>
      <c r="D3686" t="s">
        <v>3403</v>
      </c>
      <c r="E3686" s="2">
        <v>100</v>
      </c>
    </row>
    <row r="3687" spans="1:5" x14ac:dyDescent="0.25">
      <c r="A3687" s="1">
        <v>43502</v>
      </c>
      <c r="B3687">
        <v>120979</v>
      </c>
      <c r="C3687" t="s">
        <v>269</v>
      </c>
      <c r="D3687" t="s">
        <v>3404</v>
      </c>
      <c r="E3687" s="2">
        <v>116.45</v>
      </c>
    </row>
    <row r="3688" spans="1:5" x14ac:dyDescent="0.25">
      <c r="A3688" s="1">
        <v>43502</v>
      </c>
      <c r="B3688">
        <v>120980</v>
      </c>
      <c r="C3688" t="s">
        <v>3405</v>
      </c>
      <c r="D3688" t="s">
        <v>3406</v>
      </c>
      <c r="E3688" s="2">
        <v>221.49</v>
      </c>
    </row>
    <row r="3689" spans="1:5" x14ac:dyDescent="0.25">
      <c r="A3689" s="1">
        <v>43502</v>
      </c>
      <c r="B3689">
        <v>120981</v>
      </c>
      <c r="C3689" t="s">
        <v>12</v>
      </c>
      <c r="D3689" t="s">
        <v>3407</v>
      </c>
      <c r="E3689" s="2">
        <v>111.39</v>
      </c>
    </row>
    <row r="3690" spans="1:5" x14ac:dyDescent="0.25">
      <c r="A3690" s="1">
        <v>43502</v>
      </c>
      <c r="B3690">
        <v>120982</v>
      </c>
      <c r="C3690" t="s">
        <v>77</v>
      </c>
      <c r="D3690" t="s">
        <v>1769</v>
      </c>
      <c r="E3690" s="2">
        <v>77.75</v>
      </c>
    </row>
    <row r="3691" spans="1:5" x14ac:dyDescent="0.25">
      <c r="A3691" s="1">
        <v>43502</v>
      </c>
      <c r="B3691">
        <v>120983</v>
      </c>
      <c r="C3691" t="s">
        <v>77</v>
      </c>
      <c r="D3691" t="s">
        <v>1769</v>
      </c>
      <c r="E3691" s="2">
        <v>49</v>
      </c>
    </row>
    <row r="3692" spans="1:5" x14ac:dyDescent="0.25">
      <c r="A3692" s="1">
        <v>43502</v>
      </c>
      <c r="B3692">
        <v>120984</v>
      </c>
      <c r="C3692" t="s">
        <v>77</v>
      </c>
      <c r="D3692" t="s">
        <v>3408</v>
      </c>
      <c r="E3692" s="2">
        <v>86.32</v>
      </c>
    </row>
    <row r="3693" spans="1:5" x14ac:dyDescent="0.25">
      <c r="A3693" s="1">
        <v>43502</v>
      </c>
      <c r="B3693">
        <v>120985</v>
      </c>
      <c r="C3693" t="s">
        <v>80</v>
      </c>
      <c r="D3693" t="s">
        <v>3409</v>
      </c>
      <c r="E3693" s="2">
        <v>95.83</v>
      </c>
    </row>
    <row r="3694" spans="1:5" x14ac:dyDescent="0.25">
      <c r="A3694" s="1">
        <v>43502</v>
      </c>
      <c r="B3694">
        <v>120986</v>
      </c>
      <c r="C3694" t="s">
        <v>16</v>
      </c>
      <c r="D3694" t="s">
        <v>3410</v>
      </c>
      <c r="E3694" s="2">
        <v>543.61</v>
      </c>
    </row>
    <row r="3695" spans="1:5" x14ac:dyDescent="0.25">
      <c r="A3695" s="1">
        <v>43502</v>
      </c>
      <c r="B3695">
        <v>120987</v>
      </c>
      <c r="C3695" t="s">
        <v>3411</v>
      </c>
      <c r="D3695" t="s">
        <v>3412</v>
      </c>
      <c r="E3695" s="2">
        <v>15</v>
      </c>
    </row>
    <row r="3696" spans="1:5" x14ac:dyDescent="0.25">
      <c r="A3696" s="1">
        <v>43502</v>
      </c>
      <c r="B3696">
        <v>120988</v>
      </c>
      <c r="C3696" t="s">
        <v>3413</v>
      </c>
      <c r="D3696" t="s">
        <v>3414</v>
      </c>
      <c r="E3696" s="2">
        <v>480</v>
      </c>
    </row>
    <row r="3697" spans="1:5" x14ac:dyDescent="0.25">
      <c r="A3697" s="1">
        <v>43502</v>
      </c>
      <c r="B3697">
        <v>120989</v>
      </c>
      <c r="C3697" t="s">
        <v>3413</v>
      </c>
      <c r="D3697" t="s">
        <v>3415</v>
      </c>
      <c r="E3697" s="2">
        <v>32</v>
      </c>
    </row>
    <row r="3698" spans="1:5" x14ac:dyDescent="0.25">
      <c r="A3698" s="1">
        <v>43502</v>
      </c>
      <c r="B3698">
        <v>120990</v>
      </c>
      <c r="C3698" t="s">
        <v>1711</v>
      </c>
      <c r="D3698" t="s">
        <v>3416</v>
      </c>
      <c r="E3698" s="2">
        <v>1230</v>
      </c>
    </row>
    <row r="3699" spans="1:5" x14ac:dyDescent="0.25">
      <c r="A3699" s="1">
        <v>43502</v>
      </c>
      <c r="B3699">
        <v>120991</v>
      </c>
      <c r="C3699" t="s">
        <v>1711</v>
      </c>
      <c r="D3699" t="s">
        <v>2670</v>
      </c>
      <c r="E3699" s="2">
        <v>82</v>
      </c>
    </row>
    <row r="3700" spans="1:5" x14ac:dyDescent="0.25">
      <c r="A3700" s="1">
        <v>43502</v>
      </c>
      <c r="B3700">
        <v>120992</v>
      </c>
      <c r="C3700" t="s">
        <v>639</v>
      </c>
      <c r="D3700" t="s">
        <v>3417</v>
      </c>
      <c r="E3700" s="2">
        <v>180.83</v>
      </c>
    </row>
    <row r="3701" spans="1:5" x14ac:dyDescent="0.25">
      <c r="A3701" s="1">
        <v>43502</v>
      </c>
      <c r="B3701">
        <v>120993</v>
      </c>
      <c r="C3701" t="s">
        <v>213</v>
      </c>
      <c r="D3701" t="s">
        <v>3418</v>
      </c>
      <c r="E3701" s="2">
        <v>211.88</v>
      </c>
    </row>
    <row r="3702" spans="1:5" x14ac:dyDescent="0.25">
      <c r="A3702" s="1">
        <v>43502</v>
      </c>
      <c r="B3702">
        <v>120994</v>
      </c>
      <c r="C3702" t="s">
        <v>2968</v>
      </c>
      <c r="D3702" t="s">
        <v>3419</v>
      </c>
      <c r="E3702" s="2">
        <v>150</v>
      </c>
    </row>
    <row r="3703" spans="1:5" x14ac:dyDescent="0.25">
      <c r="A3703" s="1">
        <v>43502</v>
      </c>
      <c r="B3703">
        <v>120995</v>
      </c>
      <c r="C3703" t="s">
        <v>3420</v>
      </c>
      <c r="D3703" t="s">
        <v>3421</v>
      </c>
      <c r="E3703" s="2">
        <v>1000.5</v>
      </c>
    </row>
    <row r="3704" spans="1:5" x14ac:dyDescent="0.25">
      <c r="A3704" s="1">
        <v>43502</v>
      </c>
      <c r="B3704">
        <v>120996</v>
      </c>
      <c r="C3704" t="s">
        <v>809</v>
      </c>
      <c r="D3704" t="s">
        <v>3422</v>
      </c>
      <c r="E3704" s="2">
        <v>50.78</v>
      </c>
    </row>
    <row r="3705" spans="1:5" x14ac:dyDescent="0.25">
      <c r="A3705" s="1">
        <v>43502</v>
      </c>
      <c r="B3705">
        <v>120997</v>
      </c>
      <c r="C3705" t="s">
        <v>2865</v>
      </c>
      <c r="D3705" t="s">
        <v>3423</v>
      </c>
      <c r="E3705" s="2">
        <v>4374.17</v>
      </c>
    </row>
    <row r="3706" spans="1:5" x14ac:dyDescent="0.25">
      <c r="A3706" s="1">
        <v>43503</v>
      </c>
      <c r="B3706">
        <v>120998</v>
      </c>
      <c r="C3706" t="s">
        <v>235</v>
      </c>
      <c r="D3706" t="s">
        <v>3424</v>
      </c>
      <c r="E3706" s="2">
        <v>405</v>
      </c>
    </row>
    <row r="3707" spans="1:5" x14ac:dyDescent="0.25">
      <c r="A3707" s="1">
        <v>43503</v>
      </c>
      <c r="B3707">
        <v>120999</v>
      </c>
      <c r="C3707" t="s">
        <v>66</v>
      </c>
      <c r="D3707" t="s">
        <v>3425</v>
      </c>
      <c r="E3707" s="2">
        <f>149</f>
        <v>149</v>
      </c>
    </row>
    <row r="3708" spans="1:5" x14ac:dyDescent="0.25">
      <c r="A3708" s="1">
        <v>43503</v>
      </c>
      <c r="B3708">
        <v>121001</v>
      </c>
      <c r="C3708" t="s">
        <v>238</v>
      </c>
      <c r="D3708" t="s">
        <v>437</v>
      </c>
      <c r="E3708" s="2">
        <f>390.17+2743.07+307.67+1076.45+1374.06+166.36+853.4</f>
        <v>6911.1799999999994</v>
      </c>
    </row>
    <row r="3709" spans="1:5" x14ac:dyDescent="0.25">
      <c r="A3709" s="1">
        <v>43503</v>
      </c>
      <c r="B3709">
        <v>121002</v>
      </c>
      <c r="C3709" t="s">
        <v>3426</v>
      </c>
      <c r="D3709" t="s">
        <v>3427</v>
      </c>
      <c r="E3709" s="2">
        <v>228</v>
      </c>
    </row>
    <row r="3710" spans="1:5" x14ac:dyDescent="0.25">
      <c r="A3710" s="1">
        <v>43503</v>
      </c>
      <c r="B3710">
        <v>121003</v>
      </c>
      <c r="C3710" t="s">
        <v>821</v>
      </c>
      <c r="D3710" t="s">
        <v>4229</v>
      </c>
      <c r="E3710" s="2">
        <v>378.13</v>
      </c>
    </row>
    <row r="3711" spans="1:5" x14ac:dyDescent="0.25">
      <c r="A3711" s="1">
        <v>43503</v>
      </c>
      <c r="B3711">
        <v>121004</v>
      </c>
      <c r="C3711" t="s">
        <v>3428</v>
      </c>
      <c r="D3711" t="s">
        <v>3429</v>
      </c>
      <c r="E3711" s="2">
        <v>15</v>
      </c>
    </row>
    <row r="3712" spans="1:5" x14ac:dyDescent="0.25">
      <c r="A3712" s="1">
        <v>43503</v>
      </c>
      <c r="B3712">
        <v>121005</v>
      </c>
      <c r="C3712" t="s">
        <v>241</v>
      </c>
      <c r="D3712" t="s">
        <v>3430</v>
      </c>
      <c r="E3712" s="2">
        <v>2165</v>
      </c>
    </row>
    <row r="3713" spans="1:5" x14ac:dyDescent="0.25">
      <c r="A3713" s="1">
        <v>43503</v>
      </c>
      <c r="B3713">
        <v>121006</v>
      </c>
      <c r="C3713" t="s">
        <v>1156</v>
      </c>
      <c r="D3713" t="s">
        <v>4230</v>
      </c>
      <c r="E3713" s="2">
        <v>781.5</v>
      </c>
    </row>
    <row r="3714" spans="1:5" x14ac:dyDescent="0.25">
      <c r="A3714" s="1">
        <v>43503</v>
      </c>
      <c r="B3714">
        <v>121006</v>
      </c>
      <c r="C3714" t="s">
        <v>1156</v>
      </c>
      <c r="D3714" t="s">
        <v>4231</v>
      </c>
      <c r="E3714" s="2">
        <v>831.3</v>
      </c>
    </row>
    <row r="3715" spans="1:5" x14ac:dyDescent="0.25">
      <c r="A3715" s="1">
        <v>43503</v>
      </c>
      <c r="B3715">
        <v>121008</v>
      </c>
      <c r="C3715" t="s">
        <v>662</v>
      </c>
      <c r="D3715" t="s">
        <v>3431</v>
      </c>
      <c r="E3715" s="2">
        <v>219.11</v>
      </c>
    </row>
    <row r="3716" spans="1:5" x14ac:dyDescent="0.25">
      <c r="A3716" s="1">
        <v>43503</v>
      </c>
      <c r="B3716">
        <v>121008</v>
      </c>
      <c r="C3716" t="s">
        <v>662</v>
      </c>
      <c r="D3716" t="s">
        <v>3432</v>
      </c>
      <c r="E3716" s="2">
        <v>390.66</v>
      </c>
    </row>
    <row r="3717" spans="1:5" x14ac:dyDescent="0.25">
      <c r="A3717" s="1">
        <v>43503</v>
      </c>
      <c r="B3717">
        <v>121008</v>
      </c>
      <c r="C3717" t="s">
        <v>662</v>
      </c>
      <c r="D3717" t="s">
        <v>3433</v>
      </c>
      <c r="E3717" s="2">
        <v>489</v>
      </c>
    </row>
    <row r="3718" spans="1:5" x14ac:dyDescent="0.25">
      <c r="A3718" s="1">
        <v>43503</v>
      </c>
      <c r="B3718">
        <v>121008</v>
      </c>
      <c r="C3718" t="s">
        <v>662</v>
      </c>
      <c r="D3718" t="s">
        <v>3434</v>
      </c>
      <c r="E3718" s="2">
        <v>489</v>
      </c>
    </row>
    <row r="3719" spans="1:5" x14ac:dyDescent="0.25">
      <c r="A3719" s="1">
        <v>43503</v>
      </c>
      <c r="B3719">
        <v>121008</v>
      </c>
      <c r="C3719" t="s">
        <v>662</v>
      </c>
      <c r="D3719" t="s">
        <v>3435</v>
      </c>
      <c r="E3719" s="2">
        <v>126.42</v>
      </c>
    </row>
    <row r="3720" spans="1:5" x14ac:dyDescent="0.25">
      <c r="A3720" s="1">
        <v>43503</v>
      </c>
      <c r="B3720">
        <v>121009</v>
      </c>
      <c r="C3720" t="s">
        <v>3436</v>
      </c>
      <c r="D3720" t="s">
        <v>3437</v>
      </c>
      <c r="E3720" s="2">
        <v>72</v>
      </c>
    </row>
    <row r="3721" spans="1:5" x14ac:dyDescent="0.25">
      <c r="A3721" s="1">
        <v>43503</v>
      </c>
      <c r="B3721">
        <v>121010</v>
      </c>
      <c r="C3721" t="s">
        <v>673</v>
      </c>
      <c r="D3721" t="s">
        <v>674</v>
      </c>
      <c r="E3721" s="2">
        <v>22.18</v>
      </c>
    </row>
    <row r="3722" spans="1:5" x14ac:dyDescent="0.25">
      <c r="A3722" s="1">
        <v>43503</v>
      </c>
      <c r="B3722">
        <v>121014</v>
      </c>
      <c r="C3722" t="s">
        <v>106</v>
      </c>
      <c r="D3722" t="s">
        <v>424</v>
      </c>
      <c r="E3722" s="2">
        <v>9130.74</v>
      </c>
    </row>
    <row r="3723" spans="1:5" x14ac:dyDescent="0.25">
      <c r="A3723" s="1">
        <v>43503</v>
      </c>
      <c r="B3723">
        <v>121015</v>
      </c>
      <c r="C3723" t="s">
        <v>3438</v>
      </c>
      <c r="D3723" t="s">
        <v>3439</v>
      </c>
      <c r="E3723" s="2">
        <v>1676.4</v>
      </c>
    </row>
    <row r="3724" spans="1:5" x14ac:dyDescent="0.25">
      <c r="A3724" s="1">
        <v>43503</v>
      </c>
      <c r="B3724">
        <v>121016</v>
      </c>
      <c r="C3724" t="s">
        <v>3440</v>
      </c>
      <c r="D3724" t="s">
        <v>3441</v>
      </c>
      <c r="E3724" s="2">
        <v>60</v>
      </c>
    </row>
    <row r="3725" spans="1:5" x14ac:dyDescent="0.25">
      <c r="A3725" s="1">
        <v>43503</v>
      </c>
      <c r="B3725">
        <v>121017</v>
      </c>
      <c r="C3725" t="s">
        <v>352</v>
      </c>
      <c r="D3725" t="s">
        <v>3442</v>
      </c>
      <c r="E3725" s="2">
        <v>476</v>
      </c>
    </row>
    <row r="3726" spans="1:5" x14ac:dyDescent="0.25">
      <c r="A3726" s="1">
        <v>43503</v>
      </c>
      <c r="B3726">
        <v>121018</v>
      </c>
      <c r="C3726" t="s">
        <v>2378</v>
      </c>
      <c r="D3726" t="s">
        <v>4232</v>
      </c>
      <c r="E3726" s="2">
        <v>4370</v>
      </c>
    </row>
    <row r="3727" spans="1:5" x14ac:dyDescent="0.25">
      <c r="A3727" s="1">
        <v>43503</v>
      </c>
      <c r="B3727">
        <v>121019</v>
      </c>
      <c r="C3727" t="s">
        <v>849</v>
      </c>
      <c r="D3727" t="s">
        <v>3443</v>
      </c>
      <c r="E3727" s="2">
        <v>204.51</v>
      </c>
    </row>
    <row r="3728" spans="1:5" x14ac:dyDescent="0.25">
      <c r="A3728" s="1">
        <v>43503</v>
      </c>
      <c r="B3728">
        <v>121020</v>
      </c>
      <c r="C3728" t="s">
        <v>3444</v>
      </c>
      <c r="D3728" t="s">
        <v>3445</v>
      </c>
      <c r="E3728" s="2">
        <v>525</v>
      </c>
    </row>
    <row r="3729" spans="1:5" x14ac:dyDescent="0.25">
      <c r="A3729" s="1">
        <v>43503</v>
      </c>
      <c r="B3729">
        <v>121021</v>
      </c>
      <c r="C3729" t="s">
        <v>852</v>
      </c>
      <c r="D3729" t="s">
        <v>3446</v>
      </c>
      <c r="E3729" s="2">
        <v>250</v>
      </c>
    </row>
    <row r="3730" spans="1:5" x14ac:dyDescent="0.25">
      <c r="A3730" s="1">
        <v>43503</v>
      </c>
      <c r="B3730">
        <v>121022</v>
      </c>
      <c r="C3730" t="s">
        <v>1452</v>
      </c>
      <c r="D3730" t="s">
        <v>3447</v>
      </c>
      <c r="E3730" s="2">
        <v>999</v>
      </c>
    </row>
    <row r="3731" spans="1:5" x14ac:dyDescent="0.25">
      <c r="A3731" s="1">
        <v>43503</v>
      </c>
      <c r="B3731">
        <v>121023</v>
      </c>
      <c r="C3731" t="s">
        <v>692</v>
      </c>
      <c r="D3731" t="s">
        <v>3124</v>
      </c>
      <c r="E3731" s="2">
        <v>186.99</v>
      </c>
    </row>
    <row r="3732" spans="1:5" x14ac:dyDescent="0.25">
      <c r="A3732" s="1">
        <v>43503</v>
      </c>
      <c r="B3732">
        <v>121023</v>
      </c>
      <c r="C3732" t="s">
        <v>692</v>
      </c>
      <c r="D3732" t="s">
        <v>3448</v>
      </c>
      <c r="E3732" s="2">
        <v>186.99</v>
      </c>
    </row>
    <row r="3733" spans="1:5" x14ac:dyDescent="0.25">
      <c r="A3733" s="1">
        <v>43503</v>
      </c>
      <c r="B3733">
        <v>121024</v>
      </c>
      <c r="C3733" t="s">
        <v>3449</v>
      </c>
      <c r="D3733" t="s">
        <v>3450</v>
      </c>
      <c r="E3733" s="2">
        <v>145.35</v>
      </c>
    </row>
    <row r="3734" spans="1:5" x14ac:dyDescent="0.25">
      <c r="A3734" s="1">
        <v>43503</v>
      </c>
      <c r="B3734">
        <v>121025</v>
      </c>
      <c r="C3734" t="s">
        <v>1809</v>
      </c>
      <c r="D3734" t="s">
        <v>3451</v>
      </c>
      <c r="E3734" s="2">
        <v>1681</v>
      </c>
    </row>
    <row r="3735" spans="1:5" x14ac:dyDescent="0.25">
      <c r="A3735" s="1">
        <v>43503</v>
      </c>
      <c r="B3735">
        <v>121026</v>
      </c>
      <c r="C3735" t="s">
        <v>3452</v>
      </c>
      <c r="D3735" t="s">
        <v>3453</v>
      </c>
      <c r="E3735" s="2">
        <v>159</v>
      </c>
    </row>
    <row r="3736" spans="1:5" x14ac:dyDescent="0.25">
      <c r="A3736" s="1">
        <v>43503</v>
      </c>
      <c r="B3736">
        <v>121027</v>
      </c>
      <c r="C3736" t="s">
        <v>3454</v>
      </c>
      <c r="D3736" t="s">
        <v>3455</v>
      </c>
      <c r="E3736" s="2">
        <v>494</v>
      </c>
    </row>
    <row r="3737" spans="1:5" x14ac:dyDescent="0.25">
      <c r="A3737" s="1">
        <v>43503</v>
      </c>
      <c r="B3737">
        <v>121030</v>
      </c>
      <c r="C3737" t="s">
        <v>123</v>
      </c>
      <c r="D3737" t="s">
        <v>1665</v>
      </c>
      <c r="E3737" s="2">
        <f>1076.9+143+39.23+180.94+62.98+556.91+97.83+59.5+47.19+47.19+214.31</f>
        <v>2525.98</v>
      </c>
    </row>
    <row r="3738" spans="1:5" x14ac:dyDescent="0.25">
      <c r="A3738" s="1">
        <v>43503</v>
      </c>
      <c r="B3738">
        <v>121030</v>
      </c>
      <c r="C3738" t="s">
        <v>123</v>
      </c>
      <c r="D3738" t="s">
        <v>3456</v>
      </c>
      <c r="E3738" s="3">
        <v>-490.8</v>
      </c>
    </row>
    <row r="3739" spans="1:5" x14ac:dyDescent="0.25">
      <c r="A3739" s="1">
        <v>43503</v>
      </c>
      <c r="B3739">
        <v>121030</v>
      </c>
      <c r="C3739" t="s">
        <v>123</v>
      </c>
      <c r="D3739" t="s">
        <v>4233</v>
      </c>
      <c r="E3739" s="2">
        <v>113616.02</v>
      </c>
    </row>
    <row r="3740" spans="1:5" x14ac:dyDescent="0.25">
      <c r="A3740" s="1">
        <v>43503</v>
      </c>
      <c r="B3740">
        <v>121031</v>
      </c>
      <c r="C3740" t="s">
        <v>2673</v>
      </c>
      <c r="D3740" t="s">
        <v>3457</v>
      </c>
      <c r="E3740" s="2">
        <v>150</v>
      </c>
    </row>
    <row r="3741" spans="1:5" x14ac:dyDescent="0.25">
      <c r="A3741" s="1">
        <v>43503</v>
      </c>
      <c r="B3741">
        <v>121032</v>
      </c>
      <c r="C3741" t="s">
        <v>3458</v>
      </c>
      <c r="D3741" t="s">
        <v>2589</v>
      </c>
      <c r="E3741" s="2">
        <v>550</v>
      </c>
    </row>
    <row r="3742" spans="1:5" x14ac:dyDescent="0.25">
      <c r="A3742" s="1">
        <v>43503</v>
      </c>
      <c r="B3742">
        <v>121033</v>
      </c>
      <c r="C3742" t="s">
        <v>3459</v>
      </c>
      <c r="D3742" t="s">
        <v>3437</v>
      </c>
      <c r="E3742" s="2">
        <v>109.76</v>
      </c>
    </row>
    <row r="3743" spans="1:5" x14ac:dyDescent="0.25">
      <c r="A3743" s="1">
        <v>43503</v>
      </c>
      <c r="B3743">
        <v>121034</v>
      </c>
      <c r="C3743" t="s">
        <v>365</v>
      </c>
      <c r="D3743" t="s">
        <v>3460</v>
      </c>
      <c r="E3743" s="2">
        <v>85.86</v>
      </c>
    </row>
    <row r="3744" spans="1:5" x14ac:dyDescent="0.25">
      <c r="A3744" s="1">
        <v>43503</v>
      </c>
      <c r="B3744">
        <v>121035</v>
      </c>
      <c r="C3744" t="s">
        <v>1670</v>
      </c>
      <c r="D3744" t="s">
        <v>3461</v>
      </c>
      <c r="E3744" s="2">
        <v>710.32</v>
      </c>
    </row>
    <row r="3745" spans="1:5" x14ac:dyDescent="0.25">
      <c r="A3745" s="1">
        <v>43503</v>
      </c>
      <c r="B3745">
        <v>121036</v>
      </c>
      <c r="C3745" t="s">
        <v>269</v>
      </c>
      <c r="D3745" t="s">
        <v>3462</v>
      </c>
      <c r="E3745" s="2">
        <f>558-243-125</f>
        <v>190</v>
      </c>
    </row>
    <row r="3746" spans="1:5" x14ac:dyDescent="0.25">
      <c r="A3746" s="1">
        <v>43503</v>
      </c>
      <c r="B3746">
        <v>121037</v>
      </c>
      <c r="C3746" t="s">
        <v>3463</v>
      </c>
      <c r="D3746" t="s">
        <v>3437</v>
      </c>
      <c r="E3746" s="2">
        <v>98.4</v>
      </c>
    </row>
    <row r="3747" spans="1:5" x14ac:dyDescent="0.25">
      <c r="A3747" s="1">
        <v>43503</v>
      </c>
      <c r="B3747">
        <v>121038</v>
      </c>
      <c r="C3747" t="s">
        <v>1208</v>
      </c>
      <c r="D3747" t="s">
        <v>3464</v>
      </c>
      <c r="E3747" s="2">
        <v>66.489999999999995</v>
      </c>
    </row>
    <row r="3748" spans="1:5" x14ac:dyDescent="0.25">
      <c r="A3748" s="1">
        <v>43503</v>
      </c>
      <c r="B3748">
        <v>121038</v>
      </c>
      <c r="C3748" t="s">
        <v>1208</v>
      </c>
      <c r="D3748" t="s">
        <v>3465</v>
      </c>
      <c r="E3748" s="2">
        <v>2061.38</v>
      </c>
    </row>
    <row r="3749" spans="1:5" x14ac:dyDescent="0.25">
      <c r="A3749" s="1">
        <v>43503</v>
      </c>
      <c r="B3749">
        <v>121039</v>
      </c>
      <c r="C3749" t="s">
        <v>710</v>
      </c>
      <c r="D3749" t="s">
        <v>3466</v>
      </c>
      <c r="E3749" s="2">
        <v>158</v>
      </c>
    </row>
    <row r="3750" spans="1:5" x14ac:dyDescent="0.25">
      <c r="A3750" s="1">
        <v>43503</v>
      </c>
      <c r="B3750">
        <v>121040</v>
      </c>
      <c r="C3750" t="s">
        <v>1823</v>
      </c>
      <c r="D3750" t="s">
        <v>3467</v>
      </c>
      <c r="E3750" s="2">
        <v>181.4</v>
      </c>
    </row>
    <row r="3751" spans="1:5" x14ac:dyDescent="0.25">
      <c r="A3751" s="1">
        <v>43503</v>
      </c>
      <c r="B3751">
        <v>121041</v>
      </c>
      <c r="C3751" t="s">
        <v>3468</v>
      </c>
      <c r="D3751" t="s">
        <v>3469</v>
      </c>
      <c r="E3751" s="2">
        <v>1350</v>
      </c>
    </row>
    <row r="3752" spans="1:5" x14ac:dyDescent="0.25">
      <c r="A3752" s="1">
        <v>43503</v>
      </c>
      <c r="B3752">
        <v>121042</v>
      </c>
      <c r="C3752" t="s">
        <v>47</v>
      </c>
      <c r="D3752" t="s">
        <v>3470</v>
      </c>
      <c r="E3752" s="2">
        <v>330.06</v>
      </c>
    </row>
    <row r="3753" spans="1:5" x14ac:dyDescent="0.25">
      <c r="A3753" s="1">
        <v>43503</v>
      </c>
      <c r="B3753">
        <v>121043</v>
      </c>
      <c r="C3753" t="s">
        <v>48</v>
      </c>
      <c r="D3753" t="s">
        <v>3471</v>
      </c>
      <c r="E3753" s="2">
        <v>7055.04</v>
      </c>
    </row>
    <row r="3754" spans="1:5" x14ac:dyDescent="0.25">
      <c r="A3754" s="1">
        <v>43503</v>
      </c>
      <c r="B3754">
        <v>121046</v>
      </c>
      <c r="C3754" t="s">
        <v>74</v>
      </c>
      <c r="D3754" t="s">
        <v>3472</v>
      </c>
      <c r="E3754" s="2">
        <v>638.94000000000005</v>
      </c>
    </row>
    <row r="3755" spans="1:5" x14ac:dyDescent="0.25">
      <c r="A3755" s="1">
        <v>43503</v>
      </c>
      <c r="B3755">
        <v>121046</v>
      </c>
      <c r="C3755" t="s">
        <v>74</v>
      </c>
      <c r="D3755" t="s">
        <v>1485</v>
      </c>
      <c r="E3755" s="2">
        <v>98.99</v>
      </c>
    </row>
    <row r="3756" spans="1:5" x14ac:dyDescent="0.25">
      <c r="A3756" s="1">
        <v>43503</v>
      </c>
      <c r="B3756">
        <v>121046</v>
      </c>
      <c r="C3756" t="s">
        <v>74</v>
      </c>
      <c r="D3756" t="s">
        <v>1485</v>
      </c>
      <c r="E3756" s="2">
        <v>145.24</v>
      </c>
    </row>
    <row r="3757" spans="1:5" x14ac:dyDescent="0.25">
      <c r="A3757" s="1">
        <v>43503</v>
      </c>
      <c r="B3757">
        <v>121046</v>
      </c>
      <c r="C3757" t="s">
        <v>74</v>
      </c>
      <c r="D3757" t="s">
        <v>3473</v>
      </c>
      <c r="E3757" s="2">
        <v>119.99</v>
      </c>
    </row>
    <row r="3758" spans="1:5" x14ac:dyDescent="0.25">
      <c r="A3758" s="1">
        <v>43503</v>
      </c>
      <c r="B3758">
        <v>121046</v>
      </c>
      <c r="C3758" t="s">
        <v>74</v>
      </c>
      <c r="D3758" t="s">
        <v>3474</v>
      </c>
      <c r="E3758" s="2">
        <v>489.6</v>
      </c>
    </row>
    <row r="3759" spans="1:5" x14ac:dyDescent="0.25">
      <c r="A3759" s="1">
        <v>43503</v>
      </c>
      <c r="B3759">
        <v>121046</v>
      </c>
      <c r="C3759" t="s">
        <v>74</v>
      </c>
      <c r="D3759" t="s">
        <v>3333</v>
      </c>
      <c r="E3759" s="2">
        <v>113.37</v>
      </c>
    </row>
    <row r="3760" spans="1:5" x14ac:dyDescent="0.25">
      <c r="A3760" s="1">
        <v>43503</v>
      </c>
      <c r="B3760">
        <v>121046</v>
      </c>
      <c r="C3760" t="s">
        <v>74</v>
      </c>
      <c r="D3760" t="s">
        <v>3475</v>
      </c>
      <c r="E3760" s="2">
        <v>2290.46</v>
      </c>
    </row>
    <row r="3761" spans="1:5" x14ac:dyDescent="0.25">
      <c r="A3761" s="1">
        <v>43503</v>
      </c>
      <c r="B3761">
        <v>121046</v>
      </c>
      <c r="C3761" t="s">
        <v>74</v>
      </c>
      <c r="D3761" t="s">
        <v>3476</v>
      </c>
      <c r="E3761" s="2">
        <v>664.7</v>
      </c>
    </row>
    <row r="3762" spans="1:5" x14ac:dyDescent="0.25">
      <c r="A3762" s="1">
        <v>43503</v>
      </c>
      <c r="B3762">
        <v>121046</v>
      </c>
      <c r="C3762" t="s">
        <v>74</v>
      </c>
      <c r="D3762" t="s">
        <v>3477</v>
      </c>
      <c r="E3762" s="2">
        <v>32.36</v>
      </c>
    </row>
    <row r="3763" spans="1:5" x14ac:dyDescent="0.25">
      <c r="A3763" s="1">
        <v>43503</v>
      </c>
      <c r="B3763">
        <v>121046</v>
      </c>
      <c r="C3763" t="s">
        <v>74</v>
      </c>
      <c r="D3763" t="s">
        <v>3478</v>
      </c>
      <c r="E3763" s="2">
        <v>167.98</v>
      </c>
    </row>
    <row r="3764" spans="1:5" x14ac:dyDescent="0.25">
      <c r="A3764" s="1">
        <v>43503</v>
      </c>
      <c r="B3764">
        <v>121046</v>
      </c>
      <c r="C3764" t="s">
        <v>74</v>
      </c>
      <c r="D3764" t="s">
        <v>2507</v>
      </c>
      <c r="E3764" s="2">
        <v>139.80000000000001</v>
      </c>
    </row>
    <row r="3765" spans="1:5" x14ac:dyDescent="0.25">
      <c r="A3765" s="1">
        <v>43503</v>
      </c>
      <c r="B3765">
        <v>121046</v>
      </c>
      <c r="C3765" t="s">
        <v>74</v>
      </c>
      <c r="D3765" t="s">
        <v>3479</v>
      </c>
      <c r="E3765" s="2">
        <v>319.60000000000002</v>
      </c>
    </row>
    <row r="3766" spans="1:5" x14ac:dyDescent="0.25">
      <c r="A3766" s="1">
        <v>43503</v>
      </c>
      <c r="B3766">
        <v>121046</v>
      </c>
      <c r="C3766" t="s">
        <v>74</v>
      </c>
      <c r="D3766" t="s">
        <v>3480</v>
      </c>
      <c r="E3766" s="2">
        <v>57.8</v>
      </c>
    </row>
    <row r="3767" spans="1:5" x14ac:dyDescent="0.25">
      <c r="A3767" s="1">
        <v>43503</v>
      </c>
      <c r="B3767">
        <v>121046</v>
      </c>
      <c r="C3767" t="s">
        <v>74</v>
      </c>
      <c r="D3767" t="s">
        <v>3481</v>
      </c>
      <c r="E3767" s="2">
        <v>349.5</v>
      </c>
    </row>
    <row r="3768" spans="1:5" x14ac:dyDescent="0.25">
      <c r="A3768" s="1">
        <v>43503</v>
      </c>
      <c r="B3768">
        <v>121046</v>
      </c>
      <c r="C3768" t="s">
        <v>74</v>
      </c>
      <c r="D3768" t="s">
        <v>3482</v>
      </c>
      <c r="E3768" s="2">
        <v>239.8</v>
      </c>
    </row>
    <row r="3769" spans="1:5" x14ac:dyDescent="0.25">
      <c r="A3769" s="1">
        <v>43503</v>
      </c>
      <c r="B3769">
        <v>121047</v>
      </c>
      <c r="C3769" t="s">
        <v>873</v>
      </c>
      <c r="D3769" t="s">
        <v>3483</v>
      </c>
      <c r="E3769" s="2">
        <v>3905.88</v>
      </c>
    </row>
    <row r="3770" spans="1:5" x14ac:dyDescent="0.25">
      <c r="A3770" s="1">
        <v>43503</v>
      </c>
      <c r="B3770">
        <v>121048</v>
      </c>
      <c r="C3770" t="s">
        <v>284</v>
      </c>
      <c r="D3770" t="s">
        <v>3484</v>
      </c>
      <c r="E3770" s="2">
        <v>665.56</v>
      </c>
    </row>
    <row r="3771" spans="1:5" x14ac:dyDescent="0.25">
      <c r="A3771" s="1">
        <v>43503</v>
      </c>
      <c r="B3771">
        <v>121049</v>
      </c>
      <c r="C3771" t="s">
        <v>3485</v>
      </c>
      <c r="D3771" t="s">
        <v>3486</v>
      </c>
      <c r="E3771" s="2">
        <v>360</v>
      </c>
    </row>
    <row r="3772" spans="1:5" x14ac:dyDescent="0.25">
      <c r="A3772" s="1">
        <v>43503</v>
      </c>
      <c r="B3772">
        <v>121050</v>
      </c>
      <c r="C3772" t="s">
        <v>3487</v>
      </c>
      <c r="D3772" t="s">
        <v>270</v>
      </c>
      <c r="E3772" s="2">
        <v>9460</v>
      </c>
    </row>
    <row r="3773" spans="1:5" x14ac:dyDescent="0.25">
      <c r="A3773" s="1">
        <v>43503</v>
      </c>
      <c r="B3773">
        <v>121051</v>
      </c>
      <c r="C3773" t="s">
        <v>3488</v>
      </c>
      <c r="D3773" t="s">
        <v>3489</v>
      </c>
      <c r="E3773" s="2">
        <v>140</v>
      </c>
    </row>
    <row r="3774" spans="1:5" x14ac:dyDescent="0.25">
      <c r="A3774" s="1">
        <v>43503</v>
      </c>
      <c r="B3774">
        <v>121051</v>
      </c>
      <c r="C3774" t="s">
        <v>3488</v>
      </c>
      <c r="D3774" t="s">
        <v>3489</v>
      </c>
      <c r="E3774" s="2">
        <v>140</v>
      </c>
    </row>
    <row r="3775" spans="1:5" x14ac:dyDescent="0.25">
      <c r="A3775" s="1">
        <v>43503</v>
      </c>
      <c r="B3775">
        <v>121053</v>
      </c>
      <c r="C3775" t="s">
        <v>734</v>
      </c>
      <c r="D3775" t="s">
        <v>2763</v>
      </c>
      <c r="E3775" s="2">
        <v>138</v>
      </c>
    </row>
    <row r="3776" spans="1:5" x14ac:dyDescent="0.25">
      <c r="A3776" s="1">
        <v>43503</v>
      </c>
      <c r="B3776">
        <v>121053</v>
      </c>
      <c r="C3776" t="s">
        <v>734</v>
      </c>
      <c r="D3776" t="s">
        <v>2763</v>
      </c>
      <c r="E3776" s="2">
        <v>1062.5999999999999</v>
      </c>
    </row>
    <row r="3777" spans="1:5" x14ac:dyDescent="0.25">
      <c r="A3777" s="1">
        <v>43503</v>
      </c>
      <c r="B3777">
        <v>121053</v>
      </c>
      <c r="C3777" t="s">
        <v>734</v>
      </c>
      <c r="D3777" t="s">
        <v>2763</v>
      </c>
      <c r="E3777" s="2">
        <v>344.72</v>
      </c>
    </row>
    <row r="3778" spans="1:5" x14ac:dyDescent="0.25">
      <c r="A3778" s="1">
        <v>43503</v>
      </c>
      <c r="B3778">
        <v>121053</v>
      </c>
      <c r="C3778" t="s">
        <v>734</v>
      </c>
      <c r="D3778" t="s">
        <v>2763</v>
      </c>
      <c r="E3778" s="2">
        <v>480</v>
      </c>
    </row>
    <row r="3779" spans="1:5" x14ac:dyDescent="0.25">
      <c r="A3779" s="1">
        <v>43503</v>
      </c>
      <c r="B3779">
        <v>121053</v>
      </c>
      <c r="C3779" t="s">
        <v>734</v>
      </c>
      <c r="D3779" t="s">
        <v>3490</v>
      </c>
      <c r="E3779" s="2">
        <v>1521.63</v>
      </c>
    </row>
    <row r="3780" spans="1:5" x14ac:dyDescent="0.25">
      <c r="A3780" s="1">
        <v>43503</v>
      </c>
      <c r="B3780">
        <v>121053</v>
      </c>
      <c r="C3780" t="s">
        <v>734</v>
      </c>
      <c r="D3780" t="s">
        <v>2763</v>
      </c>
      <c r="E3780" s="2">
        <v>137.94999999999999</v>
      </c>
    </row>
    <row r="3781" spans="1:5" x14ac:dyDescent="0.25">
      <c r="A3781" s="1">
        <v>43503</v>
      </c>
      <c r="B3781">
        <v>121054</v>
      </c>
      <c r="C3781" t="s">
        <v>3491</v>
      </c>
      <c r="D3781" t="s">
        <v>3492</v>
      </c>
      <c r="E3781" s="2">
        <v>200</v>
      </c>
    </row>
    <row r="3782" spans="1:5" x14ac:dyDescent="0.25">
      <c r="A3782" s="1">
        <v>43503</v>
      </c>
      <c r="B3782">
        <v>121055</v>
      </c>
      <c r="C3782" t="s">
        <v>75</v>
      </c>
      <c r="D3782" t="s">
        <v>3493</v>
      </c>
      <c r="E3782" s="2">
        <v>2.38</v>
      </c>
    </row>
    <row r="3783" spans="1:5" x14ac:dyDescent="0.25">
      <c r="A3783" s="1">
        <v>43503</v>
      </c>
      <c r="B3783">
        <v>121055</v>
      </c>
      <c r="C3783" t="s">
        <v>75</v>
      </c>
      <c r="D3783" t="s">
        <v>3494</v>
      </c>
      <c r="E3783" s="2">
        <v>79.03</v>
      </c>
    </row>
    <row r="3784" spans="1:5" x14ac:dyDescent="0.25">
      <c r="A3784" s="1">
        <v>43503</v>
      </c>
      <c r="B3784">
        <v>121058</v>
      </c>
      <c r="C3784" t="s">
        <v>11</v>
      </c>
      <c r="D3784" t="s">
        <v>1486</v>
      </c>
      <c r="E3784" s="2">
        <v>1094.6400000000001</v>
      </c>
    </row>
    <row r="3785" spans="1:5" x14ac:dyDescent="0.25">
      <c r="A3785" s="1">
        <v>43503</v>
      </c>
      <c r="B3785">
        <v>121058</v>
      </c>
      <c r="C3785" t="s">
        <v>11</v>
      </c>
      <c r="D3785" t="s">
        <v>1486</v>
      </c>
      <c r="E3785" s="2">
        <v>391.7</v>
      </c>
    </row>
    <row r="3786" spans="1:5" x14ac:dyDescent="0.25">
      <c r="A3786" s="1">
        <v>43503</v>
      </c>
      <c r="B3786">
        <v>121058</v>
      </c>
      <c r="C3786" t="s">
        <v>11</v>
      </c>
      <c r="D3786" t="s">
        <v>3495</v>
      </c>
      <c r="E3786" s="2">
        <v>135.99</v>
      </c>
    </row>
    <row r="3787" spans="1:5" x14ac:dyDescent="0.25">
      <c r="A3787" s="1">
        <v>43503</v>
      </c>
      <c r="B3787">
        <v>121058</v>
      </c>
      <c r="C3787" t="s">
        <v>11</v>
      </c>
      <c r="D3787" t="s">
        <v>3496</v>
      </c>
      <c r="E3787" s="2">
        <v>173.8</v>
      </c>
    </row>
    <row r="3788" spans="1:5" x14ac:dyDescent="0.25">
      <c r="A3788" s="1">
        <v>43503</v>
      </c>
      <c r="B3788">
        <v>121058</v>
      </c>
      <c r="C3788" t="s">
        <v>11</v>
      </c>
      <c r="D3788" t="s">
        <v>3496</v>
      </c>
      <c r="E3788" s="2">
        <v>235.18</v>
      </c>
    </row>
    <row r="3789" spans="1:5" x14ac:dyDescent="0.25">
      <c r="A3789" s="1">
        <v>43503</v>
      </c>
      <c r="B3789">
        <v>121058</v>
      </c>
      <c r="C3789" t="s">
        <v>11</v>
      </c>
      <c r="D3789" t="s">
        <v>3496</v>
      </c>
      <c r="E3789" s="2">
        <v>513.12</v>
      </c>
    </row>
    <row r="3790" spans="1:5" x14ac:dyDescent="0.25">
      <c r="A3790" s="1">
        <v>43503</v>
      </c>
      <c r="B3790">
        <v>121058</v>
      </c>
      <c r="C3790" t="s">
        <v>11</v>
      </c>
      <c r="D3790" t="s">
        <v>3496</v>
      </c>
      <c r="E3790" s="2">
        <v>108.89</v>
      </c>
    </row>
    <row r="3791" spans="1:5" x14ac:dyDescent="0.25">
      <c r="A3791" s="1">
        <v>43503</v>
      </c>
      <c r="B3791">
        <v>121058</v>
      </c>
      <c r="C3791" t="s">
        <v>11</v>
      </c>
      <c r="D3791" t="s">
        <v>3496</v>
      </c>
      <c r="E3791" s="2">
        <v>41.37</v>
      </c>
    </row>
    <row r="3792" spans="1:5" x14ac:dyDescent="0.25">
      <c r="A3792" s="1">
        <v>43503</v>
      </c>
      <c r="B3792">
        <v>121059</v>
      </c>
      <c r="C3792" t="s">
        <v>3497</v>
      </c>
      <c r="D3792" t="s">
        <v>3498</v>
      </c>
      <c r="E3792" s="2">
        <v>89.81</v>
      </c>
    </row>
    <row r="3793" spans="1:5" x14ac:dyDescent="0.25">
      <c r="A3793" s="1">
        <v>43503</v>
      </c>
      <c r="B3793">
        <v>121060</v>
      </c>
      <c r="C3793" t="s">
        <v>1491</v>
      </c>
      <c r="D3793" t="s">
        <v>3499</v>
      </c>
      <c r="E3793" s="2">
        <v>1272.4000000000001</v>
      </c>
    </row>
    <row r="3794" spans="1:5" x14ac:dyDescent="0.25">
      <c r="A3794" s="1">
        <v>43503</v>
      </c>
      <c r="B3794">
        <v>121061</v>
      </c>
      <c r="C3794" t="s">
        <v>3178</v>
      </c>
      <c r="D3794" t="s">
        <v>3500</v>
      </c>
      <c r="E3794" s="2">
        <v>49.84</v>
      </c>
    </row>
    <row r="3795" spans="1:5" x14ac:dyDescent="0.25">
      <c r="A3795" s="1">
        <v>43503</v>
      </c>
      <c r="B3795">
        <v>121061</v>
      </c>
      <c r="C3795" t="s">
        <v>3178</v>
      </c>
      <c r="D3795" t="s">
        <v>3387</v>
      </c>
      <c r="E3795" s="2">
        <v>2359.6799999999998</v>
      </c>
    </row>
    <row r="3796" spans="1:5" x14ac:dyDescent="0.25">
      <c r="A3796" s="1">
        <v>43503</v>
      </c>
      <c r="B3796">
        <v>121062</v>
      </c>
      <c r="C3796" t="s">
        <v>1494</v>
      </c>
      <c r="D3796" t="s">
        <v>3501</v>
      </c>
      <c r="E3796" s="2">
        <v>63</v>
      </c>
    </row>
    <row r="3797" spans="1:5" x14ac:dyDescent="0.25">
      <c r="A3797" s="1">
        <v>43503</v>
      </c>
      <c r="B3797">
        <v>121062</v>
      </c>
      <c r="C3797" t="s">
        <v>1494</v>
      </c>
      <c r="D3797" t="s">
        <v>3502</v>
      </c>
      <c r="E3797" s="2">
        <v>14</v>
      </c>
    </row>
    <row r="3798" spans="1:5" x14ac:dyDescent="0.25">
      <c r="A3798" s="1">
        <v>43503</v>
      </c>
      <c r="B3798">
        <v>121062</v>
      </c>
      <c r="C3798" t="s">
        <v>1494</v>
      </c>
      <c r="D3798" t="s">
        <v>3503</v>
      </c>
      <c r="E3798" s="2">
        <v>30.9</v>
      </c>
    </row>
    <row r="3799" spans="1:5" x14ac:dyDescent="0.25">
      <c r="A3799" s="1">
        <v>43503</v>
      </c>
      <c r="B3799">
        <v>121062</v>
      </c>
      <c r="C3799" t="s">
        <v>1494</v>
      </c>
      <c r="D3799" t="s">
        <v>3503</v>
      </c>
      <c r="E3799" s="2">
        <v>46.53</v>
      </c>
    </row>
    <row r="3800" spans="1:5" x14ac:dyDescent="0.25">
      <c r="A3800" s="1">
        <v>43503</v>
      </c>
      <c r="B3800">
        <v>121063</v>
      </c>
      <c r="C3800" t="s">
        <v>744</v>
      </c>
      <c r="D3800" t="s">
        <v>3504</v>
      </c>
      <c r="E3800" s="2">
        <v>3000</v>
      </c>
    </row>
    <row r="3801" spans="1:5" x14ac:dyDescent="0.25">
      <c r="A3801" s="1">
        <v>43503</v>
      </c>
      <c r="B3801">
        <v>121064</v>
      </c>
      <c r="C3801" t="s">
        <v>296</v>
      </c>
      <c r="D3801" t="s">
        <v>3505</v>
      </c>
      <c r="E3801" s="2">
        <v>85</v>
      </c>
    </row>
    <row r="3802" spans="1:5" x14ac:dyDescent="0.25">
      <c r="A3802" s="1">
        <v>43503</v>
      </c>
      <c r="B3802">
        <v>121065</v>
      </c>
      <c r="C3802" t="s">
        <v>2579</v>
      </c>
      <c r="D3802" t="s">
        <v>3506</v>
      </c>
      <c r="E3802" s="2">
        <v>374.15</v>
      </c>
    </row>
    <row r="3803" spans="1:5" x14ac:dyDescent="0.25">
      <c r="A3803" s="1">
        <v>43503</v>
      </c>
      <c r="B3803">
        <v>121066</v>
      </c>
      <c r="C3803" t="s">
        <v>50</v>
      </c>
      <c r="D3803" t="s">
        <v>2047</v>
      </c>
      <c r="E3803" s="2">
        <v>2792.5</v>
      </c>
    </row>
    <row r="3804" spans="1:5" x14ac:dyDescent="0.25">
      <c r="A3804" s="1">
        <v>43503</v>
      </c>
      <c r="B3804">
        <v>121067</v>
      </c>
      <c r="C3804" t="s">
        <v>80</v>
      </c>
      <c r="D3804" t="s">
        <v>153</v>
      </c>
      <c r="E3804" s="2">
        <v>66.89</v>
      </c>
    </row>
    <row r="3805" spans="1:5" x14ac:dyDescent="0.25">
      <c r="A3805" s="1">
        <v>43503</v>
      </c>
      <c r="B3805">
        <v>121068</v>
      </c>
      <c r="C3805" t="s">
        <v>1110</v>
      </c>
      <c r="D3805" t="s">
        <v>3507</v>
      </c>
      <c r="E3805" s="2">
        <v>175.64</v>
      </c>
    </row>
    <row r="3806" spans="1:5" x14ac:dyDescent="0.25">
      <c r="A3806" s="1">
        <v>43503</v>
      </c>
      <c r="B3806">
        <v>121069</v>
      </c>
      <c r="C3806" t="s">
        <v>302</v>
      </c>
      <c r="D3806" t="s">
        <v>3508</v>
      </c>
      <c r="E3806" s="2">
        <v>210.5</v>
      </c>
    </row>
    <row r="3807" spans="1:5" x14ac:dyDescent="0.25">
      <c r="A3807" s="1">
        <v>43503</v>
      </c>
      <c r="B3807">
        <v>121069</v>
      </c>
      <c r="C3807" t="s">
        <v>302</v>
      </c>
      <c r="D3807" t="s">
        <v>3509</v>
      </c>
      <c r="E3807" s="2">
        <v>60.8</v>
      </c>
    </row>
    <row r="3808" spans="1:5" x14ac:dyDescent="0.25">
      <c r="A3808" s="1">
        <v>43503</v>
      </c>
      <c r="B3808">
        <v>121069</v>
      </c>
      <c r="C3808" t="s">
        <v>302</v>
      </c>
      <c r="D3808" t="s">
        <v>3510</v>
      </c>
      <c r="E3808" s="2">
        <v>44.6</v>
      </c>
    </row>
    <row r="3809" spans="1:5" x14ac:dyDescent="0.25">
      <c r="A3809" s="1">
        <v>43503</v>
      </c>
      <c r="B3809">
        <v>121070</v>
      </c>
      <c r="C3809" t="s">
        <v>14</v>
      </c>
      <c r="D3809" t="s">
        <v>3511</v>
      </c>
      <c r="E3809" s="2">
        <v>298</v>
      </c>
    </row>
    <row r="3810" spans="1:5" x14ac:dyDescent="0.25">
      <c r="A3810" s="1">
        <v>43503</v>
      </c>
      <c r="B3810">
        <v>121071</v>
      </c>
      <c r="C3810" t="s">
        <v>750</v>
      </c>
      <c r="D3810" t="s">
        <v>3512</v>
      </c>
      <c r="E3810" s="2">
        <v>385</v>
      </c>
    </row>
    <row r="3811" spans="1:5" x14ac:dyDescent="0.25">
      <c r="A3811" s="1">
        <v>43503</v>
      </c>
      <c r="B3811">
        <v>121072</v>
      </c>
      <c r="C3811" t="s">
        <v>3513</v>
      </c>
      <c r="D3811" t="s">
        <v>3514</v>
      </c>
      <c r="E3811" s="2">
        <v>275</v>
      </c>
    </row>
    <row r="3812" spans="1:5" x14ac:dyDescent="0.25">
      <c r="A3812" s="1">
        <v>43503</v>
      </c>
      <c r="B3812">
        <v>121073</v>
      </c>
      <c r="C3812" t="s">
        <v>3515</v>
      </c>
      <c r="D3812" t="s">
        <v>3516</v>
      </c>
      <c r="E3812" s="2">
        <v>86.52</v>
      </c>
    </row>
    <row r="3813" spans="1:5" x14ac:dyDescent="0.25">
      <c r="A3813" s="1">
        <v>43503</v>
      </c>
      <c r="B3813">
        <v>121074</v>
      </c>
      <c r="C3813" t="s">
        <v>760</v>
      </c>
      <c r="D3813" t="s">
        <v>3517</v>
      </c>
      <c r="E3813" s="2">
        <v>61.9</v>
      </c>
    </row>
    <row r="3814" spans="1:5" x14ac:dyDescent="0.25">
      <c r="A3814" s="1">
        <v>43503</v>
      </c>
      <c r="B3814">
        <v>121074</v>
      </c>
      <c r="C3814" t="s">
        <v>760</v>
      </c>
      <c r="D3814" t="s">
        <v>3518</v>
      </c>
      <c r="E3814" s="2">
        <v>143.62</v>
      </c>
    </row>
    <row r="3815" spans="1:5" x14ac:dyDescent="0.25">
      <c r="A3815" s="1">
        <v>43503</v>
      </c>
      <c r="B3815">
        <v>121074</v>
      </c>
      <c r="C3815" t="s">
        <v>760</v>
      </c>
      <c r="D3815" t="s">
        <v>3519</v>
      </c>
      <c r="E3815" s="2">
        <v>124.56</v>
      </c>
    </row>
    <row r="3816" spans="1:5" x14ac:dyDescent="0.25">
      <c r="A3816" s="1">
        <v>43503</v>
      </c>
      <c r="B3816">
        <v>121074</v>
      </c>
      <c r="C3816" t="s">
        <v>760</v>
      </c>
      <c r="D3816" t="s">
        <v>3520</v>
      </c>
      <c r="E3816" s="2">
        <v>51.98</v>
      </c>
    </row>
    <row r="3817" spans="1:5" x14ac:dyDescent="0.25">
      <c r="A3817" s="1">
        <v>43503</v>
      </c>
      <c r="B3817">
        <v>121075</v>
      </c>
      <c r="C3817" t="s">
        <v>1068</v>
      </c>
      <c r="D3817" t="s">
        <v>3521</v>
      </c>
      <c r="E3817" s="2">
        <v>87.5</v>
      </c>
    </row>
    <row r="3818" spans="1:5" x14ac:dyDescent="0.25">
      <c r="A3818" s="1">
        <v>43503</v>
      </c>
      <c r="B3818">
        <v>121076</v>
      </c>
      <c r="C3818" t="s">
        <v>158</v>
      </c>
      <c r="D3818" t="s">
        <v>3522</v>
      </c>
      <c r="E3818" s="2">
        <v>40.54</v>
      </c>
    </row>
    <row r="3819" spans="1:5" x14ac:dyDescent="0.25">
      <c r="A3819" s="1">
        <v>43503</v>
      </c>
      <c r="B3819">
        <v>121077</v>
      </c>
      <c r="C3819" t="s">
        <v>765</v>
      </c>
      <c r="D3819" t="s">
        <v>3523</v>
      </c>
      <c r="E3819" s="2">
        <v>683.17</v>
      </c>
    </row>
    <row r="3820" spans="1:5" x14ac:dyDescent="0.25">
      <c r="A3820" s="1">
        <v>43503</v>
      </c>
      <c r="B3820">
        <v>121078</v>
      </c>
      <c r="C3820" t="s">
        <v>308</v>
      </c>
      <c r="D3820" t="s">
        <v>3524</v>
      </c>
      <c r="E3820" s="2">
        <v>665</v>
      </c>
    </row>
    <row r="3821" spans="1:5" x14ac:dyDescent="0.25">
      <c r="A3821" s="1">
        <v>43503</v>
      </c>
      <c r="B3821">
        <v>121079</v>
      </c>
      <c r="C3821" t="s">
        <v>3413</v>
      </c>
      <c r="D3821" t="s">
        <v>3525</v>
      </c>
      <c r="E3821" s="2">
        <v>240</v>
      </c>
    </row>
    <row r="3822" spans="1:5" x14ac:dyDescent="0.25">
      <c r="A3822" s="1">
        <v>43503</v>
      </c>
      <c r="B3822">
        <v>121080</v>
      </c>
      <c r="C3822" t="s">
        <v>312</v>
      </c>
      <c r="D3822" t="s">
        <v>3526</v>
      </c>
      <c r="E3822" s="2">
        <v>90</v>
      </c>
    </row>
    <row r="3823" spans="1:5" x14ac:dyDescent="0.25">
      <c r="A3823" s="1">
        <v>43503</v>
      </c>
      <c r="B3823">
        <v>121081</v>
      </c>
      <c r="C3823" t="s">
        <v>164</v>
      </c>
      <c r="D3823" t="s">
        <v>3527</v>
      </c>
      <c r="E3823" s="2">
        <v>1052.4000000000001</v>
      </c>
    </row>
    <row r="3824" spans="1:5" x14ac:dyDescent="0.25">
      <c r="A3824" s="1">
        <v>43503</v>
      </c>
      <c r="B3824">
        <v>121082</v>
      </c>
      <c r="C3824" t="s">
        <v>166</v>
      </c>
      <c r="D3824" t="s">
        <v>3528</v>
      </c>
      <c r="E3824" s="2">
        <v>205</v>
      </c>
    </row>
    <row r="3825" spans="1:5" x14ac:dyDescent="0.25">
      <c r="A3825" s="1">
        <v>43503</v>
      </c>
      <c r="B3825">
        <v>121083</v>
      </c>
      <c r="C3825" t="s">
        <v>322</v>
      </c>
      <c r="D3825" t="s">
        <v>3529</v>
      </c>
      <c r="E3825" s="2">
        <v>145</v>
      </c>
    </row>
    <row r="3826" spans="1:5" x14ac:dyDescent="0.25">
      <c r="A3826" s="1">
        <v>43503</v>
      </c>
      <c r="B3826">
        <v>121084</v>
      </c>
      <c r="C3826" t="s">
        <v>3530</v>
      </c>
      <c r="D3826" t="s">
        <v>3531</v>
      </c>
      <c r="E3826" s="2">
        <v>875</v>
      </c>
    </row>
    <row r="3827" spans="1:5" x14ac:dyDescent="0.25">
      <c r="A3827" s="1">
        <v>43503</v>
      </c>
      <c r="B3827">
        <v>121085</v>
      </c>
      <c r="C3827" t="s">
        <v>168</v>
      </c>
      <c r="D3827" t="s">
        <v>3532</v>
      </c>
      <c r="E3827" s="2">
        <v>1560</v>
      </c>
    </row>
    <row r="3828" spans="1:5" x14ac:dyDescent="0.25">
      <c r="A3828" s="1">
        <v>43503</v>
      </c>
      <c r="B3828">
        <v>121086</v>
      </c>
      <c r="C3828" t="s">
        <v>3533</v>
      </c>
      <c r="D3828" t="s">
        <v>3534</v>
      </c>
      <c r="E3828" s="2">
        <v>250</v>
      </c>
    </row>
    <row r="3829" spans="1:5" x14ac:dyDescent="0.25">
      <c r="A3829" s="1">
        <v>43503</v>
      </c>
      <c r="B3829">
        <v>121087</v>
      </c>
      <c r="C3829" t="s">
        <v>3535</v>
      </c>
      <c r="D3829" t="s">
        <v>3536</v>
      </c>
      <c r="E3829" s="2">
        <v>280</v>
      </c>
    </row>
    <row r="3830" spans="1:5" x14ac:dyDescent="0.25">
      <c r="A3830" s="1">
        <v>43503</v>
      </c>
      <c r="B3830">
        <v>121087</v>
      </c>
      <c r="C3830" t="s">
        <v>3535</v>
      </c>
      <c r="D3830" t="s">
        <v>3536</v>
      </c>
      <c r="E3830" s="2">
        <v>238</v>
      </c>
    </row>
    <row r="3831" spans="1:5" x14ac:dyDescent="0.25">
      <c r="A3831" s="1">
        <v>43503</v>
      </c>
      <c r="B3831">
        <v>121088</v>
      </c>
      <c r="C3831" t="s">
        <v>3537</v>
      </c>
      <c r="D3831" t="s">
        <v>3538</v>
      </c>
      <c r="E3831" s="2">
        <v>4750</v>
      </c>
    </row>
    <row r="3832" spans="1:5" x14ac:dyDescent="0.25">
      <c r="A3832" s="1">
        <v>43503</v>
      </c>
      <c r="B3832">
        <v>121089</v>
      </c>
      <c r="C3832" t="s">
        <v>3539</v>
      </c>
      <c r="D3832" t="s">
        <v>3540</v>
      </c>
      <c r="E3832" s="2">
        <v>100</v>
      </c>
    </row>
    <row r="3833" spans="1:5" x14ac:dyDescent="0.25">
      <c r="A3833" s="1">
        <v>43503</v>
      </c>
      <c r="B3833">
        <v>121089</v>
      </c>
      <c r="C3833" t="s">
        <v>3539</v>
      </c>
      <c r="D3833" t="s">
        <v>3540</v>
      </c>
      <c r="E3833" s="2">
        <v>100</v>
      </c>
    </row>
    <row r="3834" spans="1:5" x14ac:dyDescent="0.25">
      <c r="A3834" s="1">
        <v>43503</v>
      </c>
      <c r="B3834">
        <v>121090</v>
      </c>
      <c r="C3834" t="s">
        <v>174</v>
      </c>
      <c r="D3834" t="s">
        <v>3202</v>
      </c>
      <c r="E3834" s="2">
        <v>1941.06</v>
      </c>
    </row>
    <row r="3835" spans="1:5" x14ac:dyDescent="0.25">
      <c r="A3835" s="1">
        <v>43503</v>
      </c>
      <c r="B3835">
        <v>121091</v>
      </c>
      <c r="C3835" t="s">
        <v>3541</v>
      </c>
      <c r="D3835" t="s">
        <v>3542</v>
      </c>
      <c r="E3835" s="2">
        <v>280</v>
      </c>
    </row>
    <row r="3836" spans="1:5" x14ac:dyDescent="0.25">
      <c r="A3836" s="1">
        <v>43503</v>
      </c>
      <c r="B3836">
        <v>121092</v>
      </c>
      <c r="C3836" t="s">
        <v>3543</v>
      </c>
      <c r="D3836" t="s">
        <v>3544</v>
      </c>
      <c r="E3836" s="2">
        <v>400</v>
      </c>
    </row>
    <row r="3837" spans="1:5" x14ac:dyDescent="0.25">
      <c r="A3837" s="1">
        <v>43503</v>
      </c>
      <c r="B3837">
        <v>121093</v>
      </c>
      <c r="C3837" t="s">
        <v>176</v>
      </c>
      <c r="D3837" t="s">
        <v>3545</v>
      </c>
      <c r="E3837" s="2">
        <v>350</v>
      </c>
    </row>
    <row r="3838" spans="1:5" x14ac:dyDescent="0.25">
      <c r="A3838" s="1">
        <v>43503</v>
      </c>
      <c r="B3838">
        <v>121094</v>
      </c>
      <c r="C3838" t="s">
        <v>179</v>
      </c>
      <c r="D3838" t="s">
        <v>3546</v>
      </c>
      <c r="E3838" s="2">
        <v>491.79</v>
      </c>
    </row>
    <row r="3839" spans="1:5" x14ac:dyDescent="0.25">
      <c r="A3839" s="1">
        <v>43503</v>
      </c>
      <c r="B3839">
        <v>121095</v>
      </c>
      <c r="C3839" t="s">
        <v>780</v>
      </c>
      <c r="D3839" t="s">
        <v>3387</v>
      </c>
      <c r="E3839" s="2">
        <v>208.73</v>
      </c>
    </row>
    <row r="3840" spans="1:5" x14ac:dyDescent="0.25">
      <c r="A3840" s="1">
        <v>43503</v>
      </c>
      <c r="B3840">
        <v>121095</v>
      </c>
      <c r="C3840" t="s">
        <v>780</v>
      </c>
      <c r="D3840" t="s">
        <v>3387</v>
      </c>
      <c r="E3840" s="2">
        <v>219.02</v>
      </c>
    </row>
    <row r="3841" spans="1:5" x14ac:dyDescent="0.25">
      <c r="A3841" s="1">
        <v>43503</v>
      </c>
      <c r="B3841">
        <v>121096</v>
      </c>
      <c r="C3841" t="s">
        <v>2985</v>
      </c>
      <c r="D3841" t="s">
        <v>2763</v>
      </c>
      <c r="E3841" s="2">
        <v>2583.9</v>
      </c>
    </row>
    <row r="3842" spans="1:5" x14ac:dyDescent="0.25">
      <c r="A3842" s="1">
        <v>43503</v>
      </c>
      <c r="B3842">
        <v>121097</v>
      </c>
      <c r="C3842" t="s">
        <v>184</v>
      </c>
      <c r="D3842" t="s">
        <v>2816</v>
      </c>
      <c r="E3842" s="2">
        <v>3108.34</v>
      </c>
    </row>
    <row r="3843" spans="1:5" x14ac:dyDescent="0.25">
      <c r="A3843" s="1">
        <v>43503</v>
      </c>
      <c r="B3843">
        <v>121098</v>
      </c>
      <c r="C3843" t="s">
        <v>1281</v>
      </c>
      <c r="D3843" t="s">
        <v>3547</v>
      </c>
      <c r="E3843" s="2">
        <v>437.6</v>
      </c>
    </row>
    <row r="3844" spans="1:5" x14ac:dyDescent="0.25">
      <c r="A3844" s="1">
        <v>43503</v>
      </c>
      <c r="B3844">
        <v>121100</v>
      </c>
      <c r="C3844" t="s">
        <v>392</v>
      </c>
      <c r="D3844" t="s">
        <v>2458</v>
      </c>
      <c r="E3844" s="2">
        <v>15628.41</v>
      </c>
    </row>
    <row r="3845" spans="1:5" x14ac:dyDescent="0.25">
      <c r="A3845" s="1">
        <v>43504</v>
      </c>
      <c r="B3845">
        <v>121101</v>
      </c>
      <c r="C3845" t="s">
        <v>176</v>
      </c>
      <c r="D3845" t="s">
        <v>3545</v>
      </c>
      <c r="E3845" s="2">
        <v>340</v>
      </c>
    </row>
    <row r="3846" spans="1:5" x14ac:dyDescent="0.25">
      <c r="A3846" s="1">
        <v>43507</v>
      </c>
      <c r="B3846">
        <v>121102</v>
      </c>
      <c r="C3846" t="s">
        <v>3548</v>
      </c>
      <c r="D3846" t="s">
        <v>3549</v>
      </c>
      <c r="E3846" s="2">
        <v>300</v>
      </c>
    </row>
    <row r="3847" spans="1:5" x14ac:dyDescent="0.25">
      <c r="A3847" s="1">
        <v>43509</v>
      </c>
      <c r="B3847">
        <v>121103</v>
      </c>
      <c r="C3847" t="s">
        <v>3550</v>
      </c>
      <c r="D3847" t="s">
        <v>3551</v>
      </c>
      <c r="E3847" s="2">
        <v>20</v>
      </c>
    </row>
    <row r="3848" spans="1:5" x14ac:dyDescent="0.25">
      <c r="A3848" s="1">
        <v>43509</v>
      </c>
      <c r="B3848">
        <v>121104</v>
      </c>
      <c r="C3848" t="s">
        <v>188</v>
      </c>
      <c r="D3848" t="s">
        <v>194</v>
      </c>
      <c r="E3848" s="2">
        <v>195</v>
      </c>
    </row>
    <row r="3849" spans="1:5" x14ac:dyDescent="0.25">
      <c r="A3849" s="1">
        <v>43509</v>
      </c>
      <c r="B3849">
        <v>121105</v>
      </c>
      <c r="C3849" t="s">
        <v>3552</v>
      </c>
      <c r="D3849" t="s">
        <v>3553</v>
      </c>
      <c r="E3849" s="2">
        <v>2439.48</v>
      </c>
    </row>
    <row r="3850" spans="1:5" x14ac:dyDescent="0.25">
      <c r="A3850" s="1">
        <v>43509</v>
      </c>
      <c r="B3850">
        <v>121106</v>
      </c>
      <c r="C3850" t="s">
        <v>405</v>
      </c>
      <c r="D3850" t="s">
        <v>3554</v>
      </c>
      <c r="E3850" s="2">
        <v>165</v>
      </c>
    </row>
    <row r="3851" spans="1:5" x14ac:dyDescent="0.25">
      <c r="A3851" s="1">
        <v>43509</v>
      </c>
      <c r="B3851">
        <v>121107</v>
      </c>
      <c r="C3851" t="s">
        <v>31</v>
      </c>
      <c r="D3851" t="s">
        <v>3396</v>
      </c>
      <c r="E3851" s="2">
        <v>173.28</v>
      </c>
    </row>
    <row r="3852" spans="1:5" x14ac:dyDescent="0.25">
      <c r="A3852" s="1">
        <v>43509</v>
      </c>
      <c r="B3852">
        <v>121108</v>
      </c>
      <c r="C3852" t="s">
        <v>3555</v>
      </c>
      <c r="D3852" t="s">
        <v>2501</v>
      </c>
      <c r="E3852" s="2">
        <v>635</v>
      </c>
    </row>
    <row r="3853" spans="1:5" x14ac:dyDescent="0.25">
      <c r="A3853" s="1">
        <v>43509</v>
      </c>
      <c r="B3853">
        <v>121109</v>
      </c>
      <c r="C3853" t="s">
        <v>3556</v>
      </c>
      <c r="D3853" t="s">
        <v>3557</v>
      </c>
      <c r="E3853" s="2">
        <v>660</v>
      </c>
    </row>
    <row r="3854" spans="1:5" x14ac:dyDescent="0.25">
      <c r="A3854" s="1">
        <v>43509</v>
      </c>
      <c r="B3854">
        <v>121110</v>
      </c>
      <c r="C3854" t="s">
        <v>3147</v>
      </c>
      <c r="D3854" t="s">
        <v>3558</v>
      </c>
      <c r="E3854" s="2">
        <v>10000</v>
      </c>
    </row>
    <row r="3855" spans="1:5" x14ac:dyDescent="0.25">
      <c r="A3855" s="1">
        <v>43509</v>
      </c>
      <c r="B3855">
        <v>121111</v>
      </c>
      <c r="C3855" t="s">
        <v>125</v>
      </c>
      <c r="D3855" t="s">
        <v>3559</v>
      </c>
      <c r="E3855" s="2">
        <v>42.27</v>
      </c>
    </row>
    <row r="3856" spans="1:5" x14ac:dyDescent="0.25">
      <c r="A3856" s="1">
        <v>43509</v>
      </c>
      <c r="B3856">
        <v>121111</v>
      </c>
      <c r="C3856" t="s">
        <v>125</v>
      </c>
      <c r="D3856" t="s">
        <v>3560</v>
      </c>
      <c r="E3856" s="2">
        <v>50.96</v>
      </c>
    </row>
    <row r="3857" spans="1:5" x14ac:dyDescent="0.25">
      <c r="A3857" s="1">
        <v>43509</v>
      </c>
      <c r="B3857">
        <v>121112</v>
      </c>
      <c r="C3857" t="s">
        <v>274</v>
      </c>
      <c r="D3857" t="s">
        <v>3561</v>
      </c>
      <c r="E3857" s="2">
        <v>1790.92</v>
      </c>
    </row>
    <row r="3858" spans="1:5" x14ac:dyDescent="0.25">
      <c r="A3858" s="1">
        <v>43509</v>
      </c>
      <c r="B3858">
        <v>121113</v>
      </c>
      <c r="C3858" t="s">
        <v>3562</v>
      </c>
      <c r="D3858" t="s">
        <v>3563</v>
      </c>
      <c r="E3858" s="2">
        <v>136.85</v>
      </c>
    </row>
    <row r="3859" spans="1:5" x14ac:dyDescent="0.25">
      <c r="A3859" s="1">
        <v>43509</v>
      </c>
      <c r="B3859">
        <v>121114</v>
      </c>
      <c r="C3859" t="s">
        <v>3564</v>
      </c>
      <c r="D3859" t="s">
        <v>3565</v>
      </c>
      <c r="E3859" s="2">
        <v>2400</v>
      </c>
    </row>
    <row r="3860" spans="1:5" x14ac:dyDescent="0.25">
      <c r="A3860" s="1">
        <v>43509</v>
      </c>
      <c r="B3860">
        <v>121115</v>
      </c>
      <c r="C3860" t="s">
        <v>3566</v>
      </c>
      <c r="D3860" t="s">
        <v>3567</v>
      </c>
      <c r="E3860" s="2">
        <v>837</v>
      </c>
    </row>
    <row r="3861" spans="1:5" x14ac:dyDescent="0.25">
      <c r="A3861" s="1">
        <v>43509</v>
      </c>
      <c r="B3861">
        <v>121116</v>
      </c>
      <c r="C3861" t="s">
        <v>77</v>
      </c>
      <c r="D3861" t="s">
        <v>3568</v>
      </c>
      <c r="E3861" s="2">
        <v>76.599999999999994</v>
      </c>
    </row>
    <row r="3862" spans="1:5" x14ac:dyDescent="0.25">
      <c r="A3862" s="1">
        <v>43509</v>
      </c>
      <c r="B3862">
        <v>121117</v>
      </c>
      <c r="C3862" t="s">
        <v>14</v>
      </c>
      <c r="D3862" t="s">
        <v>3569</v>
      </c>
      <c r="E3862" s="2">
        <v>378</v>
      </c>
    </row>
    <row r="3863" spans="1:5" x14ac:dyDescent="0.25">
      <c r="A3863" s="1">
        <v>43509</v>
      </c>
      <c r="B3863">
        <v>121118</v>
      </c>
      <c r="C3863" t="s">
        <v>629</v>
      </c>
      <c r="D3863" t="s">
        <v>3570</v>
      </c>
      <c r="E3863" s="2">
        <v>119.14</v>
      </c>
    </row>
    <row r="3864" spans="1:5" x14ac:dyDescent="0.25">
      <c r="A3864" s="1">
        <v>43509</v>
      </c>
      <c r="B3864">
        <v>121119</v>
      </c>
      <c r="C3864" t="s">
        <v>16</v>
      </c>
      <c r="D3864" t="s">
        <v>3571</v>
      </c>
      <c r="E3864" s="2">
        <v>3938.32</v>
      </c>
    </row>
    <row r="3865" spans="1:5" x14ac:dyDescent="0.25">
      <c r="A3865" s="1">
        <v>43509</v>
      </c>
      <c r="B3865">
        <v>121120</v>
      </c>
      <c r="C3865" t="s">
        <v>3413</v>
      </c>
      <c r="D3865" t="s">
        <v>3572</v>
      </c>
      <c r="E3865" s="2">
        <v>16</v>
      </c>
    </row>
    <row r="3866" spans="1:5" x14ac:dyDescent="0.25">
      <c r="A3866" s="1">
        <v>43509</v>
      </c>
      <c r="B3866">
        <v>121121</v>
      </c>
      <c r="C3866" t="s">
        <v>1711</v>
      </c>
      <c r="D3866" t="s">
        <v>3573</v>
      </c>
      <c r="E3866" s="2">
        <v>41</v>
      </c>
    </row>
    <row r="3867" spans="1:5" x14ac:dyDescent="0.25">
      <c r="A3867" s="1">
        <v>43509</v>
      </c>
      <c r="B3867">
        <v>121122</v>
      </c>
      <c r="C3867" t="s">
        <v>3574</v>
      </c>
      <c r="D3867" t="s">
        <v>3575</v>
      </c>
      <c r="E3867" s="2">
        <v>7387.5</v>
      </c>
    </row>
    <row r="3868" spans="1:5" x14ac:dyDescent="0.25">
      <c r="A3868" s="1">
        <v>43509</v>
      </c>
      <c r="B3868">
        <v>121123</v>
      </c>
      <c r="C3868" t="s">
        <v>2493</v>
      </c>
      <c r="D3868" t="s">
        <v>2494</v>
      </c>
      <c r="E3868" s="2">
        <v>525</v>
      </c>
    </row>
    <row r="3869" spans="1:5" x14ac:dyDescent="0.25">
      <c r="A3869" s="1">
        <v>43509</v>
      </c>
      <c r="B3869">
        <v>121124</v>
      </c>
      <c r="C3869" t="s">
        <v>3576</v>
      </c>
      <c r="D3869" t="s">
        <v>3577</v>
      </c>
      <c r="E3869" s="2">
        <v>616</v>
      </c>
    </row>
    <row r="3870" spans="1:5" x14ac:dyDescent="0.25">
      <c r="A3870" s="1">
        <v>43509</v>
      </c>
      <c r="B3870">
        <v>121124</v>
      </c>
      <c r="C3870" t="s">
        <v>3576</v>
      </c>
      <c r="D3870" t="s">
        <v>3577</v>
      </c>
      <c r="E3870" s="2">
        <v>331</v>
      </c>
    </row>
    <row r="3871" spans="1:5" x14ac:dyDescent="0.25">
      <c r="A3871" s="1">
        <v>43509</v>
      </c>
      <c r="B3871">
        <v>121125</v>
      </c>
      <c r="C3871" t="s">
        <v>2155</v>
      </c>
      <c r="D3871" t="s">
        <v>2156</v>
      </c>
      <c r="E3871" s="2">
        <v>525</v>
      </c>
    </row>
    <row r="3872" spans="1:5" x14ac:dyDescent="0.25">
      <c r="A3872" s="1">
        <v>43509</v>
      </c>
      <c r="B3872">
        <v>121126</v>
      </c>
      <c r="C3872" t="s">
        <v>94</v>
      </c>
      <c r="D3872" t="s">
        <v>3396</v>
      </c>
      <c r="E3872" s="2">
        <v>586.98</v>
      </c>
    </row>
    <row r="3873" spans="1:5" x14ac:dyDescent="0.25">
      <c r="A3873" s="1">
        <v>43509</v>
      </c>
      <c r="B3873">
        <v>121127</v>
      </c>
      <c r="C3873" t="s">
        <v>19</v>
      </c>
      <c r="D3873" t="s">
        <v>3578</v>
      </c>
      <c r="E3873" s="2">
        <v>286</v>
      </c>
    </row>
    <row r="3874" spans="1:5" x14ac:dyDescent="0.25">
      <c r="A3874" s="1">
        <v>43509</v>
      </c>
      <c r="B3874">
        <v>121129</v>
      </c>
      <c r="C3874" t="s">
        <v>3576</v>
      </c>
      <c r="D3874" t="s">
        <v>3579</v>
      </c>
      <c r="E3874" s="2">
        <f>616+331+616+331+616+331</f>
        <v>2841</v>
      </c>
    </row>
    <row r="3875" spans="1:5" x14ac:dyDescent="0.25">
      <c r="A3875" s="1">
        <v>43510</v>
      </c>
      <c r="B3875">
        <v>121136</v>
      </c>
      <c r="C3875" t="s">
        <v>654</v>
      </c>
      <c r="D3875" t="s">
        <v>1142</v>
      </c>
      <c r="E3875" s="2">
        <f>973.9+973.9+973.9</f>
        <v>2921.7</v>
      </c>
    </row>
    <row r="3876" spans="1:5" x14ac:dyDescent="0.25">
      <c r="A3876" s="1">
        <v>43510</v>
      </c>
      <c r="B3876">
        <v>121137</v>
      </c>
      <c r="C3876" t="s">
        <v>226</v>
      </c>
      <c r="D3876" t="s">
        <v>3580</v>
      </c>
      <c r="E3876" s="2">
        <v>201.44</v>
      </c>
    </row>
    <row r="3877" spans="1:5" x14ac:dyDescent="0.25">
      <c r="A3877" s="1">
        <v>43510</v>
      </c>
      <c r="B3877">
        <v>121137</v>
      </c>
      <c r="C3877" t="s">
        <v>226</v>
      </c>
      <c r="D3877" t="s">
        <v>3581</v>
      </c>
      <c r="E3877" s="2">
        <v>11.47</v>
      </c>
    </row>
    <row r="3878" spans="1:5" x14ac:dyDescent="0.25">
      <c r="A3878" s="1">
        <v>43510</v>
      </c>
      <c r="B3878">
        <v>121137</v>
      </c>
      <c r="C3878" t="s">
        <v>226</v>
      </c>
      <c r="D3878" t="s">
        <v>3582</v>
      </c>
      <c r="E3878" s="2">
        <v>219.72</v>
      </c>
    </row>
    <row r="3879" spans="1:5" x14ac:dyDescent="0.25">
      <c r="A3879" s="1">
        <v>43510</v>
      </c>
      <c r="B3879">
        <v>121138</v>
      </c>
      <c r="C3879" t="s">
        <v>3583</v>
      </c>
      <c r="D3879" t="s">
        <v>3584</v>
      </c>
      <c r="E3879" s="2">
        <v>5000</v>
      </c>
    </row>
    <row r="3880" spans="1:5" x14ac:dyDescent="0.25">
      <c r="A3880" s="1">
        <v>43510</v>
      </c>
      <c r="B3880">
        <v>121139</v>
      </c>
      <c r="C3880" t="s">
        <v>237</v>
      </c>
      <c r="D3880" t="s">
        <v>3585</v>
      </c>
      <c r="E3880" s="2">
        <v>89</v>
      </c>
    </row>
    <row r="3881" spans="1:5" x14ac:dyDescent="0.25">
      <c r="A3881" s="1">
        <v>43510</v>
      </c>
      <c r="B3881">
        <v>121141</v>
      </c>
      <c r="C3881" t="s">
        <v>238</v>
      </c>
      <c r="D3881" t="s">
        <v>437</v>
      </c>
      <c r="E3881" s="2">
        <f>516.17+295.02+1324.87+145.89+106.29+164.51+1423.98</f>
        <v>3976.73</v>
      </c>
    </row>
    <row r="3882" spans="1:5" x14ac:dyDescent="0.25">
      <c r="A3882" s="1">
        <v>43510</v>
      </c>
      <c r="B3882">
        <v>121142</v>
      </c>
      <c r="C3882" t="s">
        <v>97</v>
      </c>
      <c r="D3882" t="s">
        <v>3586</v>
      </c>
      <c r="E3882" s="2">
        <v>1543.8</v>
      </c>
    </row>
    <row r="3883" spans="1:5" x14ac:dyDescent="0.25">
      <c r="A3883" s="1">
        <v>43510</v>
      </c>
      <c r="B3883">
        <v>121143</v>
      </c>
      <c r="C3883" t="s">
        <v>942</v>
      </c>
      <c r="D3883" t="s">
        <v>3587</v>
      </c>
      <c r="E3883" s="2">
        <v>300</v>
      </c>
    </row>
    <row r="3884" spans="1:5" x14ac:dyDescent="0.25">
      <c r="A3884" s="1">
        <v>43510</v>
      </c>
      <c r="B3884">
        <v>121144</v>
      </c>
      <c r="C3884" t="s">
        <v>821</v>
      </c>
      <c r="D3884" t="s">
        <v>3588</v>
      </c>
      <c r="E3884" s="2">
        <v>398.3</v>
      </c>
    </row>
    <row r="3885" spans="1:5" x14ac:dyDescent="0.25">
      <c r="A3885" s="1">
        <v>43510</v>
      </c>
      <c r="B3885">
        <v>121145</v>
      </c>
      <c r="C3885" t="s">
        <v>823</v>
      </c>
      <c r="D3885" t="s">
        <v>2743</v>
      </c>
      <c r="E3885" s="2">
        <v>500</v>
      </c>
    </row>
    <row r="3886" spans="1:5" x14ac:dyDescent="0.25">
      <c r="A3886" s="1">
        <v>43510</v>
      </c>
      <c r="B3886">
        <v>121146</v>
      </c>
      <c r="C3886" t="s">
        <v>3102</v>
      </c>
      <c r="D3886" t="s">
        <v>3589</v>
      </c>
      <c r="E3886" s="2">
        <v>400</v>
      </c>
    </row>
    <row r="3887" spans="1:5" x14ac:dyDescent="0.25">
      <c r="A3887" s="1">
        <v>43510</v>
      </c>
      <c r="B3887">
        <v>121147</v>
      </c>
      <c r="C3887" t="s">
        <v>826</v>
      </c>
      <c r="D3887" t="s">
        <v>328</v>
      </c>
      <c r="E3887" s="2">
        <v>220</v>
      </c>
    </row>
    <row r="3888" spans="1:5" x14ac:dyDescent="0.25">
      <c r="A3888" s="1">
        <v>43510</v>
      </c>
      <c r="B3888">
        <v>121148</v>
      </c>
      <c r="C3888" t="s">
        <v>829</v>
      </c>
      <c r="D3888" t="s">
        <v>2743</v>
      </c>
      <c r="E3888" s="2">
        <v>500</v>
      </c>
    </row>
    <row r="3889" spans="1:5" x14ac:dyDescent="0.25">
      <c r="A3889" s="1">
        <v>43510</v>
      </c>
      <c r="B3889">
        <v>121149</v>
      </c>
      <c r="C3889" t="s">
        <v>3590</v>
      </c>
      <c r="D3889" t="s">
        <v>2559</v>
      </c>
      <c r="E3889" s="2">
        <v>3000</v>
      </c>
    </row>
    <row r="3890" spans="1:5" x14ac:dyDescent="0.25">
      <c r="A3890" s="1">
        <v>43510</v>
      </c>
      <c r="B3890">
        <v>121150</v>
      </c>
      <c r="C3890" t="s">
        <v>3591</v>
      </c>
      <c r="D3890" t="s">
        <v>3592</v>
      </c>
      <c r="E3890" s="2">
        <v>16500</v>
      </c>
    </row>
    <row r="3891" spans="1:5" x14ac:dyDescent="0.25">
      <c r="A3891" s="1">
        <v>43510</v>
      </c>
      <c r="B3891">
        <v>121151</v>
      </c>
      <c r="C3891" t="s">
        <v>662</v>
      </c>
      <c r="D3891" t="s">
        <v>3593</v>
      </c>
      <c r="E3891" s="2">
        <v>167.21</v>
      </c>
    </row>
    <row r="3892" spans="1:5" x14ac:dyDescent="0.25">
      <c r="A3892" s="1">
        <v>43510</v>
      </c>
      <c r="B3892">
        <v>121151</v>
      </c>
      <c r="C3892" t="s">
        <v>662</v>
      </c>
      <c r="D3892" t="s">
        <v>3594</v>
      </c>
      <c r="E3892" s="2">
        <v>328.96</v>
      </c>
    </row>
    <row r="3893" spans="1:5" x14ac:dyDescent="0.25">
      <c r="A3893" s="1">
        <v>43510</v>
      </c>
      <c r="B3893">
        <v>121152</v>
      </c>
      <c r="C3893" t="s">
        <v>243</v>
      </c>
      <c r="D3893" t="s">
        <v>3284</v>
      </c>
      <c r="E3893" s="2">
        <v>187.5</v>
      </c>
    </row>
    <row r="3894" spans="1:5" x14ac:dyDescent="0.25">
      <c r="A3894" s="1">
        <v>43510</v>
      </c>
      <c r="B3894">
        <v>121153</v>
      </c>
      <c r="C3894" t="s">
        <v>244</v>
      </c>
      <c r="D3894" t="s">
        <v>3595</v>
      </c>
      <c r="E3894" s="2">
        <v>659.05</v>
      </c>
    </row>
    <row r="3895" spans="1:5" x14ac:dyDescent="0.25">
      <c r="A3895" s="1">
        <v>43510</v>
      </c>
      <c r="B3895">
        <v>121154</v>
      </c>
      <c r="C3895" t="s">
        <v>3596</v>
      </c>
      <c r="D3895" t="s">
        <v>3597</v>
      </c>
      <c r="E3895" s="2">
        <v>44.15</v>
      </c>
    </row>
    <row r="3896" spans="1:5" x14ac:dyDescent="0.25">
      <c r="A3896" s="1">
        <v>43510</v>
      </c>
      <c r="B3896">
        <v>121155</v>
      </c>
      <c r="C3896" t="s">
        <v>31</v>
      </c>
      <c r="D3896" t="s">
        <v>3598</v>
      </c>
      <c r="E3896" s="2">
        <v>131.62</v>
      </c>
    </row>
    <row r="3897" spans="1:5" x14ac:dyDescent="0.25">
      <c r="A3897" s="1">
        <v>43510</v>
      </c>
      <c r="B3897">
        <v>121156</v>
      </c>
      <c r="C3897" t="s">
        <v>837</v>
      </c>
      <c r="D3897" t="s">
        <v>3599</v>
      </c>
      <c r="E3897" s="2">
        <v>518.83000000000004</v>
      </c>
    </row>
    <row r="3898" spans="1:5" x14ac:dyDescent="0.25">
      <c r="A3898" s="1">
        <v>43510</v>
      </c>
      <c r="B3898">
        <v>121157</v>
      </c>
      <c r="C3898" t="s">
        <v>1173</v>
      </c>
      <c r="D3898" t="s">
        <v>2743</v>
      </c>
      <c r="E3898" s="2">
        <v>250</v>
      </c>
    </row>
    <row r="3899" spans="1:5" x14ac:dyDescent="0.25">
      <c r="A3899" s="1">
        <v>43510</v>
      </c>
      <c r="B3899">
        <v>121158</v>
      </c>
      <c r="C3899" t="s">
        <v>3600</v>
      </c>
      <c r="D3899" t="s">
        <v>3601</v>
      </c>
      <c r="E3899" s="2">
        <v>24.25</v>
      </c>
    </row>
    <row r="3900" spans="1:5" x14ac:dyDescent="0.25">
      <c r="A3900" s="1">
        <v>43510</v>
      </c>
      <c r="B3900">
        <v>121159</v>
      </c>
      <c r="C3900" t="s">
        <v>3291</v>
      </c>
      <c r="D3900" t="s">
        <v>3602</v>
      </c>
      <c r="E3900" s="2">
        <v>481</v>
      </c>
    </row>
    <row r="3901" spans="1:5" x14ac:dyDescent="0.25">
      <c r="A3901" s="1">
        <v>43510</v>
      </c>
      <c r="B3901">
        <v>121160</v>
      </c>
      <c r="C3901" t="s">
        <v>68</v>
      </c>
      <c r="D3901" t="s">
        <v>1486</v>
      </c>
      <c r="E3901" s="2">
        <v>220.37</v>
      </c>
    </row>
    <row r="3902" spans="1:5" x14ac:dyDescent="0.25">
      <c r="A3902" s="1">
        <v>43510</v>
      </c>
      <c r="B3902">
        <v>121160</v>
      </c>
      <c r="C3902" t="s">
        <v>68</v>
      </c>
      <c r="D3902" t="s">
        <v>3478</v>
      </c>
      <c r="E3902" s="2">
        <v>132.97999999999999</v>
      </c>
    </row>
    <row r="3903" spans="1:5" x14ac:dyDescent="0.25">
      <c r="A3903" s="1">
        <v>43510</v>
      </c>
      <c r="B3903">
        <v>121160</v>
      </c>
      <c r="C3903" t="s">
        <v>68</v>
      </c>
      <c r="D3903" t="s">
        <v>3603</v>
      </c>
      <c r="E3903" s="2">
        <v>360.95</v>
      </c>
    </row>
    <row r="3904" spans="1:5" x14ac:dyDescent="0.25">
      <c r="A3904" s="1">
        <v>43510</v>
      </c>
      <c r="B3904">
        <v>121160</v>
      </c>
      <c r="C3904" t="s">
        <v>68</v>
      </c>
      <c r="D3904" t="s">
        <v>1482</v>
      </c>
      <c r="E3904" s="2">
        <v>2128.75</v>
      </c>
    </row>
    <row r="3905" spans="1:5" x14ac:dyDescent="0.25">
      <c r="A3905" s="1">
        <v>43510</v>
      </c>
      <c r="B3905">
        <v>121161</v>
      </c>
      <c r="C3905" t="s">
        <v>355</v>
      </c>
      <c r="D3905" t="s">
        <v>3604</v>
      </c>
      <c r="E3905" s="2">
        <v>119.51</v>
      </c>
    </row>
    <row r="3906" spans="1:5" x14ac:dyDescent="0.25">
      <c r="A3906" s="1">
        <v>43510</v>
      </c>
      <c r="B3906">
        <v>121161</v>
      </c>
      <c r="C3906" t="s">
        <v>355</v>
      </c>
      <c r="D3906" t="s">
        <v>3604</v>
      </c>
      <c r="E3906" s="2">
        <v>451.53</v>
      </c>
    </row>
    <row r="3907" spans="1:5" x14ac:dyDescent="0.25">
      <c r="A3907" s="1">
        <v>43510</v>
      </c>
      <c r="B3907">
        <v>121161</v>
      </c>
      <c r="C3907" t="s">
        <v>355</v>
      </c>
      <c r="D3907" t="s">
        <v>764</v>
      </c>
      <c r="E3907" s="3">
        <v>-66.989999999999995</v>
      </c>
    </row>
    <row r="3908" spans="1:5" x14ac:dyDescent="0.25">
      <c r="A3908" s="1">
        <v>43510</v>
      </c>
      <c r="B3908">
        <v>121161</v>
      </c>
      <c r="C3908" t="s">
        <v>355</v>
      </c>
      <c r="D3908" t="s">
        <v>764</v>
      </c>
      <c r="E3908" s="3">
        <v>-75.38</v>
      </c>
    </row>
    <row r="3909" spans="1:5" x14ac:dyDescent="0.25">
      <c r="A3909" s="1">
        <v>43510</v>
      </c>
      <c r="B3909">
        <v>121162</v>
      </c>
      <c r="C3909" t="s">
        <v>1177</v>
      </c>
      <c r="D3909" t="s">
        <v>1448</v>
      </c>
      <c r="E3909" s="2">
        <v>35</v>
      </c>
    </row>
    <row r="3910" spans="1:5" x14ac:dyDescent="0.25">
      <c r="A3910" s="1">
        <v>43510</v>
      </c>
      <c r="B3910">
        <v>121162</v>
      </c>
      <c r="C3910" t="s">
        <v>1177</v>
      </c>
      <c r="D3910" t="s">
        <v>3605</v>
      </c>
      <c r="E3910" s="2">
        <v>35</v>
      </c>
    </row>
    <row r="3911" spans="1:5" x14ac:dyDescent="0.25">
      <c r="A3911" s="1">
        <v>43510</v>
      </c>
      <c r="B3911">
        <v>121172</v>
      </c>
      <c r="C3911" t="s">
        <v>110</v>
      </c>
      <c r="D3911" t="s">
        <v>2010</v>
      </c>
      <c r="E3911" s="2">
        <v>63395.02</v>
      </c>
    </row>
    <row r="3912" spans="1:5" x14ac:dyDescent="0.25">
      <c r="A3912" s="1">
        <v>43510</v>
      </c>
      <c r="B3912">
        <v>121173</v>
      </c>
      <c r="C3912" t="s">
        <v>3606</v>
      </c>
      <c r="D3912" t="s">
        <v>3607</v>
      </c>
      <c r="E3912" s="2">
        <v>25</v>
      </c>
    </row>
    <row r="3913" spans="1:5" x14ac:dyDescent="0.25">
      <c r="A3913" s="1">
        <v>43510</v>
      </c>
      <c r="B3913">
        <v>121174</v>
      </c>
      <c r="C3913" t="s">
        <v>685</v>
      </c>
      <c r="D3913" t="s">
        <v>3608</v>
      </c>
      <c r="E3913" s="2">
        <v>2653.04</v>
      </c>
    </row>
    <row r="3914" spans="1:5" x14ac:dyDescent="0.25">
      <c r="A3914" s="1">
        <v>43510</v>
      </c>
      <c r="B3914">
        <v>121177</v>
      </c>
      <c r="C3914" t="s">
        <v>114</v>
      </c>
      <c r="D3914" t="s">
        <v>473</v>
      </c>
      <c r="E3914" s="2">
        <f>25+25+25+25+25+25+25+25</f>
        <v>200</v>
      </c>
    </row>
    <row r="3915" spans="1:5" x14ac:dyDescent="0.25">
      <c r="A3915" s="1">
        <v>43510</v>
      </c>
      <c r="B3915">
        <v>121178</v>
      </c>
      <c r="C3915" t="s">
        <v>852</v>
      </c>
      <c r="D3915" t="s">
        <v>2743</v>
      </c>
      <c r="E3915" s="2">
        <v>500</v>
      </c>
    </row>
    <row r="3916" spans="1:5" x14ac:dyDescent="0.25">
      <c r="A3916" s="1">
        <v>43510</v>
      </c>
      <c r="B3916">
        <v>121179</v>
      </c>
      <c r="C3916" t="s">
        <v>1452</v>
      </c>
      <c r="D3916" t="s">
        <v>3123</v>
      </c>
      <c r="E3916" s="2">
        <v>111.93</v>
      </c>
    </row>
    <row r="3917" spans="1:5" x14ac:dyDescent="0.25">
      <c r="A3917" s="1">
        <v>43510</v>
      </c>
      <c r="B3917">
        <v>121180</v>
      </c>
      <c r="C3917" t="s">
        <v>692</v>
      </c>
      <c r="D3917" t="s">
        <v>3609</v>
      </c>
      <c r="E3917" s="2">
        <v>241.97</v>
      </c>
    </row>
    <row r="3918" spans="1:5" x14ac:dyDescent="0.25">
      <c r="A3918" s="1">
        <v>43510</v>
      </c>
      <c r="B3918">
        <v>121180</v>
      </c>
      <c r="C3918" t="s">
        <v>692</v>
      </c>
      <c r="D3918" t="s">
        <v>3610</v>
      </c>
      <c r="E3918" s="2">
        <v>551.37</v>
      </c>
    </row>
    <row r="3919" spans="1:5" x14ac:dyDescent="0.25">
      <c r="A3919" s="1">
        <v>43510</v>
      </c>
      <c r="B3919">
        <v>121181</v>
      </c>
      <c r="C3919" t="s">
        <v>73</v>
      </c>
      <c r="D3919" t="s">
        <v>3611</v>
      </c>
      <c r="E3919" s="2">
        <v>383.8</v>
      </c>
    </row>
    <row r="3920" spans="1:5" x14ac:dyDescent="0.25">
      <c r="A3920" s="1">
        <v>43510</v>
      </c>
      <c r="B3920">
        <v>121182</v>
      </c>
      <c r="C3920" t="s">
        <v>3147</v>
      </c>
      <c r="D3920" t="s">
        <v>3612</v>
      </c>
      <c r="E3920" s="2">
        <v>140</v>
      </c>
    </row>
    <row r="3921" spans="1:5" x14ac:dyDescent="0.25">
      <c r="A3921" s="1">
        <v>43510</v>
      </c>
      <c r="B3921">
        <v>121183</v>
      </c>
      <c r="C3921" t="s">
        <v>264</v>
      </c>
      <c r="D3921" t="s">
        <v>4234</v>
      </c>
      <c r="E3921" s="2">
        <v>898.25</v>
      </c>
    </row>
    <row r="3922" spans="1:5" x14ac:dyDescent="0.25">
      <c r="A3922" s="1">
        <v>43510</v>
      </c>
      <c r="B3922">
        <v>121183</v>
      </c>
      <c r="C3922" t="s">
        <v>264</v>
      </c>
      <c r="D3922" t="s">
        <v>4235</v>
      </c>
      <c r="E3922" s="2">
        <v>574.12</v>
      </c>
    </row>
    <row r="3923" spans="1:5" x14ac:dyDescent="0.25">
      <c r="A3923" s="1">
        <v>43510</v>
      </c>
      <c r="B3923">
        <v>121194</v>
      </c>
      <c r="C3923" t="s">
        <v>125</v>
      </c>
      <c r="D3923" t="s">
        <v>3613</v>
      </c>
      <c r="E3923" s="2">
        <v>110.41</v>
      </c>
    </row>
    <row r="3924" spans="1:5" x14ac:dyDescent="0.25">
      <c r="A3924" s="1">
        <v>43510</v>
      </c>
      <c r="B3924">
        <v>121194</v>
      </c>
      <c r="C3924" t="s">
        <v>125</v>
      </c>
      <c r="D3924" t="s">
        <v>3614</v>
      </c>
      <c r="E3924" s="2">
        <v>261.97000000000003</v>
      </c>
    </row>
    <row r="3925" spans="1:5" x14ac:dyDescent="0.25">
      <c r="A3925" s="1">
        <v>43510</v>
      </c>
      <c r="B3925">
        <v>121194</v>
      </c>
      <c r="C3925" t="s">
        <v>125</v>
      </c>
      <c r="D3925" t="s">
        <v>3615</v>
      </c>
      <c r="E3925" s="2">
        <v>46.76</v>
      </c>
    </row>
    <row r="3926" spans="1:5" x14ac:dyDescent="0.25">
      <c r="A3926" s="1">
        <v>43510</v>
      </c>
      <c r="B3926">
        <v>121194</v>
      </c>
      <c r="C3926" t="s">
        <v>125</v>
      </c>
      <c r="D3926" t="s">
        <v>3616</v>
      </c>
      <c r="E3926" s="2">
        <v>287.56</v>
      </c>
    </row>
    <row r="3927" spans="1:5" x14ac:dyDescent="0.25">
      <c r="A3927" s="1">
        <v>43510</v>
      </c>
      <c r="B3927">
        <v>121194</v>
      </c>
      <c r="C3927" t="s">
        <v>125</v>
      </c>
      <c r="D3927" t="s">
        <v>3616</v>
      </c>
      <c r="E3927" s="2">
        <v>53.67</v>
      </c>
    </row>
    <row r="3928" spans="1:5" x14ac:dyDescent="0.25">
      <c r="A3928" s="1">
        <v>43510</v>
      </c>
      <c r="B3928">
        <v>121194</v>
      </c>
      <c r="C3928" t="s">
        <v>125</v>
      </c>
      <c r="D3928" t="s">
        <v>3616</v>
      </c>
      <c r="E3928" s="2">
        <v>70.03</v>
      </c>
    </row>
    <row r="3929" spans="1:5" x14ac:dyDescent="0.25">
      <c r="A3929" s="1">
        <v>43510</v>
      </c>
      <c r="B3929">
        <v>121194</v>
      </c>
      <c r="C3929" t="s">
        <v>125</v>
      </c>
      <c r="D3929" t="s">
        <v>764</v>
      </c>
      <c r="E3929" s="3">
        <v>-70.03</v>
      </c>
    </row>
    <row r="3930" spans="1:5" x14ac:dyDescent="0.25">
      <c r="A3930" s="1">
        <v>43510</v>
      </c>
      <c r="B3930">
        <v>121194</v>
      </c>
      <c r="C3930" t="s">
        <v>125</v>
      </c>
      <c r="D3930" t="s">
        <v>3617</v>
      </c>
      <c r="E3930" s="2">
        <v>1154.72</v>
      </c>
    </row>
    <row r="3931" spans="1:5" x14ac:dyDescent="0.25">
      <c r="A3931" s="1">
        <v>43510</v>
      </c>
      <c r="B3931">
        <v>121194</v>
      </c>
      <c r="C3931" t="s">
        <v>125</v>
      </c>
      <c r="D3931" t="s">
        <v>3618</v>
      </c>
      <c r="E3931" s="2">
        <f>19.97+14.88+1003.08+34.95+256.95+237.37+99.96+39.93</f>
        <v>1707.0900000000004</v>
      </c>
    </row>
    <row r="3932" spans="1:5" x14ac:dyDescent="0.25">
      <c r="A3932" s="1">
        <v>43510</v>
      </c>
      <c r="B3932">
        <v>121194</v>
      </c>
      <c r="C3932" t="s">
        <v>125</v>
      </c>
      <c r="D3932" t="s">
        <v>3619</v>
      </c>
      <c r="E3932" s="2">
        <f>55.98+728.59+229.36</f>
        <v>1013.9300000000001</v>
      </c>
    </row>
    <row r="3933" spans="1:5" x14ac:dyDescent="0.25">
      <c r="A3933" s="1">
        <v>43510</v>
      </c>
      <c r="B3933">
        <v>121194</v>
      </c>
      <c r="C3933" t="s">
        <v>125</v>
      </c>
      <c r="D3933" t="s">
        <v>3620</v>
      </c>
      <c r="E3933" s="2">
        <v>47.84</v>
      </c>
    </row>
    <row r="3934" spans="1:5" x14ac:dyDescent="0.25">
      <c r="A3934" s="1">
        <v>43510</v>
      </c>
      <c r="B3934">
        <v>121194</v>
      </c>
      <c r="C3934" t="s">
        <v>125</v>
      </c>
      <c r="D3934" t="s">
        <v>3621</v>
      </c>
      <c r="E3934" s="2">
        <v>11.98</v>
      </c>
    </row>
    <row r="3935" spans="1:5" x14ac:dyDescent="0.25">
      <c r="A3935" s="1">
        <v>43510</v>
      </c>
      <c r="B3935">
        <v>121194</v>
      </c>
      <c r="C3935" t="s">
        <v>125</v>
      </c>
      <c r="D3935" t="s">
        <v>3621</v>
      </c>
      <c r="E3935" s="2">
        <v>15.62</v>
      </c>
    </row>
    <row r="3936" spans="1:5" x14ac:dyDescent="0.25">
      <c r="A3936" s="1">
        <v>43510</v>
      </c>
      <c r="B3936">
        <v>121194</v>
      </c>
      <c r="C3936" t="s">
        <v>125</v>
      </c>
      <c r="D3936" t="s">
        <v>764</v>
      </c>
      <c r="E3936" s="3">
        <v>-15.62</v>
      </c>
    </row>
    <row r="3937" spans="1:5" x14ac:dyDescent="0.25">
      <c r="A3937" s="1">
        <v>43510</v>
      </c>
      <c r="B3937">
        <v>121194</v>
      </c>
      <c r="C3937" t="s">
        <v>125</v>
      </c>
      <c r="D3937" t="s">
        <v>3622</v>
      </c>
      <c r="E3937" s="2">
        <v>43.71</v>
      </c>
    </row>
    <row r="3938" spans="1:5" x14ac:dyDescent="0.25">
      <c r="A3938" s="1">
        <v>43510</v>
      </c>
      <c r="B3938">
        <v>121194</v>
      </c>
      <c r="C3938" t="s">
        <v>125</v>
      </c>
      <c r="D3938" t="s">
        <v>764</v>
      </c>
      <c r="E3938" s="3">
        <v>-24.97</v>
      </c>
    </row>
    <row r="3939" spans="1:5" x14ac:dyDescent="0.25">
      <c r="A3939" s="1">
        <v>43510</v>
      </c>
      <c r="B3939">
        <v>121194</v>
      </c>
      <c r="C3939" t="s">
        <v>125</v>
      </c>
      <c r="D3939" t="s">
        <v>3622</v>
      </c>
      <c r="E3939" s="2">
        <v>40.89</v>
      </c>
    </row>
    <row r="3940" spans="1:5" x14ac:dyDescent="0.25">
      <c r="A3940" s="1">
        <v>43510</v>
      </c>
      <c r="B3940">
        <v>121194</v>
      </c>
      <c r="C3940" t="s">
        <v>125</v>
      </c>
      <c r="D3940" t="s">
        <v>3623</v>
      </c>
      <c r="E3940" s="2">
        <v>547.09</v>
      </c>
    </row>
    <row r="3941" spans="1:5" x14ac:dyDescent="0.25">
      <c r="A3941" s="1">
        <v>43510</v>
      </c>
      <c r="B3941">
        <v>121194</v>
      </c>
      <c r="C3941" t="s">
        <v>125</v>
      </c>
      <c r="D3941" t="s">
        <v>3624</v>
      </c>
      <c r="E3941" s="2">
        <v>142.58000000000001</v>
      </c>
    </row>
    <row r="3942" spans="1:5" x14ac:dyDescent="0.25">
      <c r="A3942" s="1">
        <v>43510</v>
      </c>
      <c r="B3942">
        <v>121194</v>
      </c>
      <c r="C3942" t="s">
        <v>125</v>
      </c>
      <c r="D3942" t="s">
        <v>3625</v>
      </c>
      <c r="E3942" s="2">
        <v>555.83000000000004</v>
      </c>
    </row>
    <row r="3943" spans="1:5" x14ac:dyDescent="0.25">
      <c r="A3943" s="1">
        <v>43510</v>
      </c>
      <c r="B3943">
        <v>121194</v>
      </c>
      <c r="C3943" t="s">
        <v>125</v>
      </c>
      <c r="D3943" t="s">
        <v>3618</v>
      </c>
      <c r="E3943" s="2">
        <v>313</v>
      </c>
    </row>
    <row r="3944" spans="1:5" x14ac:dyDescent="0.25">
      <c r="A3944" s="1">
        <v>43510</v>
      </c>
      <c r="B3944">
        <v>121194</v>
      </c>
      <c r="C3944" t="s">
        <v>125</v>
      </c>
      <c r="D3944" t="s">
        <v>764</v>
      </c>
      <c r="E3944" s="3">
        <v>-19.97</v>
      </c>
    </row>
    <row r="3945" spans="1:5" x14ac:dyDescent="0.25">
      <c r="A3945" s="1">
        <v>43510</v>
      </c>
      <c r="B3945">
        <v>121194</v>
      </c>
      <c r="C3945" t="s">
        <v>125</v>
      </c>
      <c r="D3945" t="s">
        <v>764</v>
      </c>
      <c r="E3945" s="3">
        <v>-313</v>
      </c>
    </row>
    <row r="3946" spans="1:5" x14ac:dyDescent="0.25">
      <c r="A3946" s="1">
        <v>43510</v>
      </c>
      <c r="B3946">
        <v>121194</v>
      </c>
      <c r="C3946" t="s">
        <v>125</v>
      </c>
      <c r="D3946" t="s">
        <v>3626</v>
      </c>
      <c r="E3946" s="2">
        <v>112.4</v>
      </c>
    </row>
    <row r="3947" spans="1:5" x14ac:dyDescent="0.25">
      <c r="A3947" s="1">
        <v>43510</v>
      </c>
      <c r="B3947">
        <v>121194</v>
      </c>
      <c r="C3947" t="s">
        <v>125</v>
      </c>
      <c r="D3947" t="s">
        <v>3626</v>
      </c>
      <c r="E3947" s="2">
        <v>552.58000000000004</v>
      </c>
    </row>
    <row r="3948" spans="1:5" x14ac:dyDescent="0.25">
      <c r="A3948" s="1">
        <v>43510</v>
      </c>
      <c r="B3948">
        <v>121194</v>
      </c>
      <c r="C3948" t="s">
        <v>125</v>
      </c>
      <c r="D3948" t="s">
        <v>3627</v>
      </c>
      <c r="E3948" s="2">
        <v>36.36</v>
      </c>
    </row>
    <row r="3949" spans="1:5" x14ac:dyDescent="0.25">
      <c r="A3949" s="1">
        <v>43510</v>
      </c>
      <c r="B3949">
        <v>121194</v>
      </c>
      <c r="C3949" t="s">
        <v>125</v>
      </c>
      <c r="D3949" t="s">
        <v>3627</v>
      </c>
      <c r="E3949" s="2">
        <v>312.36</v>
      </c>
    </row>
    <row r="3950" spans="1:5" x14ac:dyDescent="0.25">
      <c r="A3950" s="1">
        <v>43510</v>
      </c>
      <c r="B3950">
        <v>121197</v>
      </c>
      <c r="C3950" t="s">
        <v>274</v>
      </c>
      <c r="D3950" t="s">
        <v>3628</v>
      </c>
      <c r="E3950" s="2">
        <v>568.17999999999995</v>
      </c>
    </row>
    <row r="3951" spans="1:5" x14ac:dyDescent="0.25">
      <c r="A3951" s="1">
        <v>43510</v>
      </c>
      <c r="B3951">
        <v>121197</v>
      </c>
      <c r="C3951" t="s">
        <v>274</v>
      </c>
      <c r="D3951" t="s">
        <v>3629</v>
      </c>
      <c r="E3951" s="2">
        <v>893.16</v>
      </c>
    </row>
    <row r="3952" spans="1:5" x14ac:dyDescent="0.25">
      <c r="A3952" s="1">
        <v>43510</v>
      </c>
      <c r="B3952">
        <v>121197</v>
      </c>
      <c r="C3952" t="s">
        <v>274</v>
      </c>
      <c r="D3952" t="s">
        <v>3630</v>
      </c>
      <c r="E3952" s="2">
        <v>5636.44</v>
      </c>
    </row>
    <row r="3953" spans="1:5" x14ac:dyDescent="0.25">
      <c r="A3953" s="1">
        <v>43510</v>
      </c>
      <c r="B3953">
        <v>121197</v>
      </c>
      <c r="C3953" t="s">
        <v>274</v>
      </c>
      <c r="D3953" t="s">
        <v>3631</v>
      </c>
      <c r="E3953" s="2">
        <v>783.27</v>
      </c>
    </row>
    <row r="3954" spans="1:5" x14ac:dyDescent="0.25">
      <c r="A3954" s="1">
        <v>43510</v>
      </c>
      <c r="B3954">
        <v>121197</v>
      </c>
      <c r="C3954" t="s">
        <v>274</v>
      </c>
      <c r="D3954" t="s">
        <v>3632</v>
      </c>
      <c r="E3954" s="2">
        <v>384.17</v>
      </c>
    </row>
    <row r="3955" spans="1:5" x14ac:dyDescent="0.25">
      <c r="A3955" s="1">
        <v>43510</v>
      </c>
      <c r="B3955">
        <v>121197</v>
      </c>
      <c r="C3955" t="s">
        <v>274</v>
      </c>
      <c r="D3955" t="s">
        <v>3633</v>
      </c>
      <c r="E3955" s="2">
        <v>559.52</v>
      </c>
    </row>
    <row r="3956" spans="1:5" x14ac:dyDescent="0.25">
      <c r="A3956" s="1">
        <v>43510</v>
      </c>
      <c r="B3956">
        <v>121197</v>
      </c>
      <c r="C3956" t="s">
        <v>274</v>
      </c>
      <c r="D3956" t="s">
        <v>3634</v>
      </c>
      <c r="E3956" s="2">
        <v>131.97999999999999</v>
      </c>
    </row>
    <row r="3957" spans="1:5" x14ac:dyDescent="0.25">
      <c r="A3957" s="1">
        <v>43510</v>
      </c>
      <c r="B3957">
        <v>121198</v>
      </c>
      <c r="C3957" t="s">
        <v>3635</v>
      </c>
      <c r="D3957" t="s">
        <v>3636</v>
      </c>
      <c r="E3957" s="2">
        <v>500</v>
      </c>
    </row>
    <row r="3958" spans="1:5" x14ac:dyDescent="0.25">
      <c r="A3958" s="1">
        <v>43510</v>
      </c>
      <c r="B3958">
        <v>121199</v>
      </c>
      <c r="C3958" t="s">
        <v>3637</v>
      </c>
      <c r="D3958" t="s">
        <v>3638</v>
      </c>
      <c r="E3958" s="2">
        <v>151</v>
      </c>
    </row>
    <row r="3959" spans="1:5" x14ac:dyDescent="0.25">
      <c r="A3959" s="1">
        <v>43510</v>
      </c>
      <c r="B3959">
        <v>121200</v>
      </c>
      <c r="C3959" t="s">
        <v>1823</v>
      </c>
      <c r="D3959" t="s">
        <v>3639</v>
      </c>
      <c r="E3959" s="2">
        <v>49.4</v>
      </c>
    </row>
    <row r="3960" spans="1:5" x14ac:dyDescent="0.25">
      <c r="A3960" s="1">
        <v>43510</v>
      </c>
      <c r="B3960">
        <v>121201</v>
      </c>
      <c r="C3960" t="s">
        <v>47</v>
      </c>
      <c r="D3960" t="s">
        <v>3640</v>
      </c>
      <c r="E3960" s="2">
        <v>57.64</v>
      </c>
    </row>
    <row r="3961" spans="1:5" x14ac:dyDescent="0.25">
      <c r="A3961" s="1">
        <v>43510</v>
      </c>
      <c r="B3961">
        <v>121201</v>
      </c>
      <c r="C3961" t="s">
        <v>47</v>
      </c>
      <c r="D3961" t="s">
        <v>3641</v>
      </c>
      <c r="E3961" s="2">
        <v>108.04</v>
      </c>
    </row>
    <row r="3962" spans="1:5" x14ac:dyDescent="0.25">
      <c r="A3962" s="1">
        <v>43510</v>
      </c>
      <c r="B3962">
        <v>121201</v>
      </c>
      <c r="C3962" t="s">
        <v>47</v>
      </c>
      <c r="D3962" t="s">
        <v>3642</v>
      </c>
      <c r="E3962" s="2">
        <v>37.4</v>
      </c>
    </row>
    <row r="3963" spans="1:5" x14ac:dyDescent="0.25">
      <c r="A3963" s="1">
        <v>43510</v>
      </c>
      <c r="B3963">
        <v>121202</v>
      </c>
      <c r="C3963" t="s">
        <v>74</v>
      </c>
      <c r="D3963" t="s">
        <v>3643</v>
      </c>
      <c r="E3963" s="2">
        <v>234.89</v>
      </c>
    </row>
    <row r="3964" spans="1:5" x14ac:dyDescent="0.25">
      <c r="A3964" s="1">
        <v>43510</v>
      </c>
      <c r="B3964">
        <v>121202</v>
      </c>
      <c r="C3964" t="s">
        <v>74</v>
      </c>
      <c r="D3964" t="s">
        <v>3643</v>
      </c>
      <c r="E3964" s="2">
        <v>44.97</v>
      </c>
    </row>
    <row r="3965" spans="1:5" x14ac:dyDescent="0.25">
      <c r="A3965" s="1">
        <v>43510</v>
      </c>
      <c r="B3965">
        <v>121202</v>
      </c>
      <c r="C3965" t="s">
        <v>74</v>
      </c>
      <c r="D3965" t="s">
        <v>3644</v>
      </c>
      <c r="E3965" s="2">
        <v>5.78</v>
      </c>
    </row>
    <row r="3966" spans="1:5" x14ac:dyDescent="0.25">
      <c r="A3966" s="1">
        <v>43510</v>
      </c>
      <c r="B3966">
        <v>121202</v>
      </c>
      <c r="C3966" t="s">
        <v>74</v>
      </c>
      <c r="D3966" t="s">
        <v>3645</v>
      </c>
      <c r="E3966" s="2">
        <v>1156</v>
      </c>
    </row>
    <row r="3967" spans="1:5" x14ac:dyDescent="0.25">
      <c r="A3967" s="1">
        <v>43510</v>
      </c>
      <c r="B3967">
        <v>121202</v>
      </c>
      <c r="C3967" t="s">
        <v>74</v>
      </c>
      <c r="D3967" t="s">
        <v>3496</v>
      </c>
      <c r="E3967" s="2">
        <v>184.66</v>
      </c>
    </row>
    <row r="3968" spans="1:5" x14ac:dyDescent="0.25">
      <c r="A3968" s="1">
        <v>43510</v>
      </c>
      <c r="B3968">
        <v>121202</v>
      </c>
      <c r="C3968" t="s">
        <v>74</v>
      </c>
      <c r="D3968" t="s">
        <v>3646</v>
      </c>
      <c r="E3968" s="2">
        <v>742.95</v>
      </c>
    </row>
    <row r="3969" spans="1:5" x14ac:dyDescent="0.25">
      <c r="A3969" s="1">
        <v>43510</v>
      </c>
      <c r="B3969">
        <v>121203</v>
      </c>
      <c r="C3969" t="s">
        <v>283</v>
      </c>
      <c r="D3969" t="s">
        <v>441</v>
      </c>
      <c r="E3969" s="2">
        <v>1026.75</v>
      </c>
    </row>
    <row r="3970" spans="1:5" x14ac:dyDescent="0.25">
      <c r="A3970" s="1">
        <v>43510</v>
      </c>
      <c r="B3970">
        <v>121204</v>
      </c>
      <c r="C3970" t="s">
        <v>146</v>
      </c>
      <c r="D3970" t="s">
        <v>3647</v>
      </c>
      <c r="E3970" s="2">
        <v>558.92999999999995</v>
      </c>
    </row>
    <row r="3971" spans="1:5" x14ac:dyDescent="0.25">
      <c r="A3971" s="1">
        <v>43510</v>
      </c>
      <c r="B3971">
        <v>121204</v>
      </c>
      <c r="C3971" t="s">
        <v>146</v>
      </c>
      <c r="D3971" t="s">
        <v>3648</v>
      </c>
      <c r="E3971" s="2">
        <v>25</v>
      </c>
    </row>
    <row r="3972" spans="1:5" x14ac:dyDescent="0.25">
      <c r="A3972" s="1">
        <v>43510</v>
      </c>
      <c r="B3972">
        <v>121204</v>
      </c>
      <c r="C3972" t="s">
        <v>146</v>
      </c>
      <c r="D3972" t="s">
        <v>3649</v>
      </c>
      <c r="E3972" s="2">
        <v>428.17</v>
      </c>
    </row>
    <row r="3973" spans="1:5" x14ac:dyDescent="0.25">
      <c r="A3973" s="1">
        <v>43510</v>
      </c>
      <c r="B3973">
        <v>121205</v>
      </c>
      <c r="C3973" t="s">
        <v>3650</v>
      </c>
      <c r="D3973" t="s">
        <v>3651</v>
      </c>
      <c r="E3973" s="2">
        <v>159.5</v>
      </c>
    </row>
    <row r="3974" spans="1:5" x14ac:dyDescent="0.25">
      <c r="A3974" s="1">
        <v>43510</v>
      </c>
      <c r="B3974">
        <v>121207</v>
      </c>
      <c r="C3974" t="s">
        <v>734</v>
      </c>
      <c r="D3974" t="s">
        <v>3652</v>
      </c>
      <c r="E3974" s="2">
        <v>480</v>
      </c>
    </row>
    <row r="3975" spans="1:5" x14ac:dyDescent="0.25">
      <c r="A3975" s="1">
        <v>43510</v>
      </c>
      <c r="B3975">
        <v>121207</v>
      </c>
      <c r="C3975" t="s">
        <v>734</v>
      </c>
      <c r="D3975" t="s">
        <v>2763</v>
      </c>
      <c r="E3975" s="2">
        <f>344.72+137.95+1062.6+138+1661.38</f>
        <v>3344.65</v>
      </c>
    </row>
    <row r="3976" spans="1:5" x14ac:dyDescent="0.25">
      <c r="A3976" s="1">
        <v>43510</v>
      </c>
      <c r="B3976">
        <v>121208</v>
      </c>
      <c r="C3976" t="s">
        <v>336</v>
      </c>
      <c r="D3976" t="s">
        <v>3653</v>
      </c>
      <c r="E3976" s="2">
        <v>161.25</v>
      </c>
    </row>
    <row r="3977" spans="1:5" x14ac:dyDescent="0.25">
      <c r="A3977" s="1">
        <v>43510</v>
      </c>
      <c r="B3977">
        <v>121209</v>
      </c>
      <c r="C3977" t="s">
        <v>75</v>
      </c>
      <c r="D3977" t="s">
        <v>3654</v>
      </c>
      <c r="E3977" s="2">
        <v>4.76</v>
      </c>
    </row>
    <row r="3978" spans="1:5" x14ac:dyDescent="0.25">
      <c r="A3978" s="1">
        <v>43510</v>
      </c>
      <c r="B3978">
        <v>121209</v>
      </c>
      <c r="C3978" t="s">
        <v>75</v>
      </c>
      <c r="D3978" t="s">
        <v>3655</v>
      </c>
      <c r="E3978" s="2">
        <v>6.15</v>
      </c>
    </row>
    <row r="3979" spans="1:5" x14ac:dyDescent="0.25">
      <c r="A3979" s="1">
        <v>43510</v>
      </c>
      <c r="B3979">
        <v>121210</v>
      </c>
      <c r="C3979" t="s">
        <v>739</v>
      </c>
      <c r="D3979" t="s">
        <v>3656</v>
      </c>
      <c r="E3979" s="2">
        <v>19712.7</v>
      </c>
    </row>
    <row r="3980" spans="1:5" x14ac:dyDescent="0.25">
      <c r="A3980" s="1">
        <v>43510</v>
      </c>
      <c r="B3980">
        <v>121211</v>
      </c>
      <c r="C3980" t="s">
        <v>11</v>
      </c>
      <c r="D3980" t="s">
        <v>3062</v>
      </c>
      <c r="E3980" s="2">
        <v>89.32</v>
      </c>
    </row>
    <row r="3981" spans="1:5" x14ac:dyDescent="0.25">
      <c r="A3981" s="1">
        <v>43510</v>
      </c>
      <c r="B3981">
        <v>121211</v>
      </c>
      <c r="C3981" t="s">
        <v>11</v>
      </c>
      <c r="D3981" t="s">
        <v>3062</v>
      </c>
      <c r="E3981" s="2">
        <v>23.46</v>
      </c>
    </row>
    <row r="3982" spans="1:5" x14ac:dyDescent="0.25">
      <c r="A3982" s="1">
        <v>43510</v>
      </c>
      <c r="B3982">
        <v>121212</v>
      </c>
      <c r="C3982" t="s">
        <v>12</v>
      </c>
      <c r="D3982" t="s">
        <v>3657</v>
      </c>
      <c r="E3982" s="2">
        <v>200.92</v>
      </c>
    </row>
    <row r="3983" spans="1:5" x14ac:dyDescent="0.25">
      <c r="A3983" s="1">
        <v>43510</v>
      </c>
      <c r="B3983">
        <v>121212</v>
      </c>
      <c r="C3983" t="s">
        <v>12</v>
      </c>
      <c r="D3983" t="s">
        <v>3658</v>
      </c>
      <c r="E3983" s="2">
        <v>222.77</v>
      </c>
    </row>
    <row r="3984" spans="1:5" x14ac:dyDescent="0.25">
      <c r="A3984" s="1">
        <v>43510</v>
      </c>
      <c r="B3984">
        <v>121213</v>
      </c>
      <c r="C3984" t="s">
        <v>291</v>
      </c>
      <c r="D3984" t="s">
        <v>3659</v>
      </c>
      <c r="E3984" s="2">
        <v>250</v>
      </c>
    </row>
    <row r="3985" spans="1:5" x14ac:dyDescent="0.25">
      <c r="A3985" s="1">
        <v>43510</v>
      </c>
      <c r="B3985">
        <v>121214</v>
      </c>
      <c r="C3985" t="s">
        <v>3660</v>
      </c>
      <c r="D3985" t="s">
        <v>3490</v>
      </c>
      <c r="E3985" s="2">
        <v>1521.63</v>
      </c>
    </row>
    <row r="3986" spans="1:5" x14ac:dyDescent="0.25">
      <c r="A3986" s="1">
        <v>43510</v>
      </c>
      <c r="B3986">
        <v>121215</v>
      </c>
      <c r="C3986" t="s">
        <v>296</v>
      </c>
      <c r="D3986" t="s">
        <v>3661</v>
      </c>
      <c r="E3986" s="2">
        <v>145.94999999999999</v>
      </c>
    </row>
    <row r="3987" spans="1:5" x14ac:dyDescent="0.25">
      <c r="A3987" s="1">
        <v>43510</v>
      </c>
      <c r="B3987">
        <v>121216</v>
      </c>
      <c r="C3987" t="s">
        <v>50</v>
      </c>
      <c r="D3987" t="s">
        <v>2047</v>
      </c>
      <c r="E3987" s="2">
        <v>2792.5</v>
      </c>
    </row>
    <row r="3988" spans="1:5" x14ac:dyDescent="0.25">
      <c r="A3988" s="1">
        <v>43510</v>
      </c>
      <c r="B3988">
        <v>121217</v>
      </c>
      <c r="C3988" t="s">
        <v>298</v>
      </c>
      <c r="D3988" t="s">
        <v>3662</v>
      </c>
      <c r="E3988" s="2">
        <v>17135.05</v>
      </c>
    </row>
    <row r="3989" spans="1:5" x14ac:dyDescent="0.25">
      <c r="A3989" s="1">
        <v>43510</v>
      </c>
      <c r="B3989">
        <v>121218</v>
      </c>
      <c r="C3989" t="s">
        <v>3663</v>
      </c>
      <c r="D3989" t="s">
        <v>3664</v>
      </c>
      <c r="E3989" s="2">
        <v>5972</v>
      </c>
    </row>
    <row r="3990" spans="1:5" x14ac:dyDescent="0.25">
      <c r="A3990" s="1">
        <v>43510</v>
      </c>
      <c r="B3990">
        <v>121219</v>
      </c>
      <c r="C3990" t="s">
        <v>760</v>
      </c>
      <c r="D3990" t="s">
        <v>3665</v>
      </c>
      <c r="E3990" s="2">
        <v>63.83</v>
      </c>
    </row>
    <row r="3991" spans="1:5" x14ac:dyDescent="0.25">
      <c r="A3991" s="1">
        <v>43510</v>
      </c>
      <c r="B3991">
        <v>121220</v>
      </c>
      <c r="C3991" t="s">
        <v>2591</v>
      </c>
      <c r="D3991" t="s">
        <v>3666</v>
      </c>
      <c r="E3991" s="2">
        <v>1506</v>
      </c>
    </row>
    <row r="3992" spans="1:5" x14ac:dyDescent="0.25">
      <c r="A3992" s="1">
        <v>43510</v>
      </c>
      <c r="B3992">
        <v>121220</v>
      </c>
      <c r="C3992" t="s">
        <v>2591</v>
      </c>
      <c r="D3992" t="s">
        <v>3666</v>
      </c>
      <c r="E3992" s="2">
        <v>902.45</v>
      </c>
    </row>
    <row r="3993" spans="1:5" x14ac:dyDescent="0.25">
      <c r="A3993" s="1">
        <v>43510</v>
      </c>
      <c r="B3993">
        <v>121220</v>
      </c>
      <c r="C3993" t="s">
        <v>2591</v>
      </c>
      <c r="D3993" t="s">
        <v>3666</v>
      </c>
      <c r="E3993" s="2">
        <v>1339.13</v>
      </c>
    </row>
    <row r="3994" spans="1:5" x14ac:dyDescent="0.25">
      <c r="A3994" s="1">
        <v>43510</v>
      </c>
      <c r="B3994">
        <v>121221</v>
      </c>
      <c r="C3994" t="s">
        <v>158</v>
      </c>
      <c r="D3994" t="s">
        <v>3667</v>
      </c>
      <c r="E3994" s="2">
        <v>35.58</v>
      </c>
    </row>
    <row r="3995" spans="1:5" x14ac:dyDescent="0.25">
      <c r="A3995" s="1">
        <v>43510</v>
      </c>
      <c r="B3995">
        <v>121221</v>
      </c>
      <c r="C3995" t="s">
        <v>158</v>
      </c>
      <c r="D3995" t="s">
        <v>3668</v>
      </c>
      <c r="E3995" s="2">
        <v>137.94</v>
      </c>
    </row>
    <row r="3996" spans="1:5" x14ac:dyDescent="0.25">
      <c r="A3996" s="1">
        <v>43510</v>
      </c>
      <c r="B3996">
        <v>121222</v>
      </c>
      <c r="C3996" t="s">
        <v>3669</v>
      </c>
      <c r="D3996" t="s">
        <v>3670</v>
      </c>
      <c r="E3996" s="2">
        <v>20520</v>
      </c>
    </row>
    <row r="3997" spans="1:5" x14ac:dyDescent="0.25">
      <c r="A3997" s="1">
        <v>43510</v>
      </c>
      <c r="B3997">
        <v>121222</v>
      </c>
      <c r="C3997" t="s">
        <v>3669</v>
      </c>
      <c r="D3997" t="s">
        <v>3670</v>
      </c>
      <c r="E3997" s="2">
        <v>22565</v>
      </c>
    </row>
    <row r="3998" spans="1:5" x14ac:dyDescent="0.25">
      <c r="A3998" s="1">
        <v>43510</v>
      </c>
      <c r="B3998">
        <v>121223</v>
      </c>
      <c r="C3998" t="s">
        <v>1711</v>
      </c>
      <c r="D3998" t="s">
        <v>3671</v>
      </c>
      <c r="E3998" s="2">
        <v>205</v>
      </c>
    </row>
    <row r="3999" spans="1:5" x14ac:dyDescent="0.25">
      <c r="A3999" s="1">
        <v>43510</v>
      </c>
      <c r="B3999">
        <v>121223</v>
      </c>
      <c r="C3999" t="s">
        <v>1711</v>
      </c>
      <c r="D3999" t="s">
        <v>3672</v>
      </c>
      <c r="E3999" s="2">
        <v>41</v>
      </c>
    </row>
    <row r="4000" spans="1:5" x14ac:dyDescent="0.25">
      <c r="A4000" s="1">
        <v>43510</v>
      </c>
      <c r="B4000">
        <v>121225</v>
      </c>
      <c r="C4000" t="s">
        <v>161</v>
      </c>
      <c r="D4000" t="s">
        <v>3225</v>
      </c>
      <c r="E4000" s="2">
        <f>3345-1338+5352+669</f>
        <v>8028</v>
      </c>
    </row>
    <row r="4001" spans="1:5" x14ac:dyDescent="0.25">
      <c r="A4001" s="1">
        <v>43510</v>
      </c>
      <c r="B4001">
        <v>121226</v>
      </c>
      <c r="C4001" t="s">
        <v>3574</v>
      </c>
      <c r="D4001" t="s">
        <v>3673</v>
      </c>
      <c r="E4001" s="2">
        <v>7200</v>
      </c>
    </row>
    <row r="4002" spans="1:5" x14ac:dyDescent="0.25">
      <c r="A4002" s="1">
        <v>43510</v>
      </c>
      <c r="B4002">
        <v>121227</v>
      </c>
      <c r="C4002" t="s">
        <v>1516</v>
      </c>
      <c r="D4002" t="s">
        <v>3674</v>
      </c>
      <c r="E4002" s="2">
        <v>144</v>
      </c>
    </row>
    <row r="4003" spans="1:5" x14ac:dyDescent="0.25">
      <c r="A4003" s="1">
        <v>43510</v>
      </c>
      <c r="B4003">
        <v>121228</v>
      </c>
      <c r="C4003" t="s">
        <v>314</v>
      </c>
      <c r="D4003" t="s">
        <v>315</v>
      </c>
      <c r="E4003" s="2">
        <v>252</v>
      </c>
    </row>
    <row r="4004" spans="1:5" x14ac:dyDescent="0.25">
      <c r="A4004" s="1">
        <v>43510</v>
      </c>
      <c r="B4004">
        <v>121229</v>
      </c>
      <c r="C4004" t="s">
        <v>318</v>
      </c>
      <c r="D4004" t="s">
        <v>3675</v>
      </c>
      <c r="E4004" s="2">
        <v>111.37</v>
      </c>
    </row>
    <row r="4005" spans="1:5" x14ac:dyDescent="0.25">
      <c r="A4005" s="1">
        <v>43510</v>
      </c>
      <c r="B4005">
        <v>121229</v>
      </c>
      <c r="C4005" t="s">
        <v>318</v>
      </c>
      <c r="D4005" t="s">
        <v>3676</v>
      </c>
      <c r="E4005" s="2">
        <v>15041.54</v>
      </c>
    </row>
    <row r="4006" spans="1:5" x14ac:dyDescent="0.25">
      <c r="A4006" s="1">
        <v>43510</v>
      </c>
      <c r="B4006">
        <v>121229</v>
      </c>
      <c r="C4006" t="s">
        <v>318</v>
      </c>
      <c r="D4006" t="s">
        <v>3677</v>
      </c>
      <c r="E4006" s="2">
        <v>107328.77</v>
      </c>
    </row>
    <row r="4007" spans="1:5" x14ac:dyDescent="0.25">
      <c r="A4007" s="1">
        <v>43510</v>
      </c>
      <c r="B4007">
        <v>121230</v>
      </c>
      <c r="C4007" t="s">
        <v>3678</v>
      </c>
      <c r="D4007" t="s">
        <v>3679</v>
      </c>
      <c r="E4007" s="2">
        <v>2180</v>
      </c>
    </row>
    <row r="4008" spans="1:5" x14ac:dyDescent="0.25">
      <c r="A4008" s="1">
        <v>43510</v>
      </c>
      <c r="B4008">
        <v>121231</v>
      </c>
      <c r="C4008" t="s">
        <v>57</v>
      </c>
      <c r="D4008" t="s">
        <v>4236</v>
      </c>
      <c r="E4008" s="2">
        <v>39573.03</v>
      </c>
    </row>
    <row r="4009" spans="1:5" x14ac:dyDescent="0.25">
      <c r="A4009" s="1">
        <v>43510</v>
      </c>
      <c r="B4009">
        <v>121232</v>
      </c>
      <c r="C4009" t="s">
        <v>3680</v>
      </c>
      <c r="D4009" t="s">
        <v>3681</v>
      </c>
      <c r="E4009" s="2">
        <v>110</v>
      </c>
    </row>
    <row r="4010" spans="1:5" x14ac:dyDescent="0.25">
      <c r="A4010" s="1">
        <v>43510</v>
      </c>
      <c r="B4010">
        <v>121233</v>
      </c>
      <c r="C4010" t="s">
        <v>162</v>
      </c>
      <c r="D4010" t="s">
        <v>3682</v>
      </c>
      <c r="E4010" s="2">
        <v>129</v>
      </c>
    </row>
    <row r="4011" spans="1:5" x14ac:dyDescent="0.25">
      <c r="A4011" s="1">
        <v>43510</v>
      </c>
      <c r="B4011">
        <v>121234</v>
      </c>
      <c r="C4011" t="s">
        <v>3683</v>
      </c>
      <c r="D4011" t="s">
        <v>4237</v>
      </c>
      <c r="E4011" s="2">
        <v>570</v>
      </c>
    </row>
    <row r="4012" spans="1:5" x14ac:dyDescent="0.25">
      <c r="A4012" s="1">
        <v>43510</v>
      </c>
      <c r="B4012">
        <v>121235</v>
      </c>
      <c r="C4012" t="s">
        <v>1261</v>
      </c>
      <c r="D4012" t="s">
        <v>2444</v>
      </c>
      <c r="E4012" s="2">
        <f>554+334+41+249</f>
        <v>1178</v>
      </c>
    </row>
    <row r="4013" spans="1:5" x14ac:dyDescent="0.25">
      <c r="A4013" s="1">
        <v>43510</v>
      </c>
      <c r="B4013">
        <v>121236</v>
      </c>
      <c r="C4013" t="s">
        <v>324</v>
      </c>
      <c r="D4013" t="s">
        <v>4238</v>
      </c>
      <c r="E4013" s="2">
        <v>6573.31</v>
      </c>
    </row>
    <row r="4014" spans="1:5" x14ac:dyDescent="0.25">
      <c r="A4014" s="1">
        <v>43510</v>
      </c>
      <c r="B4014">
        <v>121237</v>
      </c>
      <c r="C4014" t="s">
        <v>2074</v>
      </c>
      <c r="D4014" t="s">
        <v>3684</v>
      </c>
      <c r="E4014" s="2">
        <v>69.95</v>
      </c>
    </row>
    <row r="4015" spans="1:5" x14ac:dyDescent="0.25">
      <c r="A4015" s="1">
        <v>43510</v>
      </c>
      <c r="B4015">
        <v>121238</v>
      </c>
      <c r="C4015" t="s">
        <v>3685</v>
      </c>
      <c r="D4015" t="s">
        <v>3601</v>
      </c>
      <c r="E4015" s="2">
        <v>19.75</v>
      </c>
    </row>
    <row r="4016" spans="1:5" x14ac:dyDescent="0.25">
      <c r="A4016" s="1">
        <v>43510</v>
      </c>
      <c r="B4016">
        <v>121239</v>
      </c>
      <c r="C4016" t="s">
        <v>181</v>
      </c>
      <c r="D4016" t="s">
        <v>182</v>
      </c>
      <c r="E4016" s="2">
        <v>1709.55</v>
      </c>
    </row>
    <row r="4017" spans="1:5" x14ac:dyDescent="0.25">
      <c r="A4017" s="1">
        <v>43510</v>
      </c>
      <c r="B4017">
        <v>121240</v>
      </c>
      <c r="C4017" t="s">
        <v>387</v>
      </c>
      <c r="D4017" t="s">
        <v>899</v>
      </c>
      <c r="E4017" s="2">
        <v>189.75</v>
      </c>
    </row>
    <row r="4018" spans="1:5" x14ac:dyDescent="0.25">
      <c r="A4018" s="1">
        <v>43510</v>
      </c>
      <c r="B4018">
        <v>121241</v>
      </c>
      <c r="C4018" t="s">
        <v>327</v>
      </c>
      <c r="D4018" t="s">
        <v>328</v>
      </c>
      <c r="E4018" s="2">
        <v>288.17</v>
      </c>
    </row>
    <row r="4019" spans="1:5" x14ac:dyDescent="0.25">
      <c r="A4019" s="1">
        <v>43510</v>
      </c>
      <c r="B4019">
        <v>121241</v>
      </c>
      <c r="C4019" t="s">
        <v>327</v>
      </c>
      <c r="D4019" t="s">
        <v>328</v>
      </c>
      <c r="E4019" s="2">
        <f>1592+385</f>
        <v>1977</v>
      </c>
    </row>
    <row r="4020" spans="1:5" x14ac:dyDescent="0.25">
      <c r="A4020" s="1">
        <v>43510</v>
      </c>
      <c r="B4020">
        <v>121243</v>
      </c>
      <c r="C4020" t="s">
        <v>388</v>
      </c>
      <c r="D4020" t="s">
        <v>3686</v>
      </c>
      <c r="E4020" s="2">
        <f>1785.84+1145.45+1777.14+568.75+4542.36</f>
        <v>9819.5400000000009</v>
      </c>
    </row>
    <row r="4021" spans="1:5" x14ac:dyDescent="0.25">
      <c r="A4021" s="1">
        <v>43510</v>
      </c>
      <c r="B4021">
        <v>121244</v>
      </c>
      <c r="C4021" t="s">
        <v>329</v>
      </c>
      <c r="D4021" t="s">
        <v>3659</v>
      </c>
      <c r="E4021" s="2">
        <v>275</v>
      </c>
    </row>
    <row r="4022" spans="1:5" x14ac:dyDescent="0.25">
      <c r="A4022" s="1">
        <v>43510</v>
      </c>
      <c r="B4022">
        <v>121245</v>
      </c>
      <c r="C4022" t="s">
        <v>901</v>
      </c>
      <c r="D4022" t="s">
        <v>2743</v>
      </c>
      <c r="E4022" s="2">
        <v>500</v>
      </c>
    </row>
    <row r="4023" spans="1:5" x14ac:dyDescent="0.25">
      <c r="A4023" s="1">
        <v>43510</v>
      </c>
      <c r="B4023">
        <v>121246</v>
      </c>
      <c r="C4023" t="s">
        <v>780</v>
      </c>
      <c r="D4023" t="s">
        <v>3687</v>
      </c>
      <c r="E4023" s="2">
        <v>1265</v>
      </c>
    </row>
    <row r="4024" spans="1:5" x14ac:dyDescent="0.25">
      <c r="A4024" s="1">
        <v>43510</v>
      </c>
      <c r="B4024">
        <v>121247</v>
      </c>
      <c r="C4024" t="s">
        <v>61</v>
      </c>
      <c r="D4024" t="s">
        <v>3688</v>
      </c>
      <c r="E4024" s="2">
        <v>2000</v>
      </c>
    </row>
    <row r="4025" spans="1:5" x14ac:dyDescent="0.25">
      <c r="A4025" s="1">
        <v>43510</v>
      </c>
      <c r="B4025">
        <v>121248</v>
      </c>
      <c r="C4025" t="s">
        <v>1281</v>
      </c>
      <c r="D4025" t="s">
        <v>3689</v>
      </c>
      <c r="E4025" s="2">
        <v>611.04999999999995</v>
      </c>
    </row>
    <row r="4026" spans="1:5" x14ac:dyDescent="0.25">
      <c r="A4026" s="1">
        <v>43510</v>
      </c>
      <c r="B4026">
        <v>121249</v>
      </c>
      <c r="C4026" t="s">
        <v>19</v>
      </c>
      <c r="D4026" t="s">
        <v>3690</v>
      </c>
      <c r="E4026" s="2">
        <v>1048</v>
      </c>
    </row>
    <row r="4027" spans="1:5" x14ac:dyDescent="0.25">
      <c r="A4027" s="1">
        <v>43514</v>
      </c>
      <c r="B4027">
        <v>121250</v>
      </c>
      <c r="C4027" t="s">
        <v>3691</v>
      </c>
      <c r="D4027" t="s">
        <v>3692</v>
      </c>
      <c r="E4027" s="2">
        <v>507</v>
      </c>
    </row>
    <row r="4028" spans="1:5" x14ac:dyDescent="0.25">
      <c r="A4028" s="1">
        <v>43514</v>
      </c>
      <c r="B4028">
        <v>121251</v>
      </c>
      <c r="C4028" t="s">
        <v>1200</v>
      </c>
      <c r="D4028" t="s">
        <v>3693</v>
      </c>
      <c r="E4028" s="2">
        <v>136.80000000000001</v>
      </c>
    </row>
    <row r="4029" spans="1:5" x14ac:dyDescent="0.25">
      <c r="A4029" s="1">
        <v>43514</v>
      </c>
      <c r="B4029">
        <v>121252</v>
      </c>
      <c r="C4029" t="s">
        <v>2278</v>
      </c>
      <c r="D4029" t="s">
        <v>3694</v>
      </c>
      <c r="E4029" s="2">
        <v>106.91</v>
      </c>
    </row>
    <row r="4030" spans="1:5" x14ac:dyDescent="0.25">
      <c r="A4030" s="1">
        <v>43516</v>
      </c>
      <c r="B4030">
        <v>121253</v>
      </c>
      <c r="C4030" t="s">
        <v>988</v>
      </c>
      <c r="D4030" t="s">
        <v>3695</v>
      </c>
      <c r="E4030" s="2">
        <v>198</v>
      </c>
    </row>
    <row r="4031" spans="1:5" x14ac:dyDescent="0.25">
      <c r="A4031" s="1">
        <v>43516</v>
      </c>
      <c r="B4031">
        <v>121254</v>
      </c>
      <c r="C4031" t="s">
        <v>226</v>
      </c>
      <c r="D4031" t="s">
        <v>3696</v>
      </c>
      <c r="E4031" s="2">
        <v>93</v>
      </c>
    </row>
    <row r="4032" spans="1:5" x14ac:dyDescent="0.25">
      <c r="A4032" s="1">
        <v>43516</v>
      </c>
      <c r="B4032">
        <v>121254</v>
      </c>
      <c r="C4032" t="s">
        <v>226</v>
      </c>
      <c r="D4032" t="s">
        <v>3697</v>
      </c>
      <c r="E4032" s="2">
        <v>47.84</v>
      </c>
    </row>
    <row r="4033" spans="1:5" x14ac:dyDescent="0.25">
      <c r="A4033" s="1">
        <v>43516</v>
      </c>
      <c r="B4033">
        <v>121256</v>
      </c>
      <c r="C4033" t="s">
        <v>66</v>
      </c>
      <c r="D4033" t="s">
        <v>3698</v>
      </c>
      <c r="E4033" s="2">
        <v>1099</v>
      </c>
    </row>
    <row r="4034" spans="1:5" x14ac:dyDescent="0.25">
      <c r="A4034" s="1">
        <v>43516</v>
      </c>
      <c r="B4034">
        <v>121256</v>
      </c>
      <c r="C4034" t="s">
        <v>66</v>
      </c>
      <c r="D4034" t="s">
        <v>3698</v>
      </c>
      <c r="E4034" s="2">
        <v>179</v>
      </c>
    </row>
    <row r="4035" spans="1:5" x14ac:dyDescent="0.25">
      <c r="A4035" s="1">
        <v>43516</v>
      </c>
      <c r="B4035">
        <v>121256</v>
      </c>
      <c r="C4035" t="s">
        <v>66</v>
      </c>
      <c r="D4035" t="s">
        <v>3698</v>
      </c>
      <c r="E4035" s="2">
        <v>99</v>
      </c>
    </row>
    <row r="4036" spans="1:5" x14ac:dyDescent="0.25">
      <c r="A4036" s="1">
        <v>43516</v>
      </c>
      <c r="B4036">
        <v>121256</v>
      </c>
      <c r="C4036" t="s">
        <v>66</v>
      </c>
      <c r="D4036" t="s">
        <v>3698</v>
      </c>
      <c r="E4036" s="2">
        <v>116</v>
      </c>
    </row>
    <row r="4037" spans="1:5" x14ac:dyDescent="0.25">
      <c r="A4037" s="1">
        <v>43516</v>
      </c>
      <c r="B4037">
        <v>121257</v>
      </c>
      <c r="C4037" t="s">
        <v>343</v>
      </c>
      <c r="D4037" t="s">
        <v>3699</v>
      </c>
      <c r="E4037" s="2">
        <v>149.94999999999999</v>
      </c>
    </row>
    <row r="4038" spans="1:5" x14ac:dyDescent="0.25">
      <c r="A4038" s="1">
        <v>43516</v>
      </c>
      <c r="B4038">
        <v>121258</v>
      </c>
      <c r="C4038" t="s">
        <v>662</v>
      </c>
      <c r="D4038" t="s">
        <v>3700</v>
      </c>
      <c r="E4038" s="2">
        <v>489</v>
      </c>
    </row>
    <row r="4039" spans="1:5" x14ac:dyDescent="0.25">
      <c r="A4039" s="1">
        <v>43516</v>
      </c>
      <c r="B4039">
        <v>121259</v>
      </c>
      <c r="C4039" t="s">
        <v>243</v>
      </c>
      <c r="D4039" t="s">
        <v>3701</v>
      </c>
      <c r="E4039" s="2">
        <v>200</v>
      </c>
    </row>
    <row r="4040" spans="1:5" x14ac:dyDescent="0.25">
      <c r="A4040" s="1">
        <v>43516</v>
      </c>
      <c r="B4040">
        <v>121260</v>
      </c>
      <c r="C4040" t="s">
        <v>7</v>
      </c>
      <c r="D4040" t="s">
        <v>3702</v>
      </c>
      <c r="E4040" s="2">
        <v>78</v>
      </c>
    </row>
    <row r="4041" spans="1:5" x14ac:dyDescent="0.25">
      <c r="A4041" s="1">
        <v>43516</v>
      </c>
      <c r="B4041">
        <v>121260</v>
      </c>
      <c r="C4041" t="s">
        <v>7</v>
      </c>
      <c r="D4041" t="s">
        <v>3703</v>
      </c>
      <c r="E4041" s="2">
        <v>282</v>
      </c>
    </row>
    <row r="4042" spans="1:5" x14ac:dyDescent="0.25">
      <c r="A4042" s="1">
        <v>43516</v>
      </c>
      <c r="B4042">
        <v>121261</v>
      </c>
      <c r="C4042" t="s">
        <v>247</v>
      </c>
      <c r="D4042" t="s">
        <v>424</v>
      </c>
      <c r="E4042" s="2">
        <v>1480.33</v>
      </c>
    </row>
    <row r="4043" spans="1:5" x14ac:dyDescent="0.25">
      <c r="A4043" s="1">
        <v>43516</v>
      </c>
      <c r="B4043">
        <v>121261</v>
      </c>
      <c r="C4043" t="s">
        <v>247</v>
      </c>
      <c r="D4043" t="s">
        <v>424</v>
      </c>
      <c r="E4043" s="2">
        <v>84.7</v>
      </c>
    </row>
    <row r="4044" spans="1:5" x14ac:dyDescent="0.25">
      <c r="A4044" s="1">
        <v>43516</v>
      </c>
      <c r="B4044">
        <v>121262</v>
      </c>
      <c r="C4044" t="s">
        <v>3704</v>
      </c>
      <c r="D4044" t="s">
        <v>4239</v>
      </c>
      <c r="E4044" s="2">
        <v>2.5299999999999998</v>
      </c>
    </row>
    <row r="4045" spans="1:5" x14ac:dyDescent="0.25">
      <c r="A4045" s="1">
        <v>43516</v>
      </c>
      <c r="B4045">
        <v>121263</v>
      </c>
      <c r="C4045" t="s">
        <v>68</v>
      </c>
      <c r="D4045" t="s">
        <v>3705</v>
      </c>
      <c r="E4045" s="2">
        <v>177.63</v>
      </c>
    </row>
    <row r="4046" spans="1:5" x14ac:dyDescent="0.25">
      <c r="A4046" s="1">
        <v>43516</v>
      </c>
      <c r="B4046">
        <v>121263</v>
      </c>
      <c r="C4046" t="s">
        <v>68</v>
      </c>
      <c r="D4046" t="s">
        <v>3706</v>
      </c>
      <c r="E4046" s="2">
        <v>134.88</v>
      </c>
    </row>
    <row r="4047" spans="1:5" x14ac:dyDescent="0.25">
      <c r="A4047" s="1">
        <v>43516</v>
      </c>
      <c r="B4047">
        <v>121263</v>
      </c>
      <c r="C4047" t="s">
        <v>68</v>
      </c>
      <c r="D4047" t="s">
        <v>3346</v>
      </c>
      <c r="E4047" s="2">
        <v>174.79</v>
      </c>
    </row>
    <row r="4048" spans="1:5" x14ac:dyDescent="0.25">
      <c r="A4048" s="1">
        <v>43516</v>
      </c>
      <c r="B4048">
        <v>121264</v>
      </c>
      <c r="C4048" t="s">
        <v>1177</v>
      </c>
      <c r="D4048" t="s">
        <v>3707</v>
      </c>
      <c r="E4048" s="2">
        <v>105</v>
      </c>
    </row>
    <row r="4049" spans="1:5" x14ac:dyDescent="0.25">
      <c r="A4049" s="1">
        <v>43516</v>
      </c>
      <c r="B4049">
        <v>121264</v>
      </c>
      <c r="C4049" t="s">
        <v>1177</v>
      </c>
      <c r="D4049" t="s">
        <v>3708</v>
      </c>
      <c r="E4049" s="2">
        <v>105</v>
      </c>
    </row>
    <row r="4050" spans="1:5" x14ac:dyDescent="0.25">
      <c r="A4050" s="1">
        <v>43516</v>
      </c>
      <c r="B4050">
        <v>121265</v>
      </c>
      <c r="C4050" t="s">
        <v>114</v>
      </c>
      <c r="D4050" t="s">
        <v>3709</v>
      </c>
      <c r="E4050" s="2">
        <v>25</v>
      </c>
    </row>
    <row r="4051" spans="1:5" x14ac:dyDescent="0.25">
      <c r="A4051" s="1">
        <v>43516</v>
      </c>
      <c r="B4051">
        <v>121266</v>
      </c>
      <c r="C4051" t="s">
        <v>361</v>
      </c>
      <c r="D4051" t="s">
        <v>3710</v>
      </c>
      <c r="E4051" s="2">
        <v>5993.4</v>
      </c>
    </row>
    <row r="4052" spans="1:5" x14ac:dyDescent="0.25">
      <c r="A4052" s="1">
        <v>43516</v>
      </c>
      <c r="B4052">
        <v>121266</v>
      </c>
      <c r="C4052" t="s">
        <v>361</v>
      </c>
      <c r="D4052" t="s">
        <v>3122</v>
      </c>
      <c r="E4052" s="2">
        <v>184.05</v>
      </c>
    </row>
    <row r="4053" spans="1:5" x14ac:dyDescent="0.25">
      <c r="A4053" s="1">
        <v>43516</v>
      </c>
      <c r="B4053">
        <v>121267</v>
      </c>
      <c r="C4053" t="s">
        <v>3711</v>
      </c>
      <c r="D4053" t="s">
        <v>3712</v>
      </c>
      <c r="E4053" s="2">
        <v>2774.25</v>
      </c>
    </row>
    <row r="4054" spans="1:5" x14ac:dyDescent="0.25">
      <c r="A4054" s="1">
        <v>43516</v>
      </c>
      <c r="B4054">
        <v>121267</v>
      </c>
      <c r="C4054" t="s">
        <v>3711</v>
      </c>
      <c r="D4054" t="s">
        <v>3713</v>
      </c>
      <c r="E4054" s="2">
        <v>2624.25</v>
      </c>
    </row>
    <row r="4055" spans="1:5" x14ac:dyDescent="0.25">
      <c r="A4055" s="1">
        <v>43516</v>
      </c>
      <c r="B4055">
        <v>121281</v>
      </c>
      <c r="C4055" t="s">
        <v>123</v>
      </c>
      <c r="D4055" t="s">
        <v>3127</v>
      </c>
      <c r="E4055" s="2">
        <f>81.68+81.68+81.68+68.07+214.41+81.68+81.68+51.05+37.44+81.68+112.31+88.49+81.68</f>
        <v>1143.5300000000002</v>
      </c>
    </row>
    <row r="4056" spans="1:5" x14ac:dyDescent="0.25">
      <c r="A4056" s="1">
        <v>43516</v>
      </c>
      <c r="B4056">
        <v>121281</v>
      </c>
      <c r="C4056" t="s">
        <v>123</v>
      </c>
      <c r="D4056" t="s">
        <v>1882</v>
      </c>
      <c r="E4056" s="2">
        <f>81.68+81.68+81.68+81.68</f>
        <v>326.72000000000003</v>
      </c>
    </row>
    <row r="4057" spans="1:5" x14ac:dyDescent="0.25">
      <c r="A4057" s="1">
        <v>43516</v>
      </c>
      <c r="B4057">
        <v>121281</v>
      </c>
      <c r="C4057" t="s">
        <v>123</v>
      </c>
      <c r="D4057" t="s">
        <v>3714</v>
      </c>
      <c r="E4057" s="2">
        <f>81.68+81.68+81.68</f>
        <v>245.04000000000002</v>
      </c>
    </row>
    <row r="4058" spans="1:5" x14ac:dyDescent="0.25">
      <c r="A4058" s="1">
        <v>43516</v>
      </c>
      <c r="B4058">
        <v>121281</v>
      </c>
      <c r="C4058" t="s">
        <v>123</v>
      </c>
      <c r="D4058" t="s">
        <v>3714</v>
      </c>
      <c r="E4058" s="2">
        <v>81.680000000000007</v>
      </c>
    </row>
    <row r="4059" spans="1:5" x14ac:dyDescent="0.25">
      <c r="A4059" s="1">
        <v>43516</v>
      </c>
      <c r="B4059">
        <v>121281</v>
      </c>
      <c r="C4059" t="s">
        <v>123</v>
      </c>
      <c r="D4059" t="s">
        <v>3715</v>
      </c>
      <c r="E4059" s="2">
        <v>81.680000000000007</v>
      </c>
    </row>
    <row r="4060" spans="1:5" x14ac:dyDescent="0.25">
      <c r="A4060" s="1">
        <v>43516</v>
      </c>
      <c r="B4060">
        <v>121281</v>
      </c>
      <c r="C4060" t="s">
        <v>123</v>
      </c>
      <c r="D4060" t="s">
        <v>3715</v>
      </c>
      <c r="E4060" s="2">
        <v>81.680000000000007</v>
      </c>
    </row>
    <row r="4061" spans="1:5" x14ac:dyDescent="0.25">
      <c r="A4061" s="1">
        <v>43516</v>
      </c>
      <c r="B4061">
        <v>121281</v>
      </c>
      <c r="C4061" t="s">
        <v>123</v>
      </c>
      <c r="D4061" t="s">
        <v>3716</v>
      </c>
      <c r="E4061" s="2">
        <f>81.68+81.68</f>
        <v>163.36000000000001</v>
      </c>
    </row>
    <row r="4062" spans="1:5" x14ac:dyDescent="0.25">
      <c r="A4062" s="1">
        <v>43516</v>
      </c>
      <c r="B4062">
        <v>121281</v>
      </c>
      <c r="C4062" t="s">
        <v>123</v>
      </c>
      <c r="D4062" t="s">
        <v>3717</v>
      </c>
      <c r="E4062" s="2">
        <v>78.28</v>
      </c>
    </row>
    <row r="4063" spans="1:5" x14ac:dyDescent="0.25">
      <c r="A4063" s="1">
        <v>43516</v>
      </c>
      <c r="B4063">
        <v>121281</v>
      </c>
      <c r="C4063" t="s">
        <v>123</v>
      </c>
      <c r="D4063" t="s">
        <v>3137</v>
      </c>
      <c r="E4063" s="2">
        <v>81.680000000000007</v>
      </c>
    </row>
    <row r="4064" spans="1:5" x14ac:dyDescent="0.25">
      <c r="A4064" s="1">
        <v>43516</v>
      </c>
      <c r="B4064">
        <v>121281</v>
      </c>
      <c r="C4064" t="s">
        <v>123</v>
      </c>
      <c r="D4064" t="s">
        <v>3138</v>
      </c>
      <c r="E4064" s="2">
        <v>81.680000000000007</v>
      </c>
    </row>
    <row r="4065" spans="1:5" x14ac:dyDescent="0.25">
      <c r="A4065" s="1">
        <v>43516</v>
      </c>
      <c r="B4065">
        <v>121281</v>
      </c>
      <c r="C4065" t="s">
        <v>123</v>
      </c>
      <c r="D4065" t="s">
        <v>3138</v>
      </c>
      <c r="E4065" s="2">
        <v>81.680000000000007</v>
      </c>
    </row>
    <row r="4066" spans="1:5" x14ac:dyDescent="0.25">
      <c r="A4066" s="1">
        <v>43516</v>
      </c>
      <c r="B4066">
        <v>121281</v>
      </c>
      <c r="C4066" t="s">
        <v>123</v>
      </c>
      <c r="D4066" t="s">
        <v>3718</v>
      </c>
      <c r="E4066" s="2">
        <v>571.76</v>
      </c>
    </row>
    <row r="4067" spans="1:5" x14ac:dyDescent="0.25">
      <c r="A4067" s="1">
        <v>43516</v>
      </c>
      <c r="B4067">
        <v>121281</v>
      </c>
      <c r="C4067" t="s">
        <v>123</v>
      </c>
      <c r="D4067" t="s">
        <v>3719</v>
      </c>
      <c r="E4067" s="2">
        <v>61.26</v>
      </c>
    </row>
    <row r="4068" spans="1:5" x14ac:dyDescent="0.25">
      <c r="A4068" s="1">
        <v>43516</v>
      </c>
      <c r="B4068">
        <v>121281</v>
      </c>
      <c r="C4068" t="s">
        <v>123</v>
      </c>
      <c r="D4068" t="s">
        <v>3720</v>
      </c>
      <c r="E4068" s="2">
        <v>81.680000000000007</v>
      </c>
    </row>
    <row r="4069" spans="1:5" x14ac:dyDescent="0.25">
      <c r="A4069" s="1">
        <v>43516</v>
      </c>
      <c r="B4069">
        <v>121281</v>
      </c>
      <c r="C4069" t="s">
        <v>123</v>
      </c>
      <c r="D4069" t="s">
        <v>3137</v>
      </c>
      <c r="E4069" s="2">
        <v>81.680000000000007</v>
      </c>
    </row>
    <row r="4070" spans="1:5" x14ac:dyDescent="0.25">
      <c r="A4070" s="1">
        <v>43516</v>
      </c>
      <c r="B4070">
        <v>121281</v>
      </c>
      <c r="C4070" t="s">
        <v>123</v>
      </c>
      <c r="D4070" t="s">
        <v>3721</v>
      </c>
      <c r="E4070" s="2">
        <f>81.68+81.68+81.68+81.68</f>
        <v>326.72000000000003</v>
      </c>
    </row>
    <row r="4071" spans="1:5" x14ac:dyDescent="0.25">
      <c r="A4071" s="1">
        <v>43516</v>
      </c>
      <c r="B4071">
        <v>121281</v>
      </c>
      <c r="C4071" t="s">
        <v>123</v>
      </c>
      <c r="D4071" t="s">
        <v>3722</v>
      </c>
      <c r="E4071" s="2">
        <v>205.56</v>
      </c>
    </row>
    <row r="4072" spans="1:5" x14ac:dyDescent="0.25">
      <c r="A4072" s="1">
        <v>43516</v>
      </c>
      <c r="B4072">
        <v>121281</v>
      </c>
      <c r="C4072" t="s">
        <v>123</v>
      </c>
      <c r="D4072" t="s">
        <v>3723</v>
      </c>
      <c r="E4072" s="2">
        <v>91.89</v>
      </c>
    </row>
    <row r="4073" spans="1:5" x14ac:dyDescent="0.25">
      <c r="A4073" s="1">
        <v>43516</v>
      </c>
      <c r="B4073">
        <v>121281</v>
      </c>
      <c r="C4073" t="s">
        <v>123</v>
      </c>
      <c r="D4073" t="s">
        <v>3723</v>
      </c>
      <c r="E4073" s="2">
        <v>142.94</v>
      </c>
    </row>
    <row r="4074" spans="1:5" x14ac:dyDescent="0.25">
      <c r="A4074" s="1">
        <v>43516</v>
      </c>
      <c r="B4074">
        <v>121281</v>
      </c>
      <c r="C4074" t="s">
        <v>123</v>
      </c>
      <c r="D4074" t="s">
        <v>3724</v>
      </c>
      <c r="E4074" s="2">
        <v>367.56</v>
      </c>
    </row>
    <row r="4075" spans="1:5" x14ac:dyDescent="0.25">
      <c r="A4075" s="1">
        <v>43516</v>
      </c>
      <c r="B4075">
        <v>121281</v>
      </c>
      <c r="C4075" t="s">
        <v>123</v>
      </c>
      <c r="D4075" t="s">
        <v>3725</v>
      </c>
      <c r="E4075" s="2">
        <f>81.68+81.68</f>
        <v>163.36000000000001</v>
      </c>
    </row>
    <row r="4076" spans="1:5" x14ac:dyDescent="0.25">
      <c r="A4076" s="1">
        <v>43516</v>
      </c>
      <c r="B4076">
        <v>121281</v>
      </c>
      <c r="C4076" t="s">
        <v>123</v>
      </c>
      <c r="D4076" t="s">
        <v>3726</v>
      </c>
      <c r="E4076" s="2">
        <v>81.680000000000007</v>
      </c>
    </row>
    <row r="4077" spans="1:5" x14ac:dyDescent="0.25">
      <c r="A4077" s="1">
        <v>43516</v>
      </c>
      <c r="B4077">
        <v>121281</v>
      </c>
      <c r="C4077" t="s">
        <v>123</v>
      </c>
      <c r="D4077" t="s">
        <v>3725</v>
      </c>
      <c r="E4077" s="2">
        <v>81.680000000000007</v>
      </c>
    </row>
    <row r="4078" spans="1:5" x14ac:dyDescent="0.25">
      <c r="A4078" s="1">
        <v>43516</v>
      </c>
      <c r="B4078">
        <v>121281</v>
      </c>
      <c r="C4078" t="s">
        <v>123</v>
      </c>
      <c r="D4078" t="s">
        <v>3727</v>
      </c>
      <c r="E4078" s="2">
        <v>81.680000000000007</v>
      </c>
    </row>
    <row r="4079" spans="1:5" x14ac:dyDescent="0.25">
      <c r="A4079" s="1">
        <v>43516</v>
      </c>
      <c r="B4079">
        <v>121281</v>
      </c>
      <c r="C4079" t="s">
        <v>123</v>
      </c>
      <c r="D4079" t="s">
        <v>3728</v>
      </c>
      <c r="E4079" s="2">
        <f>71.47+81.68</f>
        <v>153.15</v>
      </c>
    </row>
    <row r="4080" spans="1:5" x14ac:dyDescent="0.25">
      <c r="A4080" s="1">
        <v>43516</v>
      </c>
      <c r="B4080">
        <v>121281</v>
      </c>
      <c r="C4080" t="s">
        <v>123</v>
      </c>
      <c r="D4080" t="s">
        <v>3728</v>
      </c>
      <c r="E4080" s="2">
        <f>81.68+81.68</f>
        <v>163.36000000000001</v>
      </c>
    </row>
    <row r="4081" spans="1:5" x14ac:dyDescent="0.25">
      <c r="A4081" s="1">
        <v>43516</v>
      </c>
      <c r="B4081">
        <v>121282</v>
      </c>
      <c r="C4081" t="s">
        <v>72</v>
      </c>
      <c r="D4081" t="s">
        <v>3729</v>
      </c>
      <c r="E4081" s="2">
        <v>284.7</v>
      </c>
    </row>
    <row r="4082" spans="1:5" x14ac:dyDescent="0.25">
      <c r="A4082" s="1">
        <v>43516</v>
      </c>
      <c r="B4082">
        <v>121283</v>
      </c>
      <c r="C4082" t="s">
        <v>3730</v>
      </c>
      <c r="D4082" t="s">
        <v>3731</v>
      </c>
      <c r="E4082" s="2">
        <v>490</v>
      </c>
    </row>
    <row r="4083" spans="1:5" x14ac:dyDescent="0.25">
      <c r="A4083" s="1">
        <v>43516</v>
      </c>
      <c r="B4083">
        <v>121284</v>
      </c>
      <c r="C4083" t="s">
        <v>694</v>
      </c>
      <c r="D4083" t="s">
        <v>3732</v>
      </c>
      <c r="E4083" s="2">
        <v>60</v>
      </c>
    </row>
    <row r="4084" spans="1:5" x14ac:dyDescent="0.25">
      <c r="A4084" s="1">
        <v>43516</v>
      </c>
      <c r="B4084">
        <v>121285</v>
      </c>
      <c r="C4084" t="s">
        <v>264</v>
      </c>
      <c r="D4084" t="s">
        <v>3733</v>
      </c>
      <c r="E4084" s="2">
        <v>132.66999999999999</v>
      </c>
    </row>
    <row r="4085" spans="1:5" x14ac:dyDescent="0.25">
      <c r="A4085" s="1">
        <v>43516</v>
      </c>
      <c r="B4085">
        <v>121286</v>
      </c>
      <c r="C4085" t="s">
        <v>365</v>
      </c>
      <c r="D4085" t="s">
        <v>3734</v>
      </c>
      <c r="E4085" s="2">
        <v>64.680000000000007</v>
      </c>
    </row>
    <row r="4086" spans="1:5" x14ac:dyDescent="0.25">
      <c r="A4086" s="1">
        <v>43516</v>
      </c>
      <c r="B4086">
        <v>121287</v>
      </c>
      <c r="C4086" t="s">
        <v>129</v>
      </c>
      <c r="D4086" t="s">
        <v>3735</v>
      </c>
      <c r="E4086" s="2">
        <v>400</v>
      </c>
    </row>
    <row r="4087" spans="1:5" x14ac:dyDescent="0.25">
      <c r="A4087" s="1">
        <v>43516</v>
      </c>
      <c r="B4087">
        <v>121288</v>
      </c>
      <c r="C4087" t="s">
        <v>10</v>
      </c>
      <c r="D4087" t="s">
        <v>3736</v>
      </c>
      <c r="E4087" s="2">
        <v>180</v>
      </c>
    </row>
    <row r="4088" spans="1:5" x14ac:dyDescent="0.25">
      <c r="A4088" s="1">
        <v>43516</v>
      </c>
      <c r="B4088">
        <v>121289</v>
      </c>
      <c r="C4088" t="s">
        <v>44</v>
      </c>
      <c r="D4088" t="s">
        <v>3737</v>
      </c>
      <c r="E4088" s="2">
        <v>297.39</v>
      </c>
    </row>
    <row r="4089" spans="1:5" x14ac:dyDescent="0.25">
      <c r="A4089" s="1">
        <v>43516</v>
      </c>
      <c r="B4089">
        <v>121290</v>
      </c>
      <c r="C4089" t="s">
        <v>274</v>
      </c>
      <c r="D4089" t="s">
        <v>3738</v>
      </c>
      <c r="E4089" s="2">
        <v>3045.8</v>
      </c>
    </row>
    <row r="4090" spans="1:5" x14ac:dyDescent="0.25">
      <c r="A4090" s="1">
        <v>43516</v>
      </c>
      <c r="B4090">
        <v>121291</v>
      </c>
      <c r="C4090" t="s">
        <v>616</v>
      </c>
      <c r="D4090" t="s">
        <v>3739</v>
      </c>
      <c r="E4090" s="2">
        <v>202.32</v>
      </c>
    </row>
    <row r="4091" spans="1:5" x14ac:dyDescent="0.25">
      <c r="A4091" s="1">
        <v>43516</v>
      </c>
      <c r="B4091">
        <v>121292</v>
      </c>
      <c r="C4091" t="s">
        <v>712</v>
      </c>
      <c r="D4091" t="s">
        <v>3740</v>
      </c>
      <c r="E4091" s="2">
        <v>351.88</v>
      </c>
    </row>
    <row r="4092" spans="1:5" x14ac:dyDescent="0.25">
      <c r="A4092" s="1">
        <v>43516</v>
      </c>
      <c r="B4092">
        <v>121293</v>
      </c>
      <c r="C4092" t="s">
        <v>2205</v>
      </c>
      <c r="D4092" t="s">
        <v>3741</v>
      </c>
      <c r="E4092" s="2">
        <v>76.94</v>
      </c>
    </row>
    <row r="4093" spans="1:5" x14ac:dyDescent="0.25">
      <c r="A4093" s="1">
        <v>43516</v>
      </c>
      <c r="B4093">
        <v>121294</v>
      </c>
      <c r="C4093" t="s">
        <v>47</v>
      </c>
      <c r="D4093" t="s">
        <v>3640</v>
      </c>
      <c r="E4093" s="2">
        <v>77.209999999999994</v>
      </c>
    </row>
    <row r="4094" spans="1:5" x14ac:dyDescent="0.25">
      <c r="A4094" s="1">
        <v>43516</v>
      </c>
      <c r="B4094">
        <v>121295</v>
      </c>
      <c r="C4094" t="s">
        <v>48</v>
      </c>
      <c r="D4094" t="s">
        <v>3742</v>
      </c>
      <c r="E4094" s="2">
        <v>6968.38</v>
      </c>
    </row>
    <row r="4095" spans="1:5" x14ac:dyDescent="0.25">
      <c r="A4095" s="1">
        <v>43516</v>
      </c>
      <c r="B4095">
        <v>121296</v>
      </c>
      <c r="C4095" t="s">
        <v>74</v>
      </c>
      <c r="D4095" t="s">
        <v>3743</v>
      </c>
      <c r="E4095" s="2">
        <v>538.20000000000005</v>
      </c>
    </row>
    <row r="4096" spans="1:5" x14ac:dyDescent="0.25">
      <c r="A4096" s="1">
        <v>43516</v>
      </c>
      <c r="B4096">
        <v>121296</v>
      </c>
      <c r="C4096" t="s">
        <v>74</v>
      </c>
      <c r="D4096" t="s">
        <v>3744</v>
      </c>
      <c r="E4096" s="2">
        <v>78.52</v>
      </c>
    </row>
    <row r="4097" spans="1:5" x14ac:dyDescent="0.25">
      <c r="A4097" s="1">
        <v>43516</v>
      </c>
      <c r="B4097">
        <v>121296</v>
      </c>
      <c r="C4097" t="s">
        <v>74</v>
      </c>
      <c r="D4097" t="s">
        <v>3745</v>
      </c>
      <c r="E4097" s="2">
        <v>92.31</v>
      </c>
    </row>
    <row r="4098" spans="1:5" x14ac:dyDescent="0.25">
      <c r="A4098" s="1">
        <v>43516</v>
      </c>
      <c r="B4098">
        <v>121296</v>
      </c>
      <c r="C4098" t="s">
        <v>74</v>
      </c>
      <c r="D4098" t="s">
        <v>3746</v>
      </c>
      <c r="E4098" s="2">
        <v>622.69000000000005</v>
      </c>
    </row>
    <row r="4099" spans="1:5" x14ac:dyDescent="0.25">
      <c r="A4099" s="1">
        <v>43516</v>
      </c>
      <c r="B4099">
        <v>121296</v>
      </c>
      <c r="C4099" t="s">
        <v>74</v>
      </c>
      <c r="D4099" t="s">
        <v>3747</v>
      </c>
      <c r="E4099" s="2">
        <v>84.39</v>
      </c>
    </row>
    <row r="4100" spans="1:5" x14ac:dyDescent="0.25">
      <c r="A4100" s="1">
        <v>43516</v>
      </c>
      <c r="B4100">
        <v>121297</v>
      </c>
      <c r="C4100" t="s">
        <v>146</v>
      </c>
      <c r="D4100" t="s">
        <v>3748</v>
      </c>
      <c r="E4100" s="2">
        <v>205.55</v>
      </c>
    </row>
    <row r="4101" spans="1:5" x14ac:dyDescent="0.25">
      <c r="A4101" s="1">
        <v>43516</v>
      </c>
      <c r="B4101">
        <v>121298</v>
      </c>
      <c r="C4101" t="s">
        <v>3749</v>
      </c>
      <c r="D4101" t="s">
        <v>1411</v>
      </c>
      <c r="E4101" s="2">
        <v>1200</v>
      </c>
    </row>
    <row r="4102" spans="1:5" x14ac:dyDescent="0.25">
      <c r="A4102" s="1">
        <v>43516</v>
      </c>
      <c r="B4102">
        <v>121299</v>
      </c>
      <c r="C4102" t="s">
        <v>3750</v>
      </c>
      <c r="D4102" t="s">
        <v>3751</v>
      </c>
      <c r="E4102" s="2">
        <v>1500</v>
      </c>
    </row>
    <row r="4103" spans="1:5" x14ac:dyDescent="0.25">
      <c r="A4103" s="1">
        <v>43516</v>
      </c>
      <c r="B4103">
        <v>121300</v>
      </c>
      <c r="C4103" t="s">
        <v>3660</v>
      </c>
      <c r="D4103" t="s">
        <v>3340</v>
      </c>
      <c r="E4103" s="2">
        <v>3211.6</v>
      </c>
    </row>
    <row r="4104" spans="1:5" x14ac:dyDescent="0.25">
      <c r="A4104" s="1">
        <v>43516</v>
      </c>
      <c r="B4104">
        <v>121301</v>
      </c>
      <c r="C4104" t="s">
        <v>50</v>
      </c>
      <c r="D4104" t="s">
        <v>2047</v>
      </c>
      <c r="E4104" s="2">
        <v>2792.5</v>
      </c>
    </row>
    <row r="4105" spans="1:5" x14ac:dyDescent="0.25">
      <c r="A4105" s="1">
        <v>43516</v>
      </c>
      <c r="B4105">
        <v>121302</v>
      </c>
      <c r="C4105" t="s">
        <v>2225</v>
      </c>
      <c r="D4105" t="s">
        <v>2763</v>
      </c>
      <c r="E4105" s="2">
        <v>679.8</v>
      </c>
    </row>
    <row r="4106" spans="1:5" x14ac:dyDescent="0.25">
      <c r="A4106" s="1">
        <v>43516</v>
      </c>
      <c r="B4106">
        <v>121303</v>
      </c>
      <c r="C4106" t="s">
        <v>51</v>
      </c>
      <c r="D4106" t="s">
        <v>52</v>
      </c>
      <c r="E4106" s="2">
        <v>30.93</v>
      </c>
    </row>
    <row r="4107" spans="1:5" x14ac:dyDescent="0.25">
      <c r="A4107" s="1">
        <v>43516</v>
      </c>
      <c r="B4107">
        <v>121303</v>
      </c>
      <c r="C4107" t="s">
        <v>51</v>
      </c>
      <c r="D4107" t="s">
        <v>3752</v>
      </c>
      <c r="E4107" s="2">
        <v>209.29</v>
      </c>
    </row>
    <row r="4108" spans="1:5" x14ac:dyDescent="0.25">
      <c r="A4108" s="1">
        <v>43516</v>
      </c>
      <c r="B4108">
        <v>121306</v>
      </c>
      <c r="C4108" t="s">
        <v>80</v>
      </c>
      <c r="D4108" t="s">
        <v>300</v>
      </c>
      <c r="E4108" s="2">
        <v>47.7</v>
      </c>
    </row>
    <row r="4109" spans="1:5" x14ac:dyDescent="0.25">
      <c r="A4109" s="1">
        <v>43516</v>
      </c>
      <c r="B4109">
        <v>121306</v>
      </c>
      <c r="C4109" t="s">
        <v>80</v>
      </c>
      <c r="D4109" t="s">
        <v>3753</v>
      </c>
      <c r="E4109" s="2">
        <v>47.2</v>
      </c>
    </row>
    <row r="4110" spans="1:5" x14ac:dyDescent="0.25">
      <c r="A4110" s="1">
        <v>43516</v>
      </c>
      <c r="B4110">
        <v>121306</v>
      </c>
      <c r="C4110" t="s">
        <v>80</v>
      </c>
      <c r="D4110" t="s">
        <v>3754</v>
      </c>
      <c r="E4110" s="2">
        <v>32.380000000000003</v>
      </c>
    </row>
    <row r="4111" spans="1:5" x14ac:dyDescent="0.25">
      <c r="A4111" s="1">
        <v>43516</v>
      </c>
      <c r="B4111">
        <v>121306</v>
      </c>
      <c r="C4111" t="s">
        <v>80</v>
      </c>
      <c r="D4111" t="s">
        <v>3754</v>
      </c>
      <c r="E4111" s="2">
        <v>5.98</v>
      </c>
    </row>
    <row r="4112" spans="1:5" x14ac:dyDescent="0.25">
      <c r="A4112" s="1">
        <v>43516</v>
      </c>
      <c r="B4112">
        <v>121306</v>
      </c>
      <c r="C4112" t="s">
        <v>80</v>
      </c>
      <c r="D4112" t="s">
        <v>3754</v>
      </c>
      <c r="E4112" s="2">
        <v>54.83</v>
      </c>
    </row>
    <row r="4113" spans="1:5" x14ac:dyDescent="0.25">
      <c r="A4113" s="1">
        <v>43516</v>
      </c>
      <c r="B4113">
        <v>121306</v>
      </c>
      <c r="C4113" t="s">
        <v>80</v>
      </c>
      <c r="D4113" t="s">
        <v>381</v>
      </c>
      <c r="E4113" s="2">
        <v>74.36</v>
      </c>
    </row>
    <row r="4114" spans="1:5" x14ac:dyDescent="0.25">
      <c r="A4114" s="1">
        <v>43516</v>
      </c>
      <c r="B4114">
        <v>121306</v>
      </c>
      <c r="C4114" t="s">
        <v>80</v>
      </c>
      <c r="D4114" t="s">
        <v>381</v>
      </c>
      <c r="E4114" s="2">
        <v>78.150000000000006</v>
      </c>
    </row>
    <row r="4115" spans="1:5" x14ac:dyDescent="0.25">
      <c r="A4115" s="1">
        <v>43516</v>
      </c>
      <c r="B4115">
        <v>121306</v>
      </c>
      <c r="C4115" t="s">
        <v>80</v>
      </c>
      <c r="D4115" t="s">
        <v>381</v>
      </c>
      <c r="E4115" s="2">
        <v>44.4</v>
      </c>
    </row>
    <row r="4116" spans="1:5" x14ac:dyDescent="0.25">
      <c r="A4116" s="1">
        <v>43516</v>
      </c>
      <c r="B4116">
        <v>121306</v>
      </c>
      <c r="C4116" t="s">
        <v>80</v>
      </c>
      <c r="D4116" t="s">
        <v>381</v>
      </c>
      <c r="E4116" s="2">
        <v>79.349999999999994</v>
      </c>
    </row>
    <row r="4117" spans="1:5" x14ac:dyDescent="0.25">
      <c r="A4117" s="1">
        <v>43516</v>
      </c>
      <c r="B4117">
        <v>121306</v>
      </c>
      <c r="C4117" t="s">
        <v>80</v>
      </c>
      <c r="D4117" t="s">
        <v>3755</v>
      </c>
      <c r="E4117" s="2">
        <v>48.39</v>
      </c>
    </row>
    <row r="4118" spans="1:5" x14ac:dyDescent="0.25">
      <c r="A4118" s="1">
        <v>43516</v>
      </c>
      <c r="B4118">
        <v>121306</v>
      </c>
      <c r="C4118" t="s">
        <v>80</v>
      </c>
      <c r="D4118" t="s">
        <v>3755</v>
      </c>
      <c r="E4118" s="2">
        <v>14.44</v>
      </c>
    </row>
    <row r="4119" spans="1:5" x14ac:dyDescent="0.25">
      <c r="A4119" s="1">
        <v>43516</v>
      </c>
      <c r="B4119">
        <v>121306</v>
      </c>
      <c r="C4119" t="s">
        <v>80</v>
      </c>
      <c r="D4119" t="s">
        <v>3755</v>
      </c>
      <c r="E4119" s="2">
        <v>53.63</v>
      </c>
    </row>
    <row r="4120" spans="1:5" x14ac:dyDescent="0.25">
      <c r="A4120" s="1">
        <v>43516</v>
      </c>
      <c r="B4120">
        <v>121306</v>
      </c>
      <c r="C4120" t="s">
        <v>80</v>
      </c>
      <c r="D4120" t="s">
        <v>3755</v>
      </c>
      <c r="E4120" s="2">
        <v>24.72</v>
      </c>
    </row>
    <row r="4121" spans="1:5" x14ac:dyDescent="0.25">
      <c r="A4121" s="1">
        <v>43516</v>
      </c>
      <c r="B4121">
        <v>121307</v>
      </c>
      <c r="C4121" t="s">
        <v>14</v>
      </c>
      <c r="D4121" t="s">
        <v>3756</v>
      </c>
      <c r="E4121" s="2">
        <v>298</v>
      </c>
    </row>
    <row r="4122" spans="1:5" x14ac:dyDescent="0.25">
      <c r="A4122" s="1">
        <v>43516</v>
      </c>
      <c r="B4122">
        <v>121307</v>
      </c>
      <c r="C4122" t="s">
        <v>14</v>
      </c>
      <c r="D4122" t="s">
        <v>3757</v>
      </c>
      <c r="E4122" s="2">
        <v>1552.2</v>
      </c>
    </row>
    <row r="4123" spans="1:5" x14ac:dyDescent="0.25">
      <c r="A4123" s="1">
        <v>43516</v>
      </c>
      <c r="B4123">
        <v>121307</v>
      </c>
      <c r="C4123" t="s">
        <v>14</v>
      </c>
      <c r="D4123" t="s">
        <v>3758</v>
      </c>
      <c r="E4123" s="2">
        <v>149</v>
      </c>
    </row>
    <row r="4124" spans="1:5" x14ac:dyDescent="0.25">
      <c r="A4124" s="1">
        <v>43516</v>
      </c>
      <c r="B4124">
        <v>121308</v>
      </c>
      <c r="C4124" t="s">
        <v>750</v>
      </c>
      <c r="D4124" t="s">
        <v>3759</v>
      </c>
      <c r="E4124" s="2">
        <v>450</v>
      </c>
    </row>
    <row r="4125" spans="1:5" x14ac:dyDescent="0.25">
      <c r="A4125" s="1">
        <v>43516</v>
      </c>
      <c r="B4125">
        <v>121308</v>
      </c>
      <c r="C4125" t="s">
        <v>750</v>
      </c>
      <c r="D4125" t="s">
        <v>3760</v>
      </c>
      <c r="E4125" s="2">
        <v>3990</v>
      </c>
    </row>
    <row r="4126" spans="1:5" x14ac:dyDescent="0.25">
      <c r="A4126" s="1">
        <v>43516</v>
      </c>
      <c r="B4126">
        <v>121313</v>
      </c>
      <c r="C4126" t="s">
        <v>1848</v>
      </c>
      <c r="D4126" t="s">
        <v>759</v>
      </c>
      <c r="E4126" s="2">
        <f>658.9+46+30+6+40+92+20+24+5+5+326.7+32.67</f>
        <v>1286.27</v>
      </c>
    </row>
    <row r="4127" spans="1:5" x14ac:dyDescent="0.25">
      <c r="A4127" s="1">
        <v>43516</v>
      </c>
      <c r="B4127">
        <v>121314</v>
      </c>
      <c r="C4127" t="s">
        <v>3761</v>
      </c>
      <c r="D4127" t="s">
        <v>3762</v>
      </c>
      <c r="E4127" s="2">
        <v>429.09</v>
      </c>
    </row>
    <row r="4128" spans="1:5" x14ac:dyDescent="0.25">
      <c r="A4128" s="1">
        <v>43516</v>
      </c>
      <c r="B4128">
        <v>121315</v>
      </c>
      <c r="C4128" t="s">
        <v>1516</v>
      </c>
      <c r="D4128" t="s">
        <v>3763</v>
      </c>
      <c r="E4128" s="2">
        <v>212</v>
      </c>
    </row>
    <row r="4129" spans="1:5" x14ac:dyDescent="0.25">
      <c r="A4129" s="1">
        <v>43516</v>
      </c>
      <c r="B4129">
        <v>121316</v>
      </c>
      <c r="C4129" t="s">
        <v>166</v>
      </c>
      <c r="D4129" t="s">
        <v>3225</v>
      </c>
      <c r="E4129" s="2">
        <v>560</v>
      </c>
    </row>
    <row r="4130" spans="1:5" x14ac:dyDescent="0.25">
      <c r="A4130" s="1">
        <v>43516</v>
      </c>
      <c r="B4130">
        <v>121316</v>
      </c>
      <c r="C4130" t="s">
        <v>166</v>
      </c>
      <c r="D4130" t="s">
        <v>4240</v>
      </c>
      <c r="E4130" s="2">
        <v>135</v>
      </c>
    </row>
    <row r="4131" spans="1:5" x14ac:dyDescent="0.25">
      <c r="A4131" s="1">
        <v>43516</v>
      </c>
      <c r="B4131">
        <v>121317</v>
      </c>
      <c r="C4131" t="s">
        <v>642</v>
      </c>
      <c r="D4131" t="s">
        <v>4241</v>
      </c>
      <c r="E4131" s="2">
        <v>187.5</v>
      </c>
    </row>
    <row r="4132" spans="1:5" x14ac:dyDescent="0.25">
      <c r="A4132" s="1">
        <v>43516</v>
      </c>
      <c r="B4132">
        <v>121318</v>
      </c>
      <c r="C4132" t="s">
        <v>179</v>
      </c>
      <c r="D4132" t="s">
        <v>3149</v>
      </c>
      <c r="E4132" s="2">
        <v>115.58</v>
      </c>
    </row>
    <row r="4133" spans="1:5" x14ac:dyDescent="0.25">
      <c r="A4133" s="1">
        <v>43516</v>
      </c>
      <c r="B4133">
        <v>121327</v>
      </c>
      <c r="C4133" t="s">
        <v>222</v>
      </c>
      <c r="D4133" t="s">
        <v>3765</v>
      </c>
      <c r="E4133" s="2">
        <v>40.700000000000003</v>
      </c>
    </row>
    <row r="4134" spans="1:5" x14ac:dyDescent="0.25">
      <c r="A4134" s="1">
        <v>43516</v>
      </c>
      <c r="B4134">
        <v>121327</v>
      </c>
      <c r="C4134" t="s">
        <v>222</v>
      </c>
      <c r="D4134" t="s">
        <v>3766</v>
      </c>
      <c r="E4134" s="2">
        <v>59.14</v>
      </c>
    </row>
    <row r="4135" spans="1:5" x14ac:dyDescent="0.25">
      <c r="A4135" s="1">
        <v>43516</v>
      </c>
      <c r="B4135">
        <v>121327</v>
      </c>
      <c r="C4135" t="s">
        <v>222</v>
      </c>
      <c r="D4135" t="s">
        <v>3767</v>
      </c>
      <c r="E4135" s="2">
        <v>141.35</v>
      </c>
    </row>
    <row r="4136" spans="1:5" x14ac:dyDescent="0.25">
      <c r="A4136" s="1">
        <v>43516</v>
      </c>
      <c r="B4136">
        <v>121327</v>
      </c>
      <c r="C4136" t="s">
        <v>222</v>
      </c>
      <c r="D4136" t="s">
        <v>3472</v>
      </c>
      <c r="E4136" s="2">
        <v>195.45</v>
      </c>
    </row>
    <row r="4137" spans="1:5" x14ac:dyDescent="0.25">
      <c r="A4137" s="1">
        <v>43516</v>
      </c>
      <c r="B4137">
        <v>121327</v>
      </c>
      <c r="C4137" t="s">
        <v>222</v>
      </c>
      <c r="D4137" t="s">
        <v>3316</v>
      </c>
      <c r="E4137" s="2">
        <v>267.44</v>
      </c>
    </row>
    <row r="4138" spans="1:5" x14ac:dyDescent="0.25">
      <c r="A4138" s="1">
        <v>43516</v>
      </c>
      <c r="B4138">
        <v>121327</v>
      </c>
      <c r="C4138" t="s">
        <v>222</v>
      </c>
      <c r="D4138" t="s">
        <v>1224</v>
      </c>
      <c r="E4138" s="2">
        <v>28.2</v>
      </c>
    </row>
    <row r="4139" spans="1:5" x14ac:dyDescent="0.25">
      <c r="A4139" s="1">
        <v>43516</v>
      </c>
      <c r="B4139">
        <v>121327</v>
      </c>
      <c r="C4139" t="s">
        <v>222</v>
      </c>
      <c r="D4139" t="s">
        <v>2024</v>
      </c>
      <c r="E4139" s="2">
        <v>109.48</v>
      </c>
    </row>
    <row r="4140" spans="1:5" x14ac:dyDescent="0.25">
      <c r="A4140" s="1">
        <v>43516</v>
      </c>
      <c r="B4140">
        <v>121327</v>
      </c>
      <c r="C4140" t="s">
        <v>222</v>
      </c>
      <c r="D4140" t="s">
        <v>3166</v>
      </c>
      <c r="E4140" s="2">
        <v>119.11</v>
      </c>
    </row>
    <row r="4141" spans="1:5" x14ac:dyDescent="0.25">
      <c r="A4141" s="1">
        <v>43516</v>
      </c>
      <c r="B4141">
        <v>121327</v>
      </c>
      <c r="C4141" t="s">
        <v>222</v>
      </c>
      <c r="D4141" t="s">
        <v>3768</v>
      </c>
      <c r="E4141" s="2">
        <v>182.44</v>
      </c>
    </row>
    <row r="4142" spans="1:5" x14ac:dyDescent="0.25">
      <c r="A4142" s="1">
        <v>43516</v>
      </c>
      <c r="B4142">
        <v>121327</v>
      </c>
      <c r="C4142" t="s">
        <v>222</v>
      </c>
      <c r="D4142" t="s">
        <v>3768</v>
      </c>
      <c r="E4142" s="2">
        <v>85.94</v>
      </c>
    </row>
    <row r="4143" spans="1:5" x14ac:dyDescent="0.25">
      <c r="A4143" s="1">
        <v>43516</v>
      </c>
      <c r="B4143">
        <v>121327</v>
      </c>
      <c r="C4143" t="s">
        <v>222</v>
      </c>
      <c r="D4143" t="s">
        <v>3769</v>
      </c>
      <c r="E4143" s="2">
        <v>236.78</v>
      </c>
    </row>
    <row r="4144" spans="1:5" x14ac:dyDescent="0.25">
      <c r="A4144" s="1">
        <v>43516</v>
      </c>
      <c r="B4144">
        <v>121327</v>
      </c>
      <c r="C4144" t="s">
        <v>222</v>
      </c>
      <c r="D4144" t="s">
        <v>3770</v>
      </c>
      <c r="E4144" s="2">
        <v>7.96</v>
      </c>
    </row>
    <row r="4145" spans="1:5" x14ac:dyDescent="0.25">
      <c r="A4145" s="1">
        <v>43516</v>
      </c>
      <c r="B4145">
        <v>121327</v>
      </c>
      <c r="C4145" t="s">
        <v>222</v>
      </c>
      <c r="D4145" t="s">
        <v>3771</v>
      </c>
      <c r="E4145" s="2">
        <v>35.770000000000003</v>
      </c>
    </row>
    <row r="4146" spans="1:5" x14ac:dyDescent="0.25">
      <c r="A4146" s="1">
        <v>43516</v>
      </c>
      <c r="B4146">
        <v>121327</v>
      </c>
      <c r="C4146" t="s">
        <v>222</v>
      </c>
      <c r="D4146" t="s">
        <v>3772</v>
      </c>
      <c r="E4146" s="2">
        <v>12.69</v>
      </c>
    </row>
    <row r="4147" spans="1:5" x14ac:dyDescent="0.25">
      <c r="A4147" s="1">
        <v>43516</v>
      </c>
      <c r="B4147">
        <v>121327</v>
      </c>
      <c r="C4147" t="s">
        <v>222</v>
      </c>
      <c r="D4147" t="s">
        <v>3765</v>
      </c>
      <c r="E4147" s="2">
        <v>118.46</v>
      </c>
    </row>
    <row r="4148" spans="1:5" x14ac:dyDescent="0.25">
      <c r="A4148" s="1">
        <v>43516</v>
      </c>
      <c r="B4148">
        <v>121327</v>
      </c>
      <c r="C4148" t="s">
        <v>222</v>
      </c>
      <c r="D4148" t="s">
        <v>3773</v>
      </c>
      <c r="E4148" s="2">
        <v>71.680000000000007</v>
      </c>
    </row>
    <row r="4149" spans="1:5" x14ac:dyDescent="0.25">
      <c r="A4149" s="1">
        <v>43516</v>
      </c>
      <c r="B4149">
        <v>121327</v>
      </c>
      <c r="C4149" t="s">
        <v>222</v>
      </c>
      <c r="D4149" t="s">
        <v>3773</v>
      </c>
      <c r="E4149" s="2">
        <v>47.76</v>
      </c>
    </row>
    <row r="4150" spans="1:5" x14ac:dyDescent="0.25">
      <c r="A4150" s="1">
        <v>43516</v>
      </c>
      <c r="B4150">
        <v>121327</v>
      </c>
      <c r="C4150" t="s">
        <v>222</v>
      </c>
      <c r="D4150" t="s">
        <v>3774</v>
      </c>
      <c r="E4150" s="2">
        <v>27.53</v>
      </c>
    </row>
    <row r="4151" spans="1:5" x14ac:dyDescent="0.25">
      <c r="A4151" s="1">
        <v>43516</v>
      </c>
      <c r="B4151">
        <v>121327</v>
      </c>
      <c r="C4151" t="s">
        <v>222</v>
      </c>
      <c r="D4151" t="s">
        <v>3765</v>
      </c>
      <c r="E4151" s="2">
        <v>231.36</v>
      </c>
    </row>
    <row r="4152" spans="1:5" x14ac:dyDescent="0.25">
      <c r="A4152" s="1">
        <v>43516</v>
      </c>
      <c r="B4152">
        <v>121327</v>
      </c>
      <c r="C4152" t="s">
        <v>222</v>
      </c>
      <c r="D4152" t="s">
        <v>3775</v>
      </c>
      <c r="E4152" s="2">
        <f>79.27+76.84+78.94+86.41</f>
        <v>321.46000000000004</v>
      </c>
    </row>
    <row r="4153" spans="1:5" x14ac:dyDescent="0.25">
      <c r="A4153" s="1">
        <v>43516</v>
      </c>
      <c r="B4153">
        <v>121327</v>
      </c>
      <c r="C4153" t="s">
        <v>222</v>
      </c>
      <c r="D4153" t="s">
        <v>2624</v>
      </c>
      <c r="E4153" s="2">
        <f>58.05+35.78+82.27+95.58+6.56</f>
        <v>278.24</v>
      </c>
    </row>
    <row r="4154" spans="1:5" x14ac:dyDescent="0.25">
      <c r="A4154" s="1">
        <v>43516</v>
      </c>
      <c r="B4154">
        <v>121327</v>
      </c>
      <c r="C4154" t="s">
        <v>222</v>
      </c>
      <c r="D4154" t="s">
        <v>3776</v>
      </c>
      <c r="E4154" s="2">
        <f>1357.11+81.19+81.19+81.19+81.19+81.19+81.19</f>
        <v>1844.2500000000002</v>
      </c>
    </row>
    <row r="4155" spans="1:5" x14ac:dyDescent="0.25">
      <c r="A4155" s="1">
        <v>43516</v>
      </c>
      <c r="B4155">
        <v>121327</v>
      </c>
      <c r="C4155" t="s">
        <v>222</v>
      </c>
      <c r="D4155" t="s">
        <v>2624</v>
      </c>
      <c r="E4155" s="2">
        <v>56.74</v>
      </c>
    </row>
    <row r="4156" spans="1:5" x14ac:dyDescent="0.25">
      <c r="A4156" s="1">
        <v>43516</v>
      </c>
      <c r="B4156">
        <v>121327</v>
      </c>
      <c r="C4156" t="s">
        <v>222</v>
      </c>
      <c r="D4156" t="s">
        <v>3777</v>
      </c>
      <c r="E4156" s="2">
        <v>101.72</v>
      </c>
    </row>
    <row r="4157" spans="1:5" x14ac:dyDescent="0.25">
      <c r="A4157" s="1">
        <v>43516</v>
      </c>
      <c r="B4157">
        <v>121327</v>
      </c>
      <c r="C4157" t="s">
        <v>222</v>
      </c>
      <c r="D4157" t="s">
        <v>3778</v>
      </c>
      <c r="E4157" s="2">
        <v>212.72</v>
      </c>
    </row>
    <row r="4158" spans="1:5" x14ac:dyDescent="0.25">
      <c r="A4158" s="1">
        <v>43516</v>
      </c>
      <c r="B4158">
        <v>121327</v>
      </c>
      <c r="C4158" t="s">
        <v>222</v>
      </c>
      <c r="D4158" t="s">
        <v>3778</v>
      </c>
      <c r="E4158" s="2">
        <v>28.76</v>
      </c>
    </row>
    <row r="4159" spans="1:5" x14ac:dyDescent="0.25">
      <c r="A4159" s="1">
        <v>43516</v>
      </c>
      <c r="B4159">
        <v>121327</v>
      </c>
      <c r="C4159" t="s">
        <v>222</v>
      </c>
      <c r="D4159" t="s">
        <v>3776</v>
      </c>
      <c r="E4159" s="2">
        <v>81.19</v>
      </c>
    </row>
    <row r="4160" spans="1:5" x14ac:dyDescent="0.25">
      <c r="A4160" s="1">
        <v>43516</v>
      </c>
      <c r="B4160">
        <v>121328</v>
      </c>
      <c r="C4160" t="s">
        <v>1868</v>
      </c>
      <c r="D4160" t="s">
        <v>2080</v>
      </c>
      <c r="E4160" s="2">
        <f>242.21+93.7+522.76+920.18</f>
        <v>1778.85</v>
      </c>
    </row>
    <row r="4161" spans="1:5" x14ac:dyDescent="0.25">
      <c r="A4161" s="1">
        <v>43516</v>
      </c>
      <c r="B4161">
        <v>121329</v>
      </c>
      <c r="C4161" t="s">
        <v>1290</v>
      </c>
      <c r="D4161" t="s">
        <v>3779</v>
      </c>
      <c r="E4161" s="2">
        <v>2120</v>
      </c>
    </row>
    <row r="4162" spans="1:5" x14ac:dyDescent="0.25">
      <c r="A4162" s="1">
        <v>43516</v>
      </c>
      <c r="B4162">
        <v>121330</v>
      </c>
      <c r="C4162" t="s">
        <v>3780</v>
      </c>
      <c r="D4162" t="s">
        <v>3781</v>
      </c>
      <c r="E4162" s="2">
        <v>1199.99</v>
      </c>
    </row>
    <row r="4163" spans="1:5" x14ac:dyDescent="0.25">
      <c r="A4163" s="1">
        <v>43517</v>
      </c>
      <c r="B4163">
        <v>121333</v>
      </c>
      <c r="C4163" t="s">
        <v>189</v>
      </c>
      <c r="D4163" t="s">
        <v>3782</v>
      </c>
      <c r="E4163" s="2">
        <v>132.19999999999999</v>
      </c>
    </row>
    <row r="4164" spans="1:5" x14ac:dyDescent="0.25">
      <c r="A4164" s="1">
        <v>43517</v>
      </c>
      <c r="B4164">
        <v>121333</v>
      </c>
      <c r="C4164" t="s">
        <v>189</v>
      </c>
      <c r="D4164" t="s">
        <v>3783</v>
      </c>
      <c r="E4164" s="2">
        <v>20.82</v>
      </c>
    </row>
    <row r="4165" spans="1:5" x14ac:dyDescent="0.25">
      <c r="A4165" s="1">
        <v>43517</v>
      </c>
      <c r="B4165">
        <v>121333</v>
      </c>
      <c r="C4165" t="s">
        <v>189</v>
      </c>
      <c r="D4165" t="s">
        <v>3784</v>
      </c>
      <c r="E4165" s="2">
        <v>33.83</v>
      </c>
    </row>
    <row r="4166" spans="1:5" x14ac:dyDescent="0.25">
      <c r="A4166" s="1">
        <v>43517</v>
      </c>
      <c r="B4166">
        <v>121333</v>
      </c>
      <c r="C4166" t="s">
        <v>189</v>
      </c>
      <c r="D4166" t="s">
        <v>3785</v>
      </c>
      <c r="E4166" s="2">
        <v>299.99</v>
      </c>
    </row>
    <row r="4167" spans="1:5" x14ac:dyDescent="0.25">
      <c r="A4167" s="1">
        <v>43517</v>
      </c>
      <c r="B4167">
        <v>121333</v>
      </c>
      <c r="C4167" t="s">
        <v>189</v>
      </c>
      <c r="D4167" t="s">
        <v>3786</v>
      </c>
      <c r="E4167" s="2">
        <v>89.48</v>
      </c>
    </row>
    <row r="4168" spans="1:5" x14ac:dyDescent="0.25">
      <c r="A4168" s="1">
        <v>43517</v>
      </c>
      <c r="B4168">
        <v>121333</v>
      </c>
      <c r="C4168" t="s">
        <v>189</v>
      </c>
      <c r="D4168" t="s">
        <v>1966</v>
      </c>
      <c r="E4168" s="2">
        <v>70.13</v>
      </c>
    </row>
    <row r="4169" spans="1:5" x14ac:dyDescent="0.25">
      <c r="A4169" s="1">
        <v>43517</v>
      </c>
      <c r="B4169">
        <v>121333</v>
      </c>
      <c r="C4169" t="s">
        <v>189</v>
      </c>
      <c r="D4169" t="s">
        <v>3787</v>
      </c>
      <c r="E4169" s="2">
        <v>490</v>
      </c>
    </row>
    <row r="4170" spans="1:5" x14ac:dyDescent="0.25">
      <c r="A4170" s="1">
        <v>43517</v>
      </c>
      <c r="B4170">
        <v>121333</v>
      </c>
      <c r="C4170" t="s">
        <v>189</v>
      </c>
      <c r="D4170" t="s">
        <v>2993</v>
      </c>
      <c r="E4170" s="2">
        <v>128.47999999999999</v>
      </c>
    </row>
    <row r="4171" spans="1:5" x14ac:dyDescent="0.25">
      <c r="A4171" s="1">
        <v>43517</v>
      </c>
      <c r="B4171">
        <v>121333</v>
      </c>
      <c r="C4171" t="s">
        <v>189</v>
      </c>
      <c r="D4171" t="s">
        <v>270</v>
      </c>
      <c r="E4171" s="2">
        <v>17.5</v>
      </c>
    </row>
    <row r="4172" spans="1:5" x14ac:dyDescent="0.25">
      <c r="A4172" s="1">
        <v>43517</v>
      </c>
      <c r="B4172">
        <v>121333</v>
      </c>
      <c r="C4172" t="s">
        <v>189</v>
      </c>
      <c r="D4172" t="s">
        <v>270</v>
      </c>
      <c r="E4172" s="2">
        <v>60.95</v>
      </c>
    </row>
    <row r="4173" spans="1:5" x14ac:dyDescent="0.25">
      <c r="A4173" s="1">
        <v>43517</v>
      </c>
      <c r="B4173">
        <v>121333</v>
      </c>
      <c r="C4173" t="s">
        <v>189</v>
      </c>
      <c r="D4173" t="s">
        <v>3788</v>
      </c>
      <c r="E4173" s="2">
        <v>38.380000000000003</v>
      </c>
    </row>
    <row r="4174" spans="1:5" x14ac:dyDescent="0.25">
      <c r="A4174" s="1">
        <v>43517</v>
      </c>
      <c r="B4174">
        <v>121333</v>
      </c>
      <c r="C4174" t="s">
        <v>189</v>
      </c>
      <c r="D4174" t="s">
        <v>3789</v>
      </c>
      <c r="E4174" s="2">
        <v>186.72</v>
      </c>
    </row>
    <row r="4175" spans="1:5" x14ac:dyDescent="0.25">
      <c r="A4175" s="1">
        <v>43517</v>
      </c>
      <c r="B4175">
        <v>121333</v>
      </c>
      <c r="C4175" t="s">
        <v>189</v>
      </c>
      <c r="D4175" t="s">
        <v>3790</v>
      </c>
      <c r="E4175" s="2">
        <v>27.74</v>
      </c>
    </row>
    <row r="4176" spans="1:5" x14ac:dyDescent="0.25">
      <c r="A4176" s="1">
        <v>43517</v>
      </c>
      <c r="B4176">
        <v>121334</v>
      </c>
      <c r="C4176" t="s">
        <v>2286</v>
      </c>
      <c r="D4176" t="s">
        <v>3791</v>
      </c>
      <c r="E4176" s="2">
        <v>20734</v>
      </c>
    </row>
    <row r="4177" spans="1:5" x14ac:dyDescent="0.25">
      <c r="A4177" s="1">
        <v>43517</v>
      </c>
      <c r="B4177">
        <v>121335</v>
      </c>
      <c r="C4177" t="s">
        <v>7</v>
      </c>
      <c r="D4177" t="s">
        <v>3792</v>
      </c>
      <c r="E4177" s="2">
        <v>168</v>
      </c>
    </row>
    <row r="4178" spans="1:5" x14ac:dyDescent="0.25">
      <c r="A4178" s="1">
        <v>43517</v>
      </c>
      <c r="B4178">
        <v>121335</v>
      </c>
      <c r="C4178" t="s">
        <v>7</v>
      </c>
      <c r="D4178" t="s">
        <v>3793</v>
      </c>
      <c r="E4178" s="2">
        <v>180</v>
      </c>
    </row>
    <row r="4179" spans="1:5" x14ac:dyDescent="0.25">
      <c r="A4179" s="1">
        <v>43517</v>
      </c>
      <c r="B4179">
        <v>121335</v>
      </c>
      <c r="C4179" t="s">
        <v>7</v>
      </c>
      <c r="D4179" t="s">
        <v>3794</v>
      </c>
      <c r="E4179" s="2">
        <v>130</v>
      </c>
    </row>
    <row r="4180" spans="1:5" x14ac:dyDescent="0.25">
      <c r="A4180" s="1">
        <v>43517</v>
      </c>
      <c r="B4180">
        <v>121336</v>
      </c>
      <c r="C4180" t="s">
        <v>3436</v>
      </c>
      <c r="D4180" t="s">
        <v>3795</v>
      </c>
      <c r="E4180" s="2">
        <v>180</v>
      </c>
    </row>
    <row r="4181" spans="1:5" x14ac:dyDescent="0.25">
      <c r="A4181" s="1">
        <v>43517</v>
      </c>
      <c r="B4181">
        <v>121337</v>
      </c>
      <c r="C4181" t="s">
        <v>3796</v>
      </c>
      <c r="D4181" t="s">
        <v>3797</v>
      </c>
      <c r="E4181" s="2">
        <v>2995</v>
      </c>
    </row>
    <row r="4182" spans="1:5" x14ac:dyDescent="0.25">
      <c r="A4182" s="1">
        <v>43517</v>
      </c>
      <c r="B4182">
        <v>121338</v>
      </c>
      <c r="C4182" t="s">
        <v>3232</v>
      </c>
      <c r="D4182" t="s">
        <v>3798</v>
      </c>
      <c r="E4182" s="2">
        <v>500</v>
      </c>
    </row>
    <row r="4183" spans="1:5" x14ac:dyDescent="0.25">
      <c r="A4183" s="1">
        <v>43517</v>
      </c>
      <c r="B4183">
        <v>121339</v>
      </c>
      <c r="C4183" t="s">
        <v>1452</v>
      </c>
      <c r="D4183" t="s">
        <v>3799</v>
      </c>
      <c r="E4183" s="2">
        <v>150.69</v>
      </c>
    </row>
    <row r="4184" spans="1:5" x14ac:dyDescent="0.25">
      <c r="A4184" s="1">
        <v>43517</v>
      </c>
      <c r="B4184">
        <v>121340</v>
      </c>
      <c r="C4184" t="s">
        <v>3800</v>
      </c>
      <c r="D4184" t="s">
        <v>3801</v>
      </c>
      <c r="E4184" s="2">
        <v>567</v>
      </c>
    </row>
    <row r="4185" spans="1:5" x14ac:dyDescent="0.25">
      <c r="A4185" s="1">
        <v>43517</v>
      </c>
      <c r="B4185">
        <v>121341</v>
      </c>
      <c r="C4185" t="s">
        <v>123</v>
      </c>
      <c r="D4185" t="s">
        <v>3802</v>
      </c>
      <c r="E4185" s="2">
        <v>81.680000000000007</v>
      </c>
    </row>
    <row r="4186" spans="1:5" x14ac:dyDescent="0.25">
      <c r="A4186" s="1">
        <v>43517</v>
      </c>
      <c r="B4186">
        <v>121341</v>
      </c>
      <c r="C4186" t="s">
        <v>123</v>
      </c>
      <c r="D4186" t="s">
        <v>3802</v>
      </c>
      <c r="E4186" s="2">
        <v>81.680000000000007</v>
      </c>
    </row>
    <row r="4187" spans="1:5" x14ac:dyDescent="0.25">
      <c r="A4187" s="1">
        <v>43517</v>
      </c>
      <c r="B4187">
        <v>121341</v>
      </c>
      <c r="C4187" t="s">
        <v>123</v>
      </c>
      <c r="D4187" t="s">
        <v>3802</v>
      </c>
      <c r="E4187" s="2">
        <v>81.680000000000007</v>
      </c>
    </row>
    <row r="4188" spans="1:5" x14ac:dyDescent="0.25">
      <c r="A4188" s="1">
        <v>43517</v>
      </c>
      <c r="B4188">
        <v>121342</v>
      </c>
      <c r="C4188" t="s">
        <v>73</v>
      </c>
      <c r="D4188" t="s">
        <v>3803</v>
      </c>
      <c r="E4188" s="2">
        <v>297</v>
      </c>
    </row>
    <row r="4189" spans="1:5" x14ac:dyDescent="0.25">
      <c r="A4189" s="1">
        <v>43517</v>
      </c>
      <c r="B4189">
        <v>121343</v>
      </c>
      <c r="C4189" t="s">
        <v>3804</v>
      </c>
      <c r="D4189" t="s">
        <v>3805</v>
      </c>
      <c r="E4189" s="2">
        <v>416.55</v>
      </c>
    </row>
    <row r="4190" spans="1:5" x14ac:dyDescent="0.25">
      <c r="A4190" s="1">
        <v>43517</v>
      </c>
      <c r="B4190">
        <v>121343</v>
      </c>
      <c r="C4190" t="s">
        <v>3804</v>
      </c>
      <c r="D4190" t="s">
        <v>764</v>
      </c>
      <c r="E4190" s="3">
        <v>-56.7</v>
      </c>
    </row>
    <row r="4191" spans="1:5" x14ac:dyDescent="0.25">
      <c r="A4191" s="1">
        <v>43517</v>
      </c>
      <c r="B4191">
        <v>121344</v>
      </c>
      <c r="C4191" t="s">
        <v>1338</v>
      </c>
      <c r="D4191" t="s">
        <v>3806</v>
      </c>
      <c r="E4191" s="2">
        <v>450</v>
      </c>
    </row>
    <row r="4192" spans="1:5" x14ac:dyDescent="0.25">
      <c r="A4192" s="1">
        <v>43517</v>
      </c>
      <c r="B4192">
        <v>121345</v>
      </c>
      <c r="C4192" t="s">
        <v>1338</v>
      </c>
      <c r="D4192" t="s">
        <v>3807</v>
      </c>
      <c r="E4192" s="2">
        <v>2141.35</v>
      </c>
    </row>
    <row r="4193" spans="1:5" x14ac:dyDescent="0.25">
      <c r="A4193" s="1">
        <v>43517</v>
      </c>
      <c r="B4193">
        <v>121346</v>
      </c>
      <c r="C4193" t="s">
        <v>74</v>
      </c>
      <c r="D4193" t="s">
        <v>3808</v>
      </c>
      <c r="E4193" s="2">
        <v>57.98</v>
      </c>
    </row>
    <row r="4194" spans="1:5" x14ac:dyDescent="0.25">
      <c r="A4194" s="1">
        <v>43517</v>
      </c>
      <c r="B4194">
        <v>121347</v>
      </c>
      <c r="C4194" t="s">
        <v>12</v>
      </c>
      <c r="D4194" t="s">
        <v>3809</v>
      </c>
      <c r="E4194" s="2">
        <v>25.3</v>
      </c>
    </row>
    <row r="4195" spans="1:5" x14ac:dyDescent="0.25">
      <c r="A4195" s="1">
        <v>43517</v>
      </c>
      <c r="B4195">
        <v>121348</v>
      </c>
      <c r="C4195" t="s">
        <v>77</v>
      </c>
      <c r="D4195" t="s">
        <v>2123</v>
      </c>
      <c r="E4195" s="2">
        <v>93.99</v>
      </c>
    </row>
    <row r="4196" spans="1:5" x14ac:dyDescent="0.25">
      <c r="A4196" s="1">
        <v>43517</v>
      </c>
      <c r="B4196">
        <v>121349</v>
      </c>
      <c r="C4196" t="s">
        <v>80</v>
      </c>
      <c r="D4196" t="s">
        <v>3810</v>
      </c>
      <c r="E4196" s="2">
        <v>147.79</v>
      </c>
    </row>
    <row r="4197" spans="1:5" x14ac:dyDescent="0.25">
      <c r="A4197" s="1">
        <v>43517</v>
      </c>
      <c r="B4197">
        <v>121349</v>
      </c>
      <c r="C4197" t="s">
        <v>80</v>
      </c>
      <c r="D4197" t="s">
        <v>3810</v>
      </c>
      <c r="E4197" s="2">
        <v>147.79</v>
      </c>
    </row>
    <row r="4198" spans="1:5" x14ac:dyDescent="0.25">
      <c r="A4198" s="1">
        <v>43517</v>
      </c>
      <c r="B4198">
        <v>121350</v>
      </c>
      <c r="C4198" t="s">
        <v>3811</v>
      </c>
      <c r="D4198" t="s">
        <v>3812</v>
      </c>
      <c r="E4198" s="2">
        <v>2825</v>
      </c>
    </row>
    <row r="4199" spans="1:5" x14ac:dyDescent="0.25">
      <c r="A4199" s="1">
        <v>43517</v>
      </c>
      <c r="B4199">
        <v>121351</v>
      </c>
      <c r="C4199" t="s">
        <v>219</v>
      </c>
      <c r="D4199" t="s">
        <v>3813</v>
      </c>
      <c r="E4199" s="2">
        <v>1886</v>
      </c>
    </row>
    <row r="4200" spans="1:5" x14ac:dyDescent="0.25">
      <c r="A4200" s="1">
        <v>43517</v>
      </c>
      <c r="B4200">
        <v>121358</v>
      </c>
      <c r="C4200" t="s">
        <v>222</v>
      </c>
      <c r="D4200" t="s">
        <v>1956</v>
      </c>
      <c r="E4200" s="2">
        <v>39.54</v>
      </c>
    </row>
    <row r="4201" spans="1:5" x14ac:dyDescent="0.25">
      <c r="A4201" s="1">
        <v>43517</v>
      </c>
      <c r="B4201">
        <v>121358</v>
      </c>
      <c r="C4201" t="s">
        <v>222</v>
      </c>
      <c r="D4201" t="s">
        <v>3814</v>
      </c>
      <c r="E4201" s="2">
        <v>36.4</v>
      </c>
    </row>
    <row r="4202" spans="1:5" x14ac:dyDescent="0.25">
      <c r="A4202" s="1">
        <v>43517</v>
      </c>
      <c r="B4202">
        <v>121358</v>
      </c>
      <c r="C4202" t="s">
        <v>222</v>
      </c>
      <c r="D4202" t="s">
        <v>3815</v>
      </c>
      <c r="E4202" s="2">
        <v>153.24</v>
      </c>
    </row>
    <row r="4203" spans="1:5" x14ac:dyDescent="0.25">
      <c r="A4203" s="1">
        <v>43517</v>
      </c>
      <c r="B4203">
        <v>121358</v>
      </c>
      <c r="C4203" t="s">
        <v>222</v>
      </c>
      <c r="D4203" t="s">
        <v>3816</v>
      </c>
      <c r="E4203" s="2">
        <v>29.98</v>
      </c>
    </row>
    <row r="4204" spans="1:5" x14ac:dyDescent="0.25">
      <c r="A4204" s="1">
        <v>43517</v>
      </c>
      <c r="B4204">
        <v>121358</v>
      </c>
      <c r="C4204" t="s">
        <v>222</v>
      </c>
      <c r="D4204" t="s">
        <v>3817</v>
      </c>
      <c r="E4204" s="2">
        <v>99.38</v>
      </c>
    </row>
    <row r="4205" spans="1:5" x14ac:dyDescent="0.25">
      <c r="A4205" s="1">
        <v>43517</v>
      </c>
      <c r="B4205">
        <v>121358</v>
      </c>
      <c r="C4205" t="s">
        <v>222</v>
      </c>
      <c r="D4205" t="s">
        <v>3817</v>
      </c>
      <c r="E4205" s="2">
        <v>41.88</v>
      </c>
    </row>
    <row r="4206" spans="1:5" x14ac:dyDescent="0.25">
      <c r="A4206" s="1">
        <v>43517</v>
      </c>
      <c r="B4206">
        <v>121358</v>
      </c>
      <c r="C4206" t="s">
        <v>222</v>
      </c>
      <c r="D4206" t="s">
        <v>3817</v>
      </c>
      <c r="E4206" s="2">
        <v>5.94</v>
      </c>
    </row>
    <row r="4207" spans="1:5" x14ac:dyDescent="0.25">
      <c r="A4207" s="1">
        <v>43517</v>
      </c>
      <c r="B4207">
        <v>121358</v>
      </c>
      <c r="C4207" t="s">
        <v>222</v>
      </c>
      <c r="D4207" t="s">
        <v>3818</v>
      </c>
      <c r="E4207" s="2">
        <v>89.51</v>
      </c>
    </row>
    <row r="4208" spans="1:5" x14ac:dyDescent="0.25">
      <c r="A4208" s="1">
        <v>43517</v>
      </c>
      <c r="B4208">
        <v>121358</v>
      </c>
      <c r="C4208" t="s">
        <v>222</v>
      </c>
      <c r="D4208" t="s">
        <v>3819</v>
      </c>
      <c r="E4208" s="2">
        <v>174.41</v>
      </c>
    </row>
    <row r="4209" spans="1:5" x14ac:dyDescent="0.25">
      <c r="A4209" s="1">
        <v>43517</v>
      </c>
      <c r="B4209">
        <v>121358</v>
      </c>
      <c r="C4209" t="s">
        <v>222</v>
      </c>
      <c r="D4209" t="s">
        <v>3820</v>
      </c>
      <c r="E4209" s="2">
        <v>56.34</v>
      </c>
    </row>
    <row r="4210" spans="1:5" x14ac:dyDescent="0.25">
      <c r="A4210" s="1">
        <v>43517</v>
      </c>
      <c r="B4210">
        <v>121358</v>
      </c>
      <c r="C4210" t="s">
        <v>222</v>
      </c>
      <c r="D4210" t="s">
        <v>3821</v>
      </c>
      <c r="E4210" s="2">
        <v>48.45</v>
      </c>
    </row>
    <row r="4211" spans="1:5" x14ac:dyDescent="0.25">
      <c r="A4211" s="1">
        <v>43517</v>
      </c>
      <c r="B4211">
        <v>121358</v>
      </c>
      <c r="C4211" t="s">
        <v>222</v>
      </c>
      <c r="D4211" t="s">
        <v>3822</v>
      </c>
      <c r="E4211" s="2">
        <v>43.23</v>
      </c>
    </row>
    <row r="4212" spans="1:5" x14ac:dyDescent="0.25">
      <c r="A4212" s="1">
        <v>43517</v>
      </c>
      <c r="B4212">
        <v>121358</v>
      </c>
      <c r="C4212" t="s">
        <v>222</v>
      </c>
      <c r="D4212" t="s">
        <v>3823</v>
      </c>
      <c r="E4212" s="2">
        <v>32.14</v>
      </c>
    </row>
    <row r="4213" spans="1:5" x14ac:dyDescent="0.25">
      <c r="A4213" s="1">
        <v>43517</v>
      </c>
      <c r="B4213">
        <v>121358</v>
      </c>
      <c r="C4213" t="s">
        <v>222</v>
      </c>
      <c r="D4213" t="s">
        <v>3824</v>
      </c>
      <c r="E4213" s="2">
        <v>25.75</v>
      </c>
    </row>
    <row r="4214" spans="1:5" x14ac:dyDescent="0.25">
      <c r="A4214" s="1">
        <v>43517</v>
      </c>
      <c r="B4214">
        <v>121358</v>
      </c>
      <c r="C4214" t="s">
        <v>222</v>
      </c>
      <c r="D4214" t="s">
        <v>3825</v>
      </c>
      <c r="E4214" s="2">
        <v>55</v>
      </c>
    </row>
    <row r="4215" spans="1:5" x14ac:dyDescent="0.25">
      <c r="A4215" s="1">
        <v>43517</v>
      </c>
      <c r="B4215">
        <v>121358</v>
      </c>
      <c r="C4215" t="s">
        <v>222</v>
      </c>
      <c r="D4215" t="s">
        <v>1956</v>
      </c>
      <c r="E4215" s="2">
        <v>39.68</v>
      </c>
    </row>
    <row r="4216" spans="1:5" x14ac:dyDescent="0.25">
      <c r="A4216" s="1">
        <v>43517</v>
      </c>
      <c r="B4216">
        <v>121358</v>
      </c>
      <c r="C4216" t="s">
        <v>222</v>
      </c>
      <c r="D4216" t="s">
        <v>1956</v>
      </c>
      <c r="E4216" s="2">
        <v>21.32</v>
      </c>
    </row>
    <row r="4217" spans="1:5" x14ac:dyDescent="0.25">
      <c r="A4217" s="1">
        <v>43517</v>
      </c>
      <c r="B4217">
        <v>121358</v>
      </c>
      <c r="C4217" t="s">
        <v>222</v>
      </c>
      <c r="D4217" t="s">
        <v>3823</v>
      </c>
      <c r="E4217" s="2">
        <v>18.36</v>
      </c>
    </row>
    <row r="4218" spans="1:5" x14ac:dyDescent="0.25">
      <c r="A4218" s="1">
        <v>43517</v>
      </c>
      <c r="B4218">
        <v>121358</v>
      </c>
      <c r="C4218" t="s">
        <v>222</v>
      </c>
      <c r="D4218" t="s">
        <v>3826</v>
      </c>
      <c r="E4218" s="2">
        <v>152.34</v>
      </c>
    </row>
    <row r="4219" spans="1:5" x14ac:dyDescent="0.25">
      <c r="A4219" s="1">
        <v>43517</v>
      </c>
      <c r="B4219">
        <v>121358</v>
      </c>
      <c r="C4219" t="s">
        <v>222</v>
      </c>
      <c r="D4219" t="s">
        <v>3827</v>
      </c>
      <c r="E4219" s="2">
        <v>10.29</v>
      </c>
    </row>
    <row r="4220" spans="1:5" x14ac:dyDescent="0.25">
      <c r="A4220" s="1">
        <v>43517</v>
      </c>
      <c r="B4220">
        <v>121358</v>
      </c>
      <c r="C4220" t="s">
        <v>222</v>
      </c>
      <c r="D4220" t="s">
        <v>3828</v>
      </c>
      <c r="E4220" s="2">
        <f>111.68+166.98</f>
        <v>278.65999999999997</v>
      </c>
    </row>
    <row r="4221" spans="1:5" x14ac:dyDescent="0.25">
      <c r="A4221" s="1">
        <v>43517</v>
      </c>
      <c r="B4221">
        <v>121358</v>
      </c>
      <c r="C4221" t="s">
        <v>222</v>
      </c>
      <c r="D4221" t="s">
        <v>2686</v>
      </c>
      <c r="E4221" s="2">
        <v>53.34</v>
      </c>
    </row>
    <row r="4222" spans="1:5" x14ac:dyDescent="0.25">
      <c r="A4222" s="1">
        <v>43517</v>
      </c>
      <c r="B4222">
        <v>121358</v>
      </c>
      <c r="C4222" t="s">
        <v>222</v>
      </c>
      <c r="D4222" t="s">
        <v>3829</v>
      </c>
      <c r="E4222" s="2">
        <v>48.89</v>
      </c>
    </row>
    <row r="4223" spans="1:5" x14ac:dyDescent="0.25">
      <c r="A4223" s="1">
        <v>43517</v>
      </c>
      <c r="B4223">
        <v>121358</v>
      </c>
      <c r="C4223" t="s">
        <v>222</v>
      </c>
      <c r="D4223" t="s">
        <v>3830</v>
      </c>
      <c r="E4223" s="2">
        <v>70.84</v>
      </c>
    </row>
    <row r="4224" spans="1:5" x14ac:dyDescent="0.25">
      <c r="A4224" s="1">
        <v>43517</v>
      </c>
      <c r="B4224">
        <v>121358</v>
      </c>
      <c r="C4224" t="s">
        <v>222</v>
      </c>
      <c r="D4224" t="s">
        <v>3831</v>
      </c>
      <c r="E4224" s="2">
        <v>110.83</v>
      </c>
    </row>
    <row r="4225" spans="1:5" x14ac:dyDescent="0.25">
      <c r="A4225" s="1">
        <v>43517</v>
      </c>
      <c r="B4225">
        <v>121358</v>
      </c>
      <c r="C4225" t="s">
        <v>222</v>
      </c>
      <c r="D4225" t="s">
        <v>1119</v>
      </c>
      <c r="E4225" s="2">
        <v>14.9</v>
      </c>
    </row>
    <row r="4226" spans="1:5" x14ac:dyDescent="0.25">
      <c r="A4226" s="1">
        <v>43517</v>
      </c>
      <c r="B4226">
        <v>121358</v>
      </c>
      <c r="C4226" t="s">
        <v>222</v>
      </c>
      <c r="D4226" t="s">
        <v>3832</v>
      </c>
      <c r="E4226" s="2">
        <v>97.66</v>
      </c>
    </row>
    <row r="4227" spans="1:5" x14ac:dyDescent="0.25">
      <c r="A4227" s="1">
        <v>43517</v>
      </c>
      <c r="B4227">
        <v>121358</v>
      </c>
      <c r="C4227" t="s">
        <v>222</v>
      </c>
      <c r="D4227" t="s">
        <v>2700</v>
      </c>
      <c r="E4227" s="2">
        <f>53.96+104.4</f>
        <v>158.36000000000001</v>
      </c>
    </row>
    <row r="4228" spans="1:5" x14ac:dyDescent="0.25">
      <c r="A4228" s="1">
        <v>43517</v>
      </c>
      <c r="B4228">
        <v>121359</v>
      </c>
      <c r="C4228" t="s">
        <v>1130</v>
      </c>
      <c r="D4228" t="s">
        <v>3833</v>
      </c>
      <c r="E4228" s="2">
        <v>3215.16</v>
      </c>
    </row>
    <row r="4229" spans="1:5" x14ac:dyDescent="0.25">
      <c r="A4229" s="1">
        <v>43517</v>
      </c>
      <c r="B4229">
        <v>121360</v>
      </c>
      <c r="C4229" t="s">
        <v>809</v>
      </c>
      <c r="D4229" t="s">
        <v>3834</v>
      </c>
      <c r="E4229" s="2">
        <v>64.290000000000006</v>
      </c>
    </row>
    <row r="4230" spans="1:5" x14ac:dyDescent="0.25">
      <c r="A4230" s="1">
        <v>43517</v>
      </c>
      <c r="B4230">
        <v>121361</v>
      </c>
      <c r="C4230" t="s">
        <v>3835</v>
      </c>
      <c r="D4230" t="s">
        <v>3836</v>
      </c>
      <c r="E4230" s="2">
        <f>6095+13595-2400</f>
        <v>17290</v>
      </c>
    </row>
    <row r="4231" spans="1:5" x14ac:dyDescent="0.25">
      <c r="A4231" s="1">
        <v>43517</v>
      </c>
      <c r="B4231">
        <v>121362</v>
      </c>
      <c r="C4231" t="s">
        <v>19</v>
      </c>
      <c r="D4231" t="s">
        <v>3837</v>
      </c>
      <c r="E4231" s="2">
        <v>1544</v>
      </c>
    </row>
    <row r="4232" spans="1:5" x14ac:dyDescent="0.25">
      <c r="A4232" s="1">
        <v>43518</v>
      </c>
      <c r="B4232">
        <v>121363</v>
      </c>
      <c r="C4232" t="s">
        <v>3838</v>
      </c>
      <c r="D4232" t="s">
        <v>3839</v>
      </c>
      <c r="E4232" s="2">
        <v>240</v>
      </c>
    </row>
    <row r="4233" spans="1:5" x14ac:dyDescent="0.25">
      <c r="A4233" s="1">
        <v>43518</v>
      </c>
      <c r="B4233">
        <v>121364</v>
      </c>
      <c r="C4233" t="s">
        <v>3840</v>
      </c>
      <c r="D4233" t="s">
        <v>3841</v>
      </c>
      <c r="E4233" s="2">
        <v>22387.5</v>
      </c>
    </row>
    <row r="4234" spans="1:5" x14ac:dyDescent="0.25">
      <c r="A4234" s="1">
        <v>43521</v>
      </c>
      <c r="B4234">
        <v>121365</v>
      </c>
      <c r="C4234" t="s">
        <v>3842</v>
      </c>
      <c r="D4234" t="s">
        <v>3843</v>
      </c>
      <c r="E4234" s="2">
        <v>300</v>
      </c>
    </row>
    <row r="4235" spans="1:5" x14ac:dyDescent="0.25">
      <c r="A4235" s="1">
        <v>43522</v>
      </c>
      <c r="B4235">
        <v>121366</v>
      </c>
      <c r="C4235" t="s">
        <v>3844</v>
      </c>
      <c r="D4235" t="s">
        <v>3845</v>
      </c>
      <c r="E4235" s="2">
        <v>214.89</v>
      </c>
    </row>
    <row r="4236" spans="1:5" x14ac:dyDescent="0.25">
      <c r="A4236" s="1">
        <v>43523</v>
      </c>
      <c r="B4236">
        <v>121367</v>
      </c>
      <c r="C4236" t="s">
        <v>405</v>
      </c>
      <c r="D4236" t="s">
        <v>3846</v>
      </c>
      <c r="E4236" s="2">
        <v>103.5</v>
      </c>
    </row>
    <row r="4237" spans="1:5" x14ac:dyDescent="0.25">
      <c r="A4237" s="1">
        <v>43523</v>
      </c>
      <c r="B4237">
        <v>121368</v>
      </c>
      <c r="C4237" t="s">
        <v>7</v>
      </c>
      <c r="D4237" t="s">
        <v>3847</v>
      </c>
      <c r="E4237" s="2">
        <v>18</v>
      </c>
    </row>
    <row r="4238" spans="1:5" x14ac:dyDescent="0.25">
      <c r="A4238" s="1">
        <v>43523</v>
      </c>
      <c r="B4238">
        <v>121369</v>
      </c>
      <c r="C4238" t="s">
        <v>3848</v>
      </c>
      <c r="D4238" t="s">
        <v>3849</v>
      </c>
      <c r="E4238" s="2">
        <v>540</v>
      </c>
    </row>
    <row r="4239" spans="1:5" x14ac:dyDescent="0.25">
      <c r="A4239" s="1">
        <v>43523</v>
      </c>
      <c r="B4239">
        <v>121370</v>
      </c>
      <c r="C4239" t="s">
        <v>3800</v>
      </c>
      <c r="D4239" t="s">
        <v>3850</v>
      </c>
      <c r="E4239" s="2">
        <v>121.5</v>
      </c>
    </row>
    <row r="4240" spans="1:5" x14ac:dyDescent="0.25">
      <c r="A4240" s="1">
        <v>43523</v>
      </c>
      <c r="B4240">
        <v>121371</v>
      </c>
      <c r="C4240" t="s">
        <v>1094</v>
      </c>
      <c r="D4240" t="s">
        <v>1095</v>
      </c>
      <c r="E4240" s="2">
        <v>227.5</v>
      </c>
    </row>
    <row r="4241" spans="1:5" x14ac:dyDescent="0.25">
      <c r="A4241" s="1">
        <v>43523</v>
      </c>
      <c r="B4241">
        <v>121372</v>
      </c>
      <c r="C4241" t="s">
        <v>199</v>
      </c>
      <c r="D4241" t="s">
        <v>3851</v>
      </c>
      <c r="E4241" s="2">
        <v>496</v>
      </c>
    </row>
    <row r="4242" spans="1:5" x14ac:dyDescent="0.25">
      <c r="A4242" s="1">
        <v>43523</v>
      </c>
      <c r="B4242">
        <v>121373</v>
      </c>
      <c r="C4242" t="s">
        <v>1762</v>
      </c>
      <c r="D4242" t="s">
        <v>3852</v>
      </c>
      <c r="E4242" s="2">
        <v>130</v>
      </c>
    </row>
    <row r="4243" spans="1:5" x14ac:dyDescent="0.25">
      <c r="A4243" s="1">
        <v>43523</v>
      </c>
      <c r="B4243">
        <v>121374</v>
      </c>
      <c r="C4243" t="s">
        <v>3853</v>
      </c>
      <c r="D4243" t="s">
        <v>3854</v>
      </c>
      <c r="E4243" s="2">
        <v>487.5</v>
      </c>
    </row>
    <row r="4244" spans="1:5" x14ac:dyDescent="0.25">
      <c r="A4244" s="1">
        <v>43523</v>
      </c>
      <c r="B4244">
        <v>121375</v>
      </c>
      <c r="C4244" t="s">
        <v>274</v>
      </c>
      <c r="D4244" t="s">
        <v>3855</v>
      </c>
      <c r="E4244" s="2">
        <v>1916.28</v>
      </c>
    </row>
    <row r="4245" spans="1:5" x14ac:dyDescent="0.25">
      <c r="A4245" s="1">
        <v>43523</v>
      </c>
      <c r="B4245">
        <v>121376</v>
      </c>
      <c r="C4245" t="s">
        <v>3562</v>
      </c>
      <c r="D4245" t="s">
        <v>3856</v>
      </c>
      <c r="E4245" s="2">
        <v>170</v>
      </c>
    </row>
    <row r="4246" spans="1:5" x14ac:dyDescent="0.25">
      <c r="A4246" s="1">
        <v>43523</v>
      </c>
      <c r="B4246">
        <v>121377</v>
      </c>
      <c r="C4246" t="s">
        <v>11</v>
      </c>
      <c r="D4246" t="s">
        <v>3857</v>
      </c>
      <c r="E4246" s="2">
        <v>86.94</v>
      </c>
    </row>
    <row r="4247" spans="1:5" x14ac:dyDescent="0.25">
      <c r="A4247" s="1">
        <v>43523</v>
      </c>
      <c r="B4247">
        <v>121378</v>
      </c>
      <c r="C4247" t="s">
        <v>77</v>
      </c>
      <c r="D4247" t="s">
        <v>3858</v>
      </c>
      <c r="E4247" s="2">
        <v>53.73</v>
      </c>
    </row>
    <row r="4248" spans="1:5" x14ac:dyDescent="0.25">
      <c r="A4248" s="1">
        <v>43523</v>
      </c>
      <c r="B4248">
        <v>121379</v>
      </c>
      <c r="C4248" t="s">
        <v>3859</v>
      </c>
      <c r="D4248" t="s">
        <v>3860</v>
      </c>
      <c r="E4248" s="2">
        <v>1652</v>
      </c>
    </row>
    <row r="4249" spans="1:5" x14ac:dyDescent="0.25">
      <c r="A4249" s="1">
        <v>43523</v>
      </c>
      <c r="B4249">
        <v>121380</v>
      </c>
      <c r="C4249" t="s">
        <v>14</v>
      </c>
      <c r="D4249" t="s">
        <v>3861</v>
      </c>
      <c r="E4249" s="2">
        <v>625</v>
      </c>
    </row>
    <row r="4250" spans="1:5" x14ac:dyDescent="0.25">
      <c r="A4250" s="1">
        <v>43523</v>
      </c>
      <c r="B4250">
        <v>121380</v>
      </c>
      <c r="C4250" t="s">
        <v>14</v>
      </c>
      <c r="D4250" t="s">
        <v>3862</v>
      </c>
      <c r="E4250" s="2">
        <v>81.44</v>
      </c>
    </row>
    <row r="4251" spans="1:5" x14ac:dyDescent="0.25">
      <c r="A4251" s="1">
        <v>43523</v>
      </c>
      <c r="B4251">
        <v>121381</v>
      </c>
      <c r="C4251" t="s">
        <v>3863</v>
      </c>
      <c r="D4251" t="s">
        <v>3864</v>
      </c>
      <c r="E4251" s="2">
        <v>15</v>
      </c>
    </row>
    <row r="4252" spans="1:5" x14ac:dyDescent="0.25">
      <c r="A4252" s="1">
        <v>43523</v>
      </c>
      <c r="B4252">
        <v>121382</v>
      </c>
      <c r="C4252" t="s">
        <v>19</v>
      </c>
      <c r="D4252" t="s">
        <v>3865</v>
      </c>
      <c r="E4252" s="2">
        <v>594</v>
      </c>
    </row>
    <row r="4253" spans="1:5" x14ac:dyDescent="0.25">
      <c r="A4253" s="1">
        <v>43523</v>
      </c>
      <c r="B4253">
        <v>121387</v>
      </c>
      <c r="C4253" t="s">
        <v>631</v>
      </c>
      <c r="D4253" t="s">
        <v>2683</v>
      </c>
      <c r="E4253" s="2">
        <v>212.36</v>
      </c>
    </row>
    <row r="4254" spans="1:5" x14ac:dyDescent="0.25">
      <c r="A4254" s="1">
        <v>43523</v>
      </c>
      <c r="B4254">
        <v>121387</v>
      </c>
      <c r="C4254" t="s">
        <v>631</v>
      </c>
      <c r="D4254" t="s">
        <v>3866</v>
      </c>
      <c r="E4254" s="2">
        <v>150.86000000000001</v>
      </c>
    </row>
    <row r="4255" spans="1:5" x14ac:dyDescent="0.25">
      <c r="A4255" s="1">
        <v>43523</v>
      </c>
      <c r="B4255">
        <v>121387</v>
      </c>
      <c r="C4255" t="s">
        <v>631</v>
      </c>
      <c r="D4255" t="s">
        <v>3867</v>
      </c>
      <c r="E4255" s="2">
        <v>346.9</v>
      </c>
    </row>
    <row r="4256" spans="1:5" x14ac:dyDescent="0.25">
      <c r="A4256" s="1">
        <v>43523</v>
      </c>
      <c r="B4256">
        <v>121387</v>
      </c>
      <c r="C4256" t="s">
        <v>631</v>
      </c>
      <c r="D4256" t="s">
        <v>3868</v>
      </c>
      <c r="E4256" s="2">
        <v>94.77</v>
      </c>
    </row>
    <row r="4257" spans="1:5" x14ac:dyDescent="0.25">
      <c r="A4257" s="1">
        <v>43523</v>
      </c>
      <c r="B4257">
        <v>121387</v>
      </c>
      <c r="C4257" t="s">
        <v>631</v>
      </c>
      <c r="D4257" t="s">
        <v>3869</v>
      </c>
      <c r="E4257" s="2">
        <v>117.72</v>
      </c>
    </row>
    <row r="4258" spans="1:5" x14ac:dyDescent="0.25">
      <c r="A4258" s="1">
        <v>43523</v>
      </c>
      <c r="B4258">
        <v>121387</v>
      </c>
      <c r="C4258" t="s">
        <v>631</v>
      </c>
      <c r="D4258" t="s">
        <v>3870</v>
      </c>
      <c r="E4258" s="2">
        <v>65.319999999999993</v>
      </c>
    </row>
    <row r="4259" spans="1:5" x14ac:dyDescent="0.25">
      <c r="A4259" s="1">
        <v>43523</v>
      </c>
      <c r="B4259">
        <v>121387</v>
      </c>
      <c r="C4259" t="s">
        <v>631</v>
      </c>
      <c r="D4259" t="s">
        <v>2686</v>
      </c>
      <c r="E4259" s="2">
        <v>85.43</v>
      </c>
    </row>
    <row r="4260" spans="1:5" x14ac:dyDescent="0.25">
      <c r="A4260" s="1">
        <v>43523</v>
      </c>
      <c r="B4260">
        <v>121387</v>
      </c>
      <c r="C4260" t="s">
        <v>631</v>
      </c>
      <c r="D4260" t="s">
        <v>3871</v>
      </c>
      <c r="E4260" s="2">
        <v>64.55</v>
      </c>
    </row>
    <row r="4261" spans="1:5" x14ac:dyDescent="0.25">
      <c r="A4261" s="1">
        <v>43523</v>
      </c>
      <c r="B4261">
        <v>121387</v>
      </c>
      <c r="C4261" t="s">
        <v>631</v>
      </c>
      <c r="D4261" t="s">
        <v>3872</v>
      </c>
      <c r="E4261" s="2">
        <v>81.5</v>
      </c>
    </row>
    <row r="4262" spans="1:5" x14ac:dyDescent="0.25">
      <c r="A4262" s="1">
        <v>43523</v>
      </c>
      <c r="B4262">
        <v>121387</v>
      </c>
      <c r="C4262" t="s">
        <v>631</v>
      </c>
      <c r="D4262" t="s">
        <v>3873</v>
      </c>
      <c r="E4262" s="2">
        <v>82.27</v>
      </c>
    </row>
    <row r="4263" spans="1:5" x14ac:dyDescent="0.25">
      <c r="A4263" s="1">
        <v>43523</v>
      </c>
      <c r="B4263">
        <v>121387</v>
      </c>
      <c r="C4263" t="s">
        <v>631</v>
      </c>
      <c r="D4263" t="s">
        <v>3874</v>
      </c>
      <c r="E4263" s="2">
        <v>295.08999999999997</v>
      </c>
    </row>
    <row r="4264" spans="1:5" x14ac:dyDescent="0.25">
      <c r="A4264" s="1">
        <v>43523</v>
      </c>
      <c r="B4264">
        <v>121387</v>
      </c>
      <c r="C4264" t="s">
        <v>631</v>
      </c>
      <c r="D4264" t="s">
        <v>3875</v>
      </c>
      <c r="E4264" s="2">
        <v>83.8</v>
      </c>
    </row>
    <row r="4265" spans="1:5" x14ac:dyDescent="0.25">
      <c r="A4265" s="1">
        <v>43523</v>
      </c>
      <c r="B4265">
        <v>121387</v>
      </c>
      <c r="C4265" t="s">
        <v>631</v>
      </c>
      <c r="D4265" t="s">
        <v>3876</v>
      </c>
      <c r="E4265" s="2">
        <v>95.17</v>
      </c>
    </row>
    <row r="4266" spans="1:5" x14ac:dyDescent="0.25">
      <c r="A4266" s="1">
        <v>43523</v>
      </c>
      <c r="B4266">
        <v>121387</v>
      </c>
      <c r="C4266" t="s">
        <v>631</v>
      </c>
      <c r="D4266" t="s">
        <v>3877</v>
      </c>
      <c r="E4266" s="2">
        <v>67.44</v>
      </c>
    </row>
    <row r="4267" spans="1:5" x14ac:dyDescent="0.25">
      <c r="A4267" s="1">
        <v>43523</v>
      </c>
      <c r="B4267">
        <v>121387</v>
      </c>
      <c r="C4267" t="s">
        <v>631</v>
      </c>
      <c r="D4267" t="s">
        <v>3878</v>
      </c>
      <c r="E4267" s="2">
        <v>281.33999999999997</v>
      </c>
    </row>
    <row r="4268" spans="1:5" x14ac:dyDescent="0.25">
      <c r="A4268" s="1">
        <v>43523</v>
      </c>
      <c r="B4268">
        <v>121387</v>
      </c>
      <c r="C4268" t="s">
        <v>631</v>
      </c>
      <c r="D4268" t="s">
        <v>3879</v>
      </c>
      <c r="E4268" s="2">
        <v>44.43</v>
      </c>
    </row>
    <row r="4269" spans="1:5" x14ac:dyDescent="0.25">
      <c r="A4269" s="1">
        <v>43523</v>
      </c>
      <c r="B4269">
        <v>121387</v>
      </c>
      <c r="C4269" t="s">
        <v>631</v>
      </c>
      <c r="D4269" t="s">
        <v>3880</v>
      </c>
      <c r="E4269" s="2">
        <v>113.56</v>
      </c>
    </row>
    <row r="4270" spans="1:5" x14ac:dyDescent="0.25">
      <c r="A4270" s="1">
        <v>43523</v>
      </c>
      <c r="B4270">
        <v>121387</v>
      </c>
      <c r="C4270" t="s">
        <v>631</v>
      </c>
      <c r="D4270" t="s">
        <v>3881</v>
      </c>
      <c r="E4270" s="2">
        <v>233.48</v>
      </c>
    </row>
    <row r="4271" spans="1:5" x14ac:dyDescent="0.25">
      <c r="A4271" s="1">
        <v>43523</v>
      </c>
      <c r="B4271">
        <v>121387</v>
      </c>
      <c r="C4271" t="s">
        <v>631</v>
      </c>
      <c r="D4271" t="s">
        <v>3882</v>
      </c>
      <c r="E4271" s="2">
        <v>117.45</v>
      </c>
    </row>
    <row r="4272" spans="1:5" x14ac:dyDescent="0.25">
      <c r="A4272" s="1">
        <v>43523</v>
      </c>
      <c r="B4272">
        <v>121387</v>
      </c>
      <c r="C4272" t="s">
        <v>631</v>
      </c>
      <c r="D4272" t="s">
        <v>3883</v>
      </c>
      <c r="E4272" s="2">
        <v>45.94</v>
      </c>
    </row>
    <row r="4273" spans="1:5" x14ac:dyDescent="0.25">
      <c r="A4273" s="1">
        <v>43523</v>
      </c>
      <c r="B4273">
        <v>121387</v>
      </c>
      <c r="C4273" t="s">
        <v>631</v>
      </c>
      <c r="D4273" t="s">
        <v>3884</v>
      </c>
      <c r="E4273" s="2">
        <v>197.56</v>
      </c>
    </row>
    <row r="4274" spans="1:5" x14ac:dyDescent="0.25">
      <c r="A4274" s="1">
        <v>43524</v>
      </c>
      <c r="B4274">
        <v>121388</v>
      </c>
      <c r="C4274" t="s">
        <v>3885</v>
      </c>
      <c r="D4274" t="s">
        <v>3886</v>
      </c>
      <c r="E4274" s="2">
        <v>1017</v>
      </c>
    </row>
    <row r="4275" spans="1:5" x14ac:dyDescent="0.25">
      <c r="A4275" s="1">
        <v>43524</v>
      </c>
      <c r="B4275">
        <v>121389</v>
      </c>
      <c r="C4275" t="s">
        <v>1139</v>
      </c>
      <c r="D4275" t="s">
        <v>3887</v>
      </c>
      <c r="E4275" s="2">
        <v>3216.4</v>
      </c>
    </row>
    <row r="4276" spans="1:5" x14ac:dyDescent="0.25">
      <c r="A4276" s="1">
        <v>43524</v>
      </c>
      <c r="B4276">
        <v>121389</v>
      </c>
      <c r="C4276" t="s">
        <v>1139</v>
      </c>
      <c r="D4276" t="s">
        <v>3888</v>
      </c>
      <c r="E4276" s="2">
        <v>2484.7199999999998</v>
      </c>
    </row>
    <row r="4277" spans="1:5" x14ac:dyDescent="0.25">
      <c r="A4277" s="1">
        <v>43524</v>
      </c>
      <c r="B4277">
        <v>121390</v>
      </c>
      <c r="C4277" t="s">
        <v>2165</v>
      </c>
      <c r="D4277" t="s">
        <v>3889</v>
      </c>
      <c r="E4277" s="2">
        <v>585</v>
      </c>
    </row>
    <row r="4278" spans="1:5" x14ac:dyDescent="0.25">
      <c r="A4278" s="1">
        <v>43524</v>
      </c>
      <c r="B4278">
        <v>121390</v>
      </c>
      <c r="C4278" t="s">
        <v>2165</v>
      </c>
      <c r="D4278" t="s">
        <v>3890</v>
      </c>
      <c r="E4278" s="2">
        <v>1250</v>
      </c>
    </row>
    <row r="4279" spans="1:5" x14ac:dyDescent="0.25">
      <c r="A4279" s="1">
        <v>43524</v>
      </c>
      <c r="B4279">
        <v>121425</v>
      </c>
      <c r="C4279" t="s">
        <v>189</v>
      </c>
      <c r="D4279" t="s">
        <v>3062</v>
      </c>
      <c r="E4279" s="2">
        <v>82.8</v>
      </c>
    </row>
    <row r="4280" spans="1:5" x14ac:dyDescent="0.25">
      <c r="A4280" s="1">
        <v>43524</v>
      </c>
      <c r="B4280">
        <v>121425</v>
      </c>
      <c r="C4280" t="s">
        <v>189</v>
      </c>
      <c r="D4280" t="s">
        <v>3891</v>
      </c>
      <c r="E4280" s="2">
        <v>153.59</v>
      </c>
    </row>
    <row r="4281" spans="1:5" x14ac:dyDescent="0.25">
      <c r="A4281" s="1">
        <v>43524</v>
      </c>
      <c r="B4281">
        <v>121425</v>
      </c>
      <c r="C4281" t="s">
        <v>189</v>
      </c>
      <c r="D4281" t="s">
        <v>3892</v>
      </c>
      <c r="E4281" s="2">
        <v>103.84</v>
      </c>
    </row>
    <row r="4282" spans="1:5" x14ac:dyDescent="0.25">
      <c r="A4282" s="1">
        <v>43524</v>
      </c>
      <c r="B4282">
        <v>121425</v>
      </c>
      <c r="C4282" t="s">
        <v>189</v>
      </c>
      <c r="D4282" t="s">
        <v>228</v>
      </c>
      <c r="E4282" s="2">
        <v>48.9</v>
      </c>
    </row>
    <row r="4283" spans="1:5" x14ac:dyDescent="0.25">
      <c r="A4283" s="1">
        <v>43524</v>
      </c>
      <c r="B4283">
        <v>121425</v>
      </c>
      <c r="C4283" t="s">
        <v>189</v>
      </c>
      <c r="D4283" t="s">
        <v>3893</v>
      </c>
      <c r="E4283" s="2">
        <v>1406.8</v>
      </c>
    </row>
    <row r="4284" spans="1:5" x14ac:dyDescent="0.25">
      <c r="A4284" s="1">
        <v>43524</v>
      </c>
      <c r="B4284">
        <v>121425</v>
      </c>
      <c r="C4284" t="s">
        <v>189</v>
      </c>
      <c r="D4284" t="s">
        <v>3894</v>
      </c>
      <c r="E4284" s="2">
        <v>16.95</v>
      </c>
    </row>
    <row r="4285" spans="1:5" x14ac:dyDescent="0.25">
      <c r="A4285" s="1">
        <v>43524</v>
      </c>
      <c r="B4285">
        <v>121425</v>
      </c>
      <c r="C4285" t="s">
        <v>189</v>
      </c>
      <c r="D4285" t="s">
        <v>3895</v>
      </c>
      <c r="E4285" s="2">
        <v>18.98</v>
      </c>
    </row>
    <row r="4286" spans="1:5" x14ac:dyDescent="0.25">
      <c r="A4286" s="1">
        <v>43524</v>
      </c>
      <c r="B4286">
        <v>121425</v>
      </c>
      <c r="C4286" t="s">
        <v>189</v>
      </c>
      <c r="D4286" t="s">
        <v>3896</v>
      </c>
      <c r="E4286" s="2">
        <v>137.5</v>
      </c>
    </row>
    <row r="4287" spans="1:5" x14ac:dyDescent="0.25">
      <c r="A4287" s="1">
        <v>43524</v>
      </c>
      <c r="B4287">
        <v>121425</v>
      </c>
      <c r="C4287" t="s">
        <v>189</v>
      </c>
      <c r="D4287" t="s">
        <v>228</v>
      </c>
      <c r="E4287" s="2">
        <v>11.66</v>
      </c>
    </row>
    <row r="4288" spans="1:5" x14ac:dyDescent="0.25">
      <c r="A4288" s="1">
        <v>43524</v>
      </c>
      <c r="B4288">
        <v>121425</v>
      </c>
      <c r="C4288" t="s">
        <v>189</v>
      </c>
      <c r="D4288" t="s">
        <v>3897</v>
      </c>
      <c r="E4288" s="2">
        <v>339.83</v>
      </c>
    </row>
    <row r="4289" spans="1:5" x14ac:dyDescent="0.25">
      <c r="A4289" s="1">
        <v>43524</v>
      </c>
      <c r="B4289">
        <v>121425</v>
      </c>
      <c r="C4289" t="s">
        <v>189</v>
      </c>
      <c r="D4289" t="s">
        <v>3898</v>
      </c>
      <c r="E4289" s="2">
        <v>74.989999999999995</v>
      </c>
    </row>
    <row r="4290" spans="1:5" x14ac:dyDescent="0.25">
      <c r="A4290" s="1">
        <v>43524</v>
      </c>
      <c r="B4290">
        <v>121425</v>
      </c>
      <c r="C4290" t="s">
        <v>189</v>
      </c>
      <c r="D4290" t="s">
        <v>3899</v>
      </c>
      <c r="E4290" s="2">
        <v>41.98</v>
      </c>
    </row>
    <row r="4291" spans="1:5" x14ac:dyDescent="0.25">
      <c r="A4291" s="1">
        <v>43524</v>
      </c>
      <c r="B4291">
        <v>121425</v>
      </c>
      <c r="C4291" t="s">
        <v>189</v>
      </c>
      <c r="D4291" t="s">
        <v>228</v>
      </c>
      <c r="E4291" s="2">
        <v>16.690000000000001</v>
      </c>
    </row>
    <row r="4292" spans="1:5" x14ac:dyDescent="0.25">
      <c r="A4292" s="1">
        <v>43524</v>
      </c>
      <c r="B4292">
        <v>121425</v>
      </c>
      <c r="C4292" t="s">
        <v>189</v>
      </c>
      <c r="D4292" t="s">
        <v>3900</v>
      </c>
      <c r="E4292" s="2">
        <v>132.72</v>
      </c>
    </row>
    <row r="4293" spans="1:5" x14ac:dyDescent="0.25">
      <c r="A4293" s="1">
        <v>43524</v>
      </c>
      <c r="B4293">
        <v>121425</v>
      </c>
      <c r="C4293" t="s">
        <v>189</v>
      </c>
      <c r="D4293" t="s">
        <v>3898</v>
      </c>
      <c r="E4293" s="2">
        <v>465.38</v>
      </c>
    </row>
    <row r="4294" spans="1:5" x14ac:dyDescent="0.25">
      <c r="A4294" s="1">
        <v>43524</v>
      </c>
      <c r="B4294">
        <v>121425</v>
      </c>
      <c r="C4294" t="s">
        <v>189</v>
      </c>
      <c r="D4294" t="s">
        <v>1483</v>
      </c>
      <c r="E4294" s="2">
        <v>47.57</v>
      </c>
    </row>
    <row r="4295" spans="1:5" x14ac:dyDescent="0.25">
      <c r="A4295" s="1">
        <v>43524</v>
      </c>
      <c r="B4295">
        <v>121425</v>
      </c>
      <c r="C4295" t="s">
        <v>189</v>
      </c>
      <c r="D4295" t="s">
        <v>3901</v>
      </c>
      <c r="E4295" s="2">
        <v>311.76</v>
      </c>
    </row>
    <row r="4296" spans="1:5" x14ac:dyDescent="0.25">
      <c r="A4296" s="1">
        <v>43524</v>
      </c>
      <c r="B4296">
        <v>121425</v>
      </c>
      <c r="C4296" t="s">
        <v>189</v>
      </c>
      <c r="D4296" t="s">
        <v>228</v>
      </c>
      <c r="E4296" s="2">
        <v>544.97</v>
      </c>
    </row>
    <row r="4297" spans="1:5" x14ac:dyDescent="0.25">
      <c r="A4297" s="1">
        <v>43524</v>
      </c>
      <c r="B4297">
        <v>121425</v>
      </c>
      <c r="C4297" t="s">
        <v>189</v>
      </c>
      <c r="D4297" t="s">
        <v>3902</v>
      </c>
      <c r="E4297" s="2">
        <v>60.65</v>
      </c>
    </row>
    <row r="4298" spans="1:5" x14ac:dyDescent="0.25">
      <c r="A4298" s="1">
        <v>43524</v>
      </c>
      <c r="B4298">
        <v>121425</v>
      </c>
      <c r="C4298" t="s">
        <v>189</v>
      </c>
      <c r="D4298" t="s">
        <v>3903</v>
      </c>
      <c r="E4298" s="2">
        <v>66.42</v>
      </c>
    </row>
    <row r="4299" spans="1:5" x14ac:dyDescent="0.25">
      <c r="A4299" s="1">
        <v>43524</v>
      </c>
      <c r="B4299">
        <v>121425</v>
      </c>
      <c r="C4299" t="s">
        <v>189</v>
      </c>
      <c r="D4299" t="s">
        <v>3904</v>
      </c>
      <c r="E4299" s="2">
        <v>31.76</v>
      </c>
    </row>
    <row r="4300" spans="1:5" x14ac:dyDescent="0.25">
      <c r="A4300" s="1">
        <v>43524</v>
      </c>
      <c r="B4300">
        <v>121425</v>
      </c>
      <c r="C4300" t="s">
        <v>189</v>
      </c>
      <c r="D4300" t="s">
        <v>2507</v>
      </c>
      <c r="E4300" s="2">
        <v>26.98</v>
      </c>
    </row>
    <row r="4301" spans="1:5" x14ac:dyDescent="0.25">
      <c r="A4301" s="1">
        <v>43524</v>
      </c>
      <c r="B4301">
        <v>121425</v>
      </c>
      <c r="C4301" t="s">
        <v>189</v>
      </c>
      <c r="D4301" t="s">
        <v>3905</v>
      </c>
      <c r="E4301" s="2">
        <v>19.95</v>
      </c>
    </row>
    <row r="4302" spans="1:5" x14ac:dyDescent="0.25">
      <c r="A4302" s="1">
        <v>43524</v>
      </c>
      <c r="B4302">
        <v>121425</v>
      </c>
      <c r="C4302" t="s">
        <v>189</v>
      </c>
      <c r="D4302" t="s">
        <v>3906</v>
      </c>
      <c r="E4302" s="2">
        <v>420.9</v>
      </c>
    </row>
    <row r="4303" spans="1:5" x14ac:dyDescent="0.25">
      <c r="A4303" s="1">
        <v>43524</v>
      </c>
      <c r="B4303">
        <v>121425</v>
      </c>
      <c r="C4303" t="s">
        <v>189</v>
      </c>
      <c r="D4303" t="s">
        <v>485</v>
      </c>
      <c r="E4303" s="2">
        <v>12.99</v>
      </c>
    </row>
    <row r="4304" spans="1:5" x14ac:dyDescent="0.25">
      <c r="A4304" s="1">
        <v>43524</v>
      </c>
      <c r="B4304">
        <v>121425</v>
      </c>
      <c r="C4304" t="s">
        <v>189</v>
      </c>
      <c r="D4304" t="s">
        <v>3907</v>
      </c>
      <c r="E4304" s="2">
        <v>329.99</v>
      </c>
    </row>
    <row r="4305" spans="1:5" x14ac:dyDescent="0.25">
      <c r="A4305" s="1">
        <v>43524</v>
      </c>
      <c r="B4305">
        <v>121425</v>
      </c>
      <c r="C4305" t="s">
        <v>189</v>
      </c>
      <c r="D4305" t="s">
        <v>3907</v>
      </c>
      <c r="E4305" s="2">
        <v>611.97</v>
      </c>
    </row>
    <row r="4306" spans="1:5" x14ac:dyDescent="0.25">
      <c r="A4306" s="1">
        <v>43524</v>
      </c>
      <c r="B4306">
        <v>121425</v>
      </c>
      <c r="C4306" t="s">
        <v>189</v>
      </c>
      <c r="D4306" t="s">
        <v>3908</v>
      </c>
      <c r="E4306" s="2">
        <v>63.19</v>
      </c>
    </row>
    <row r="4307" spans="1:5" x14ac:dyDescent="0.25">
      <c r="A4307" s="1">
        <v>43524</v>
      </c>
      <c r="B4307">
        <v>121425</v>
      </c>
      <c r="C4307" t="s">
        <v>189</v>
      </c>
      <c r="D4307" t="s">
        <v>2360</v>
      </c>
      <c r="E4307" s="2">
        <v>599</v>
      </c>
    </row>
    <row r="4308" spans="1:5" x14ac:dyDescent="0.25">
      <c r="A4308" s="1">
        <v>43524</v>
      </c>
      <c r="B4308">
        <v>121425</v>
      </c>
      <c r="C4308" t="s">
        <v>189</v>
      </c>
      <c r="D4308" t="s">
        <v>3909</v>
      </c>
      <c r="E4308" s="2">
        <v>12.5</v>
      </c>
    </row>
    <row r="4309" spans="1:5" x14ac:dyDescent="0.25">
      <c r="A4309" s="1">
        <v>43524</v>
      </c>
      <c r="B4309">
        <v>121425</v>
      </c>
      <c r="C4309" t="s">
        <v>189</v>
      </c>
      <c r="D4309" t="s">
        <v>3910</v>
      </c>
      <c r="E4309" s="2">
        <v>188.73</v>
      </c>
    </row>
    <row r="4310" spans="1:5" x14ac:dyDescent="0.25">
      <c r="A4310" s="1">
        <v>43524</v>
      </c>
      <c r="B4310">
        <v>121425</v>
      </c>
      <c r="C4310" t="s">
        <v>189</v>
      </c>
      <c r="D4310" t="s">
        <v>3904</v>
      </c>
      <c r="E4310" s="2">
        <v>90.68</v>
      </c>
    </row>
    <row r="4311" spans="1:5" x14ac:dyDescent="0.25">
      <c r="A4311" s="1">
        <v>43524</v>
      </c>
      <c r="B4311">
        <v>121425</v>
      </c>
      <c r="C4311" t="s">
        <v>189</v>
      </c>
      <c r="D4311" t="s">
        <v>3904</v>
      </c>
      <c r="E4311" s="2">
        <v>185.98</v>
      </c>
    </row>
    <row r="4312" spans="1:5" x14ac:dyDescent="0.25">
      <c r="A4312" s="1">
        <v>43524</v>
      </c>
      <c r="B4312">
        <v>121425</v>
      </c>
      <c r="C4312" t="s">
        <v>189</v>
      </c>
      <c r="D4312" t="s">
        <v>2507</v>
      </c>
      <c r="E4312" s="2">
        <v>152</v>
      </c>
    </row>
    <row r="4313" spans="1:5" x14ac:dyDescent="0.25">
      <c r="A4313" s="1">
        <v>43524</v>
      </c>
      <c r="B4313">
        <v>121425</v>
      </c>
      <c r="C4313" t="s">
        <v>189</v>
      </c>
      <c r="D4313" t="s">
        <v>3908</v>
      </c>
      <c r="E4313" s="2">
        <v>164.81</v>
      </c>
    </row>
    <row r="4314" spans="1:5" x14ac:dyDescent="0.25">
      <c r="A4314" s="1">
        <v>43524</v>
      </c>
      <c r="B4314">
        <v>121425</v>
      </c>
      <c r="C4314" t="s">
        <v>189</v>
      </c>
      <c r="D4314" t="s">
        <v>3911</v>
      </c>
      <c r="E4314" s="2">
        <v>172.93</v>
      </c>
    </row>
    <row r="4315" spans="1:5" x14ac:dyDescent="0.25">
      <c r="A4315" s="1">
        <v>43524</v>
      </c>
      <c r="B4315">
        <v>121425</v>
      </c>
      <c r="C4315" t="s">
        <v>189</v>
      </c>
      <c r="D4315" t="s">
        <v>3912</v>
      </c>
      <c r="E4315" s="2">
        <v>77.959999999999994</v>
      </c>
    </row>
    <row r="4316" spans="1:5" x14ac:dyDescent="0.25">
      <c r="A4316" s="1">
        <v>43524</v>
      </c>
      <c r="B4316">
        <v>121425</v>
      </c>
      <c r="C4316" t="s">
        <v>189</v>
      </c>
      <c r="D4316" t="s">
        <v>3913</v>
      </c>
      <c r="E4316" s="2">
        <v>96.94</v>
      </c>
    </row>
    <row r="4317" spans="1:5" x14ac:dyDescent="0.25">
      <c r="A4317" s="1">
        <v>43524</v>
      </c>
      <c r="B4317">
        <v>121425</v>
      </c>
      <c r="C4317" t="s">
        <v>189</v>
      </c>
      <c r="D4317" t="s">
        <v>3914</v>
      </c>
      <c r="E4317" s="2">
        <v>1291.6600000000001</v>
      </c>
    </row>
    <row r="4318" spans="1:5" x14ac:dyDescent="0.25">
      <c r="A4318" s="1">
        <v>43524</v>
      </c>
      <c r="B4318">
        <v>121425</v>
      </c>
      <c r="C4318" t="s">
        <v>189</v>
      </c>
      <c r="D4318" t="s">
        <v>3915</v>
      </c>
      <c r="E4318" s="2">
        <v>102.5</v>
      </c>
    </row>
    <row r="4319" spans="1:5" x14ac:dyDescent="0.25">
      <c r="A4319" s="1">
        <v>43524</v>
      </c>
      <c r="B4319">
        <v>121425</v>
      </c>
      <c r="C4319" t="s">
        <v>189</v>
      </c>
      <c r="D4319" t="s">
        <v>3916</v>
      </c>
      <c r="E4319" s="2">
        <v>23.38</v>
      </c>
    </row>
    <row r="4320" spans="1:5" x14ac:dyDescent="0.25">
      <c r="A4320" s="1">
        <v>43524</v>
      </c>
      <c r="B4320">
        <v>121425</v>
      </c>
      <c r="C4320" t="s">
        <v>189</v>
      </c>
      <c r="D4320" t="s">
        <v>3917</v>
      </c>
      <c r="E4320" s="2">
        <v>29</v>
      </c>
    </row>
    <row r="4321" spans="1:5" x14ac:dyDescent="0.25">
      <c r="A4321" s="1">
        <v>43524</v>
      </c>
      <c r="B4321">
        <v>121425</v>
      </c>
      <c r="C4321" t="s">
        <v>189</v>
      </c>
      <c r="D4321" t="s">
        <v>3918</v>
      </c>
      <c r="E4321" s="2">
        <v>29.5</v>
      </c>
    </row>
    <row r="4322" spans="1:5" x14ac:dyDescent="0.25">
      <c r="A4322" s="1">
        <v>43524</v>
      </c>
      <c r="B4322">
        <v>121425</v>
      </c>
      <c r="C4322" t="s">
        <v>189</v>
      </c>
      <c r="D4322" t="s">
        <v>3919</v>
      </c>
      <c r="E4322" s="2">
        <v>29.52</v>
      </c>
    </row>
    <row r="4323" spans="1:5" x14ac:dyDescent="0.25">
      <c r="A4323" s="1">
        <v>43524</v>
      </c>
      <c r="B4323">
        <v>121425</v>
      </c>
      <c r="C4323" t="s">
        <v>189</v>
      </c>
      <c r="D4323" t="s">
        <v>3909</v>
      </c>
      <c r="E4323" s="2">
        <v>16.989999999999998</v>
      </c>
    </row>
    <row r="4324" spans="1:5" x14ac:dyDescent="0.25">
      <c r="A4324" s="1">
        <v>43524</v>
      </c>
      <c r="B4324">
        <v>121425</v>
      </c>
      <c r="C4324" t="s">
        <v>189</v>
      </c>
      <c r="D4324" t="s">
        <v>3920</v>
      </c>
      <c r="E4324" s="2">
        <v>33</v>
      </c>
    </row>
    <row r="4325" spans="1:5" x14ac:dyDescent="0.25">
      <c r="A4325" s="1">
        <v>43524</v>
      </c>
      <c r="B4325">
        <v>121425</v>
      </c>
      <c r="C4325" t="s">
        <v>189</v>
      </c>
      <c r="D4325" t="s">
        <v>3921</v>
      </c>
      <c r="E4325" s="2">
        <v>49.95</v>
      </c>
    </row>
    <row r="4326" spans="1:5" x14ac:dyDescent="0.25">
      <c r="A4326" s="1">
        <v>43524</v>
      </c>
      <c r="B4326">
        <v>121425</v>
      </c>
      <c r="C4326" t="s">
        <v>189</v>
      </c>
      <c r="D4326" t="s">
        <v>3917</v>
      </c>
      <c r="E4326" s="2">
        <v>56.14</v>
      </c>
    </row>
    <row r="4327" spans="1:5" x14ac:dyDescent="0.25">
      <c r="A4327" s="1">
        <v>43524</v>
      </c>
      <c r="B4327">
        <v>121425</v>
      </c>
      <c r="C4327" t="s">
        <v>189</v>
      </c>
      <c r="D4327" t="s">
        <v>3922</v>
      </c>
      <c r="E4327" s="2">
        <v>62.93</v>
      </c>
    </row>
    <row r="4328" spans="1:5" x14ac:dyDescent="0.25">
      <c r="A4328" s="1">
        <v>43524</v>
      </c>
      <c r="B4328">
        <v>121425</v>
      </c>
      <c r="C4328" t="s">
        <v>189</v>
      </c>
      <c r="D4328" t="s">
        <v>3909</v>
      </c>
      <c r="E4328" s="2">
        <v>40.31</v>
      </c>
    </row>
    <row r="4329" spans="1:5" x14ac:dyDescent="0.25">
      <c r="A4329" s="1">
        <v>43524</v>
      </c>
      <c r="B4329">
        <v>121425</v>
      </c>
      <c r="C4329" t="s">
        <v>189</v>
      </c>
      <c r="D4329" t="s">
        <v>3907</v>
      </c>
      <c r="E4329" s="2">
        <v>39.950000000000003</v>
      </c>
    </row>
    <row r="4330" spans="1:5" x14ac:dyDescent="0.25">
      <c r="A4330" s="1">
        <v>43524</v>
      </c>
      <c r="B4330">
        <v>121425</v>
      </c>
      <c r="C4330" t="s">
        <v>189</v>
      </c>
      <c r="D4330" t="s">
        <v>3923</v>
      </c>
      <c r="E4330" s="2">
        <v>55.89</v>
      </c>
    </row>
    <row r="4331" spans="1:5" x14ac:dyDescent="0.25">
      <c r="A4331" s="1">
        <v>43524</v>
      </c>
      <c r="B4331">
        <v>121425</v>
      </c>
      <c r="C4331" t="s">
        <v>189</v>
      </c>
      <c r="D4331" t="s">
        <v>3924</v>
      </c>
      <c r="E4331" s="2">
        <v>251.2</v>
      </c>
    </row>
    <row r="4332" spans="1:5" x14ac:dyDescent="0.25">
      <c r="A4332" s="1">
        <v>43524</v>
      </c>
      <c r="B4332">
        <v>121425</v>
      </c>
      <c r="C4332" t="s">
        <v>189</v>
      </c>
      <c r="D4332" t="s">
        <v>3923</v>
      </c>
      <c r="E4332" s="2">
        <v>25.52</v>
      </c>
    </row>
    <row r="4333" spans="1:5" x14ac:dyDescent="0.25">
      <c r="A4333" s="1">
        <v>43524</v>
      </c>
      <c r="B4333">
        <v>121425</v>
      </c>
      <c r="C4333" t="s">
        <v>189</v>
      </c>
      <c r="D4333" t="s">
        <v>3925</v>
      </c>
      <c r="E4333" s="2">
        <v>29</v>
      </c>
    </row>
    <row r="4334" spans="1:5" x14ac:dyDescent="0.25">
      <c r="A4334" s="1">
        <v>43524</v>
      </c>
      <c r="B4334">
        <v>121425</v>
      </c>
      <c r="C4334" t="s">
        <v>189</v>
      </c>
      <c r="D4334" t="s">
        <v>3919</v>
      </c>
      <c r="E4334" s="2">
        <v>159.5</v>
      </c>
    </row>
    <row r="4335" spans="1:5" x14ac:dyDescent="0.25">
      <c r="A4335" s="1">
        <v>43524</v>
      </c>
      <c r="B4335">
        <v>121425</v>
      </c>
      <c r="C4335" t="s">
        <v>189</v>
      </c>
      <c r="D4335" t="s">
        <v>3918</v>
      </c>
      <c r="E4335" s="2">
        <v>159.5</v>
      </c>
    </row>
    <row r="4336" spans="1:5" x14ac:dyDescent="0.25">
      <c r="A4336" s="1">
        <v>43524</v>
      </c>
      <c r="B4336">
        <v>121425</v>
      </c>
      <c r="C4336" t="s">
        <v>189</v>
      </c>
      <c r="D4336" t="s">
        <v>3926</v>
      </c>
      <c r="E4336" s="2">
        <v>31.16</v>
      </c>
    </row>
    <row r="4337" spans="1:5" x14ac:dyDescent="0.25">
      <c r="A4337" s="1">
        <v>43524</v>
      </c>
      <c r="B4337">
        <v>121425</v>
      </c>
      <c r="C4337" t="s">
        <v>189</v>
      </c>
      <c r="D4337" t="s">
        <v>3927</v>
      </c>
      <c r="E4337" s="2">
        <v>58</v>
      </c>
    </row>
    <row r="4338" spans="1:5" x14ac:dyDescent="0.25">
      <c r="A4338" s="1">
        <v>43524</v>
      </c>
      <c r="B4338">
        <v>121425</v>
      </c>
      <c r="C4338" t="s">
        <v>189</v>
      </c>
      <c r="D4338" t="s">
        <v>3923</v>
      </c>
      <c r="E4338" s="2">
        <v>13.26</v>
      </c>
    </row>
    <row r="4339" spans="1:5" x14ac:dyDescent="0.25">
      <c r="A4339" s="1">
        <v>43524</v>
      </c>
      <c r="B4339">
        <v>121425</v>
      </c>
      <c r="C4339" t="s">
        <v>189</v>
      </c>
      <c r="D4339" t="s">
        <v>3894</v>
      </c>
      <c r="E4339" s="2">
        <v>1938.03</v>
      </c>
    </row>
    <row r="4340" spans="1:5" x14ac:dyDescent="0.25">
      <c r="A4340" s="1">
        <v>43524</v>
      </c>
      <c r="B4340">
        <v>121425</v>
      </c>
      <c r="C4340" t="s">
        <v>189</v>
      </c>
      <c r="D4340" t="s">
        <v>3928</v>
      </c>
      <c r="E4340" s="2">
        <v>3.27</v>
      </c>
    </row>
    <row r="4341" spans="1:5" x14ac:dyDescent="0.25">
      <c r="A4341" s="1">
        <v>43524</v>
      </c>
      <c r="B4341">
        <v>121425</v>
      </c>
      <c r="C4341" t="s">
        <v>189</v>
      </c>
      <c r="D4341" t="s">
        <v>3929</v>
      </c>
      <c r="E4341" s="2">
        <v>540.92999999999995</v>
      </c>
    </row>
    <row r="4342" spans="1:5" x14ac:dyDescent="0.25">
      <c r="A4342" s="1">
        <v>43524</v>
      </c>
      <c r="B4342">
        <v>121425</v>
      </c>
      <c r="C4342" t="s">
        <v>189</v>
      </c>
      <c r="D4342" t="s">
        <v>3269</v>
      </c>
      <c r="E4342" s="2">
        <v>249.99</v>
      </c>
    </row>
    <row r="4343" spans="1:5" x14ac:dyDescent="0.25">
      <c r="A4343" s="1">
        <v>43524</v>
      </c>
      <c r="B4343">
        <v>121425</v>
      </c>
      <c r="C4343" t="s">
        <v>189</v>
      </c>
      <c r="D4343" t="s">
        <v>3930</v>
      </c>
      <c r="E4343" s="2">
        <v>134.15</v>
      </c>
    </row>
    <row r="4344" spans="1:5" x14ac:dyDescent="0.25">
      <c r="A4344" s="1">
        <v>43524</v>
      </c>
      <c r="B4344">
        <v>121425</v>
      </c>
      <c r="C4344" t="s">
        <v>189</v>
      </c>
      <c r="D4344" t="s">
        <v>3923</v>
      </c>
      <c r="E4344" s="2">
        <v>334.28</v>
      </c>
    </row>
    <row r="4345" spans="1:5" x14ac:dyDescent="0.25">
      <c r="A4345" s="1">
        <v>43524</v>
      </c>
      <c r="B4345">
        <v>121425</v>
      </c>
      <c r="C4345" t="s">
        <v>189</v>
      </c>
      <c r="D4345" t="s">
        <v>841</v>
      </c>
      <c r="E4345" s="2">
        <v>79.959999999999994</v>
      </c>
    </row>
    <row r="4346" spans="1:5" x14ac:dyDescent="0.25">
      <c r="A4346" s="1">
        <v>43524</v>
      </c>
      <c r="B4346">
        <v>121425</v>
      </c>
      <c r="C4346" t="s">
        <v>189</v>
      </c>
      <c r="D4346" t="s">
        <v>3906</v>
      </c>
      <c r="E4346" s="2">
        <v>441.1</v>
      </c>
    </row>
    <row r="4347" spans="1:5" x14ac:dyDescent="0.25">
      <c r="A4347" s="1">
        <v>43524</v>
      </c>
      <c r="B4347">
        <v>121425</v>
      </c>
      <c r="C4347" t="s">
        <v>189</v>
      </c>
      <c r="D4347" t="s">
        <v>3931</v>
      </c>
      <c r="E4347" s="2">
        <v>54.51</v>
      </c>
    </row>
    <row r="4348" spans="1:5" x14ac:dyDescent="0.25">
      <c r="A4348" s="1">
        <v>43524</v>
      </c>
      <c r="B4348">
        <v>121425</v>
      </c>
      <c r="C4348" t="s">
        <v>189</v>
      </c>
      <c r="D4348" t="s">
        <v>3925</v>
      </c>
      <c r="E4348" s="2">
        <v>134.55000000000001</v>
      </c>
    </row>
    <row r="4349" spans="1:5" x14ac:dyDescent="0.25">
      <c r="A4349" s="1">
        <v>43524</v>
      </c>
      <c r="B4349">
        <v>121425</v>
      </c>
      <c r="C4349" t="s">
        <v>189</v>
      </c>
      <c r="D4349" t="s">
        <v>3932</v>
      </c>
      <c r="E4349" s="2">
        <v>177.97</v>
      </c>
    </row>
    <row r="4350" spans="1:5" x14ac:dyDescent="0.25">
      <c r="A4350" s="1">
        <v>43524</v>
      </c>
      <c r="B4350">
        <v>121425</v>
      </c>
      <c r="C4350" t="s">
        <v>189</v>
      </c>
      <c r="D4350" t="s">
        <v>3933</v>
      </c>
      <c r="E4350" s="2">
        <v>19.91</v>
      </c>
    </row>
    <row r="4351" spans="1:5" x14ac:dyDescent="0.25">
      <c r="A4351" s="1">
        <v>43524</v>
      </c>
      <c r="B4351">
        <v>121425</v>
      </c>
      <c r="C4351" t="s">
        <v>189</v>
      </c>
      <c r="D4351" t="s">
        <v>3934</v>
      </c>
      <c r="E4351" s="2">
        <v>23.79</v>
      </c>
    </row>
    <row r="4352" spans="1:5" x14ac:dyDescent="0.25">
      <c r="A4352" s="1">
        <v>43524</v>
      </c>
      <c r="B4352">
        <v>121425</v>
      </c>
      <c r="C4352" t="s">
        <v>189</v>
      </c>
      <c r="D4352" t="s">
        <v>3935</v>
      </c>
      <c r="E4352" s="2">
        <v>4.8899999999999997</v>
      </c>
    </row>
    <row r="4353" spans="1:5" x14ac:dyDescent="0.25">
      <c r="A4353" s="1">
        <v>43524</v>
      </c>
      <c r="B4353">
        <v>121425</v>
      </c>
      <c r="C4353" t="s">
        <v>189</v>
      </c>
      <c r="D4353" t="s">
        <v>3936</v>
      </c>
      <c r="E4353" s="2">
        <v>18.7</v>
      </c>
    </row>
    <row r="4354" spans="1:5" x14ac:dyDescent="0.25">
      <c r="A4354" s="1">
        <v>43524</v>
      </c>
      <c r="B4354">
        <v>121425</v>
      </c>
      <c r="C4354" t="s">
        <v>189</v>
      </c>
      <c r="D4354" t="s">
        <v>3937</v>
      </c>
      <c r="E4354" s="2">
        <v>14.87</v>
      </c>
    </row>
    <row r="4355" spans="1:5" x14ac:dyDescent="0.25">
      <c r="A4355" s="1">
        <v>43524</v>
      </c>
      <c r="B4355">
        <v>121425</v>
      </c>
      <c r="C4355" t="s">
        <v>189</v>
      </c>
      <c r="D4355" t="s">
        <v>3938</v>
      </c>
      <c r="E4355" s="2">
        <v>28.51</v>
      </c>
    </row>
    <row r="4356" spans="1:5" x14ac:dyDescent="0.25">
      <c r="A4356" s="1">
        <v>43524</v>
      </c>
      <c r="B4356">
        <v>121425</v>
      </c>
      <c r="C4356" t="s">
        <v>189</v>
      </c>
      <c r="D4356" t="s">
        <v>3939</v>
      </c>
      <c r="E4356" s="2">
        <v>94.94</v>
      </c>
    </row>
    <row r="4357" spans="1:5" x14ac:dyDescent="0.25">
      <c r="A4357" s="1">
        <v>43524</v>
      </c>
      <c r="B4357">
        <v>121425</v>
      </c>
      <c r="C4357" t="s">
        <v>189</v>
      </c>
      <c r="D4357" t="s">
        <v>3928</v>
      </c>
      <c r="E4357" s="2">
        <v>125.94</v>
      </c>
    </row>
    <row r="4358" spans="1:5" x14ac:dyDescent="0.25">
      <c r="A4358" s="1">
        <v>43524</v>
      </c>
      <c r="B4358">
        <v>121425</v>
      </c>
      <c r="C4358" t="s">
        <v>189</v>
      </c>
      <c r="D4358" t="s">
        <v>3940</v>
      </c>
      <c r="E4358" s="2">
        <v>322.58999999999997</v>
      </c>
    </row>
    <row r="4359" spans="1:5" x14ac:dyDescent="0.25">
      <c r="A4359" s="1">
        <v>43524</v>
      </c>
      <c r="B4359">
        <v>121425</v>
      </c>
      <c r="C4359" t="s">
        <v>189</v>
      </c>
      <c r="D4359" t="s">
        <v>3941</v>
      </c>
      <c r="E4359" s="2">
        <v>27.84</v>
      </c>
    </row>
    <row r="4360" spans="1:5" x14ac:dyDescent="0.25">
      <c r="A4360" s="1">
        <v>43524</v>
      </c>
      <c r="B4360">
        <v>121425</v>
      </c>
      <c r="C4360" t="s">
        <v>189</v>
      </c>
      <c r="D4360" t="s">
        <v>3934</v>
      </c>
      <c r="E4360" s="2">
        <v>158.72999999999999</v>
      </c>
    </row>
    <row r="4361" spans="1:5" x14ac:dyDescent="0.25">
      <c r="A4361" s="1">
        <v>43524</v>
      </c>
      <c r="B4361">
        <v>121425</v>
      </c>
      <c r="C4361" t="s">
        <v>189</v>
      </c>
      <c r="D4361" t="s">
        <v>3931</v>
      </c>
      <c r="E4361" s="2">
        <v>386</v>
      </c>
    </row>
    <row r="4362" spans="1:5" x14ac:dyDescent="0.25">
      <c r="A4362" s="1">
        <v>43524</v>
      </c>
      <c r="B4362">
        <v>121425</v>
      </c>
      <c r="C4362" t="s">
        <v>189</v>
      </c>
      <c r="D4362" t="s">
        <v>3942</v>
      </c>
      <c r="E4362" s="2">
        <v>118.07</v>
      </c>
    </row>
    <row r="4363" spans="1:5" x14ac:dyDescent="0.25">
      <c r="A4363" s="1">
        <v>43524</v>
      </c>
      <c r="B4363">
        <v>121425</v>
      </c>
      <c r="C4363" t="s">
        <v>189</v>
      </c>
      <c r="D4363" t="s">
        <v>3908</v>
      </c>
      <c r="E4363" s="2">
        <v>1634.61</v>
      </c>
    </row>
    <row r="4364" spans="1:5" x14ac:dyDescent="0.25">
      <c r="A4364" s="1">
        <v>43524</v>
      </c>
      <c r="B4364">
        <v>121425</v>
      </c>
      <c r="C4364" t="s">
        <v>189</v>
      </c>
      <c r="D4364" t="s">
        <v>3937</v>
      </c>
      <c r="E4364" s="2">
        <v>147.97</v>
      </c>
    </row>
    <row r="4365" spans="1:5" x14ac:dyDescent="0.25">
      <c r="A4365" s="1">
        <v>43524</v>
      </c>
      <c r="B4365">
        <v>121425</v>
      </c>
      <c r="C4365" t="s">
        <v>189</v>
      </c>
      <c r="D4365" t="s">
        <v>3926</v>
      </c>
      <c r="E4365" s="2">
        <v>491.62</v>
      </c>
    </row>
    <row r="4366" spans="1:5" x14ac:dyDescent="0.25">
      <c r="A4366" s="1">
        <v>43524</v>
      </c>
      <c r="B4366">
        <v>121425</v>
      </c>
      <c r="C4366" t="s">
        <v>189</v>
      </c>
      <c r="D4366" t="s">
        <v>3943</v>
      </c>
      <c r="E4366" s="2">
        <v>258.18</v>
      </c>
    </row>
    <row r="4367" spans="1:5" x14ac:dyDescent="0.25">
      <c r="A4367" s="1">
        <v>43524</v>
      </c>
      <c r="B4367">
        <v>121425</v>
      </c>
      <c r="C4367" t="s">
        <v>189</v>
      </c>
      <c r="D4367" t="s">
        <v>3944</v>
      </c>
      <c r="E4367" s="2">
        <v>22.1</v>
      </c>
    </row>
    <row r="4368" spans="1:5" x14ac:dyDescent="0.25">
      <c r="A4368" s="1">
        <v>43524</v>
      </c>
      <c r="B4368">
        <v>121425</v>
      </c>
      <c r="C4368" t="s">
        <v>189</v>
      </c>
      <c r="D4368" t="s">
        <v>3945</v>
      </c>
      <c r="E4368" s="2">
        <v>16.98</v>
      </c>
    </row>
    <row r="4369" spans="1:5" x14ac:dyDescent="0.25">
      <c r="A4369" s="1">
        <v>43524</v>
      </c>
      <c r="B4369">
        <v>121425</v>
      </c>
      <c r="C4369" t="s">
        <v>189</v>
      </c>
      <c r="D4369" t="s">
        <v>228</v>
      </c>
      <c r="E4369" s="2">
        <v>14.99</v>
      </c>
    </row>
    <row r="4370" spans="1:5" x14ac:dyDescent="0.25">
      <c r="A4370" s="1">
        <v>43524</v>
      </c>
      <c r="B4370">
        <v>121425</v>
      </c>
      <c r="C4370" t="s">
        <v>189</v>
      </c>
      <c r="D4370" t="s">
        <v>3946</v>
      </c>
      <c r="E4370" s="2">
        <v>46.78</v>
      </c>
    </row>
    <row r="4371" spans="1:5" x14ac:dyDescent="0.25">
      <c r="A4371" s="1">
        <v>43524</v>
      </c>
      <c r="B4371">
        <v>121425</v>
      </c>
      <c r="C4371" t="s">
        <v>189</v>
      </c>
      <c r="D4371" t="s">
        <v>3945</v>
      </c>
      <c r="E4371" s="2">
        <v>80.040000000000006</v>
      </c>
    </row>
    <row r="4372" spans="1:5" x14ac:dyDescent="0.25">
      <c r="A4372" s="1">
        <v>43524</v>
      </c>
      <c r="B4372">
        <v>121425</v>
      </c>
      <c r="C4372" t="s">
        <v>189</v>
      </c>
      <c r="D4372" t="s">
        <v>3947</v>
      </c>
      <c r="E4372" s="2">
        <v>85.14</v>
      </c>
    </row>
    <row r="4373" spans="1:5" x14ac:dyDescent="0.25">
      <c r="A4373" s="1">
        <v>43524</v>
      </c>
      <c r="B4373">
        <v>121425</v>
      </c>
      <c r="C4373" t="s">
        <v>189</v>
      </c>
      <c r="D4373" t="s">
        <v>3948</v>
      </c>
      <c r="E4373" s="2">
        <v>118</v>
      </c>
    </row>
    <row r="4374" spans="1:5" x14ac:dyDescent="0.25">
      <c r="A4374" s="1">
        <v>43524</v>
      </c>
      <c r="B4374">
        <v>121425</v>
      </c>
      <c r="C4374" t="s">
        <v>189</v>
      </c>
      <c r="D4374" t="s">
        <v>3517</v>
      </c>
      <c r="E4374" s="2">
        <v>17.97</v>
      </c>
    </row>
    <row r="4375" spans="1:5" x14ac:dyDescent="0.25">
      <c r="A4375" s="1">
        <v>43524</v>
      </c>
      <c r="B4375">
        <v>121425</v>
      </c>
      <c r="C4375" t="s">
        <v>189</v>
      </c>
      <c r="D4375" t="s">
        <v>3923</v>
      </c>
      <c r="E4375" s="2">
        <v>52.41</v>
      </c>
    </row>
    <row r="4376" spans="1:5" x14ac:dyDescent="0.25">
      <c r="A4376" s="1">
        <v>43524</v>
      </c>
      <c r="B4376">
        <v>121425</v>
      </c>
      <c r="C4376" t="s">
        <v>189</v>
      </c>
      <c r="D4376" t="s">
        <v>3517</v>
      </c>
      <c r="E4376" s="2">
        <v>44.95</v>
      </c>
    </row>
    <row r="4377" spans="1:5" x14ac:dyDescent="0.25">
      <c r="A4377" s="1">
        <v>43524</v>
      </c>
      <c r="B4377">
        <v>121425</v>
      </c>
      <c r="C4377" t="s">
        <v>189</v>
      </c>
      <c r="D4377" t="s">
        <v>3949</v>
      </c>
      <c r="E4377" s="2">
        <v>229.08</v>
      </c>
    </row>
    <row r="4378" spans="1:5" x14ac:dyDescent="0.25">
      <c r="A4378" s="1">
        <v>43524</v>
      </c>
      <c r="B4378">
        <v>121425</v>
      </c>
      <c r="C4378" t="s">
        <v>189</v>
      </c>
      <c r="D4378" t="s">
        <v>3933</v>
      </c>
      <c r="E4378" s="2">
        <v>186</v>
      </c>
    </row>
    <row r="4379" spans="1:5" x14ac:dyDescent="0.25">
      <c r="A4379" s="1">
        <v>43524</v>
      </c>
      <c r="B4379">
        <v>121425</v>
      </c>
      <c r="C4379" t="s">
        <v>189</v>
      </c>
      <c r="D4379" t="s">
        <v>3944</v>
      </c>
      <c r="E4379" s="2">
        <v>119.47</v>
      </c>
    </row>
    <row r="4380" spans="1:5" x14ac:dyDescent="0.25">
      <c r="A4380" s="1">
        <v>43524</v>
      </c>
      <c r="B4380">
        <v>121425</v>
      </c>
      <c r="C4380" t="s">
        <v>189</v>
      </c>
      <c r="D4380" t="s">
        <v>3900</v>
      </c>
      <c r="E4380" s="2">
        <v>294.20999999999998</v>
      </c>
    </row>
    <row r="4381" spans="1:5" x14ac:dyDescent="0.25">
      <c r="A4381" s="1">
        <v>43524</v>
      </c>
      <c r="B4381">
        <v>121425</v>
      </c>
      <c r="C4381" t="s">
        <v>189</v>
      </c>
      <c r="D4381" t="s">
        <v>3950</v>
      </c>
      <c r="E4381" s="2">
        <v>94.75</v>
      </c>
    </row>
    <row r="4382" spans="1:5" x14ac:dyDescent="0.25">
      <c r="A4382" s="1">
        <v>43524</v>
      </c>
      <c r="B4382">
        <v>121425</v>
      </c>
      <c r="C4382" t="s">
        <v>189</v>
      </c>
      <c r="D4382" t="s">
        <v>3517</v>
      </c>
      <c r="E4382" s="2">
        <v>50.9</v>
      </c>
    </row>
    <row r="4383" spans="1:5" x14ac:dyDescent="0.25">
      <c r="A4383" s="1">
        <v>43524</v>
      </c>
      <c r="B4383">
        <v>121425</v>
      </c>
      <c r="C4383" t="s">
        <v>189</v>
      </c>
      <c r="D4383" t="s">
        <v>3951</v>
      </c>
      <c r="E4383" s="2">
        <v>28.9</v>
      </c>
    </row>
    <row r="4384" spans="1:5" x14ac:dyDescent="0.25">
      <c r="A4384" s="1">
        <v>43524</v>
      </c>
      <c r="B4384">
        <v>121425</v>
      </c>
      <c r="C4384" t="s">
        <v>189</v>
      </c>
      <c r="D4384" t="s">
        <v>3951</v>
      </c>
      <c r="E4384" s="2">
        <v>16.41</v>
      </c>
    </row>
    <row r="4385" spans="1:5" x14ac:dyDescent="0.25">
      <c r="A4385" s="1">
        <v>43524</v>
      </c>
      <c r="B4385">
        <v>121425</v>
      </c>
      <c r="C4385" t="s">
        <v>189</v>
      </c>
      <c r="D4385" t="s">
        <v>3952</v>
      </c>
      <c r="E4385" s="2">
        <v>213</v>
      </c>
    </row>
    <row r="4386" spans="1:5" x14ac:dyDescent="0.25">
      <c r="A4386" s="1">
        <v>43524</v>
      </c>
      <c r="B4386">
        <v>121425</v>
      </c>
      <c r="C4386" t="s">
        <v>189</v>
      </c>
      <c r="D4386" t="s">
        <v>3953</v>
      </c>
      <c r="E4386" s="2">
        <v>51.13</v>
      </c>
    </row>
    <row r="4387" spans="1:5" x14ac:dyDescent="0.25">
      <c r="A4387" s="1">
        <v>43524</v>
      </c>
      <c r="B4387">
        <v>121425</v>
      </c>
      <c r="C4387" t="s">
        <v>189</v>
      </c>
      <c r="D4387" t="s">
        <v>3954</v>
      </c>
      <c r="E4387" s="2">
        <v>6.75</v>
      </c>
    </row>
    <row r="4388" spans="1:5" x14ac:dyDescent="0.25">
      <c r="A4388" s="1">
        <v>43524</v>
      </c>
      <c r="B4388">
        <v>121425</v>
      </c>
      <c r="C4388" t="s">
        <v>189</v>
      </c>
      <c r="D4388" t="s">
        <v>3955</v>
      </c>
      <c r="E4388" s="2">
        <v>14.09</v>
      </c>
    </row>
    <row r="4389" spans="1:5" x14ac:dyDescent="0.25">
      <c r="A4389" s="1">
        <v>43524</v>
      </c>
      <c r="B4389">
        <v>121425</v>
      </c>
      <c r="C4389" t="s">
        <v>189</v>
      </c>
      <c r="D4389" t="s">
        <v>3503</v>
      </c>
      <c r="E4389" s="2">
        <v>52.96</v>
      </c>
    </row>
    <row r="4390" spans="1:5" x14ac:dyDescent="0.25">
      <c r="A4390" s="1">
        <v>43524</v>
      </c>
      <c r="B4390">
        <v>121425</v>
      </c>
      <c r="C4390" t="s">
        <v>189</v>
      </c>
      <c r="D4390" t="s">
        <v>3956</v>
      </c>
      <c r="E4390" s="2">
        <v>38.99</v>
      </c>
    </row>
    <row r="4391" spans="1:5" x14ac:dyDescent="0.25">
      <c r="A4391" s="1">
        <v>43524</v>
      </c>
      <c r="B4391">
        <v>121425</v>
      </c>
      <c r="C4391" t="s">
        <v>189</v>
      </c>
      <c r="D4391" t="s">
        <v>3957</v>
      </c>
      <c r="E4391" s="2">
        <v>151.19999999999999</v>
      </c>
    </row>
    <row r="4392" spans="1:5" x14ac:dyDescent="0.25">
      <c r="A4392" s="1">
        <v>43524</v>
      </c>
      <c r="B4392">
        <v>121425</v>
      </c>
      <c r="C4392" t="s">
        <v>189</v>
      </c>
      <c r="D4392" t="s">
        <v>3081</v>
      </c>
      <c r="E4392" s="2">
        <v>39.07</v>
      </c>
    </row>
    <row r="4393" spans="1:5" x14ac:dyDescent="0.25">
      <c r="A4393" s="1">
        <v>43524</v>
      </c>
      <c r="B4393">
        <v>121425</v>
      </c>
      <c r="C4393" t="s">
        <v>189</v>
      </c>
      <c r="D4393" t="s">
        <v>3958</v>
      </c>
      <c r="E4393" s="2">
        <v>7.02</v>
      </c>
    </row>
    <row r="4394" spans="1:5" x14ac:dyDescent="0.25">
      <c r="A4394" s="1">
        <v>43524</v>
      </c>
      <c r="B4394">
        <v>121425</v>
      </c>
      <c r="C4394" t="s">
        <v>189</v>
      </c>
      <c r="D4394" t="s">
        <v>3956</v>
      </c>
      <c r="E4394" s="2">
        <v>76.98</v>
      </c>
    </row>
    <row r="4395" spans="1:5" x14ac:dyDescent="0.25">
      <c r="A4395" s="1">
        <v>43524</v>
      </c>
      <c r="B4395">
        <v>121425</v>
      </c>
      <c r="C4395" t="s">
        <v>189</v>
      </c>
      <c r="D4395" t="s">
        <v>3955</v>
      </c>
      <c r="E4395" s="2">
        <v>89.51</v>
      </c>
    </row>
    <row r="4396" spans="1:5" x14ac:dyDescent="0.25">
      <c r="A4396" s="1">
        <v>43524</v>
      </c>
      <c r="B4396">
        <v>121425</v>
      </c>
      <c r="C4396" t="s">
        <v>189</v>
      </c>
      <c r="D4396" t="s">
        <v>3956</v>
      </c>
      <c r="E4396" s="2">
        <v>204.46</v>
      </c>
    </row>
    <row r="4397" spans="1:5" x14ac:dyDescent="0.25">
      <c r="A4397" s="1">
        <v>43524</v>
      </c>
      <c r="B4397">
        <v>121425</v>
      </c>
      <c r="C4397" t="s">
        <v>189</v>
      </c>
      <c r="D4397" t="s">
        <v>3959</v>
      </c>
      <c r="E4397" s="2">
        <v>35.479999999999997</v>
      </c>
    </row>
    <row r="4398" spans="1:5" x14ac:dyDescent="0.25">
      <c r="A4398" s="1">
        <v>43524</v>
      </c>
      <c r="B4398">
        <v>121425</v>
      </c>
      <c r="C4398" t="s">
        <v>189</v>
      </c>
      <c r="D4398" t="s">
        <v>3960</v>
      </c>
      <c r="E4398" s="2">
        <v>41.96</v>
      </c>
    </row>
    <row r="4399" spans="1:5" x14ac:dyDescent="0.25">
      <c r="A4399" s="1">
        <v>43524</v>
      </c>
      <c r="B4399">
        <v>121425</v>
      </c>
      <c r="C4399" t="s">
        <v>189</v>
      </c>
      <c r="D4399" t="s">
        <v>3959</v>
      </c>
      <c r="E4399" s="2">
        <v>56.98</v>
      </c>
    </row>
    <row r="4400" spans="1:5" x14ac:dyDescent="0.25">
      <c r="A4400" s="1">
        <v>43524</v>
      </c>
      <c r="B4400">
        <v>121425</v>
      </c>
      <c r="C4400" t="s">
        <v>189</v>
      </c>
      <c r="D4400" t="s">
        <v>3959</v>
      </c>
      <c r="E4400" s="2">
        <v>60.18</v>
      </c>
    </row>
    <row r="4401" spans="1:5" x14ac:dyDescent="0.25">
      <c r="A4401" s="1">
        <v>43524</v>
      </c>
      <c r="B4401">
        <v>121425</v>
      </c>
      <c r="C4401" t="s">
        <v>189</v>
      </c>
      <c r="D4401" t="s">
        <v>3961</v>
      </c>
      <c r="E4401" s="2">
        <v>13.38</v>
      </c>
    </row>
    <row r="4402" spans="1:5" x14ac:dyDescent="0.25">
      <c r="A4402" s="1">
        <v>43524</v>
      </c>
      <c r="B4402">
        <v>121425</v>
      </c>
      <c r="C4402" t="s">
        <v>189</v>
      </c>
      <c r="D4402" t="s">
        <v>3962</v>
      </c>
      <c r="E4402" s="2">
        <v>31.72</v>
      </c>
    </row>
    <row r="4403" spans="1:5" x14ac:dyDescent="0.25">
      <c r="A4403" s="1">
        <v>43524</v>
      </c>
      <c r="B4403">
        <v>121425</v>
      </c>
      <c r="C4403" t="s">
        <v>189</v>
      </c>
      <c r="D4403" t="s">
        <v>3961</v>
      </c>
      <c r="E4403" s="2">
        <v>352.95</v>
      </c>
    </row>
    <row r="4404" spans="1:5" x14ac:dyDescent="0.25">
      <c r="A4404" s="1">
        <v>43524</v>
      </c>
      <c r="B4404">
        <v>121425</v>
      </c>
      <c r="C4404" t="s">
        <v>189</v>
      </c>
      <c r="D4404" t="s">
        <v>3963</v>
      </c>
      <c r="E4404" s="2">
        <v>36.659999999999997</v>
      </c>
    </row>
    <row r="4405" spans="1:5" x14ac:dyDescent="0.25">
      <c r="A4405" s="1">
        <v>43524</v>
      </c>
      <c r="B4405">
        <v>121425</v>
      </c>
      <c r="C4405" t="s">
        <v>189</v>
      </c>
      <c r="D4405" t="s">
        <v>3964</v>
      </c>
      <c r="E4405" s="2">
        <v>69.95</v>
      </c>
    </row>
    <row r="4406" spans="1:5" x14ac:dyDescent="0.25">
      <c r="A4406" s="1">
        <v>43524</v>
      </c>
      <c r="B4406">
        <v>121425</v>
      </c>
      <c r="C4406" t="s">
        <v>189</v>
      </c>
      <c r="D4406" t="s">
        <v>3965</v>
      </c>
      <c r="E4406" s="2">
        <v>4.16</v>
      </c>
    </row>
    <row r="4407" spans="1:5" x14ac:dyDescent="0.25">
      <c r="A4407" s="1">
        <v>43524</v>
      </c>
      <c r="B4407">
        <v>121425</v>
      </c>
      <c r="C4407" t="s">
        <v>189</v>
      </c>
      <c r="D4407" t="s">
        <v>3964</v>
      </c>
      <c r="E4407" s="2">
        <v>105.52</v>
      </c>
    </row>
    <row r="4408" spans="1:5" x14ac:dyDescent="0.25">
      <c r="A4408" s="1">
        <v>43524</v>
      </c>
      <c r="B4408">
        <v>121425</v>
      </c>
      <c r="C4408" t="s">
        <v>189</v>
      </c>
      <c r="D4408" t="s">
        <v>3963</v>
      </c>
      <c r="E4408" s="2">
        <v>6</v>
      </c>
    </row>
    <row r="4409" spans="1:5" x14ac:dyDescent="0.25">
      <c r="A4409" s="1">
        <v>43524</v>
      </c>
      <c r="B4409">
        <v>121425</v>
      </c>
      <c r="C4409" t="s">
        <v>189</v>
      </c>
      <c r="D4409" t="s">
        <v>3960</v>
      </c>
      <c r="E4409" s="2">
        <v>300</v>
      </c>
    </row>
    <row r="4410" spans="1:5" x14ac:dyDescent="0.25">
      <c r="A4410" s="1">
        <v>43524</v>
      </c>
      <c r="B4410">
        <v>121425</v>
      </c>
      <c r="C4410" t="s">
        <v>189</v>
      </c>
      <c r="D4410" t="s">
        <v>3952</v>
      </c>
      <c r="E4410" s="2">
        <v>567.96</v>
      </c>
    </row>
    <row r="4411" spans="1:5" x14ac:dyDescent="0.25">
      <c r="A4411" s="1">
        <v>43524</v>
      </c>
      <c r="B4411">
        <v>121425</v>
      </c>
      <c r="C4411" t="s">
        <v>189</v>
      </c>
      <c r="D4411" t="s">
        <v>3960</v>
      </c>
      <c r="E4411" s="2">
        <v>7</v>
      </c>
    </row>
    <row r="4412" spans="1:5" x14ac:dyDescent="0.25">
      <c r="A4412" s="1">
        <v>43524</v>
      </c>
      <c r="B4412">
        <v>121425</v>
      </c>
      <c r="C4412" t="s">
        <v>189</v>
      </c>
      <c r="D4412" t="s">
        <v>3966</v>
      </c>
      <c r="E4412" s="2">
        <v>101.34</v>
      </c>
    </row>
    <row r="4413" spans="1:5" x14ac:dyDescent="0.25">
      <c r="A4413" s="1">
        <v>43524</v>
      </c>
      <c r="B4413">
        <v>121425</v>
      </c>
      <c r="C4413" t="s">
        <v>189</v>
      </c>
      <c r="D4413" t="s">
        <v>3959</v>
      </c>
      <c r="E4413" s="2">
        <v>55.68</v>
      </c>
    </row>
    <row r="4414" spans="1:5" x14ac:dyDescent="0.25">
      <c r="A4414" s="1">
        <v>43524</v>
      </c>
      <c r="B4414">
        <v>121425</v>
      </c>
      <c r="C4414" t="s">
        <v>189</v>
      </c>
      <c r="D4414" t="s">
        <v>3959</v>
      </c>
      <c r="E4414" s="2">
        <v>38.25</v>
      </c>
    </row>
    <row r="4415" spans="1:5" x14ac:dyDescent="0.25">
      <c r="A4415" s="1">
        <v>43524</v>
      </c>
      <c r="B4415">
        <v>121425</v>
      </c>
      <c r="C4415" t="s">
        <v>189</v>
      </c>
      <c r="D4415" t="s">
        <v>3954</v>
      </c>
      <c r="E4415" s="2">
        <v>150.38999999999999</v>
      </c>
    </row>
    <row r="4416" spans="1:5" x14ac:dyDescent="0.25">
      <c r="A4416" s="1">
        <v>43524</v>
      </c>
      <c r="B4416">
        <v>121425</v>
      </c>
      <c r="C4416" t="s">
        <v>189</v>
      </c>
      <c r="D4416" t="s">
        <v>3967</v>
      </c>
      <c r="E4416" s="2">
        <v>559.99</v>
      </c>
    </row>
    <row r="4417" spans="1:5" x14ac:dyDescent="0.25">
      <c r="A4417" s="1">
        <v>43524</v>
      </c>
      <c r="B4417">
        <v>121425</v>
      </c>
      <c r="C4417" t="s">
        <v>189</v>
      </c>
      <c r="D4417" t="s">
        <v>3968</v>
      </c>
      <c r="E4417" s="2">
        <v>23.98</v>
      </c>
    </row>
    <row r="4418" spans="1:5" x14ac:dyDescent="0.25">
      <c r="A4418" s="1">
        <v>43524</v>
      </c>
      <c r="B4418">
        <v>121425</v>
      </c>
      <c r="C4418" t="s">
        <v>189</v>
      </c>
      <c r="D4418" t="s">
        <v>3965</v>
      </c>
      <c r="E4418" s="2">
        <v>51.56</v>
      </c>
    </row>
    <row r="4419" spans="1:5" x14ac:dyDescent="0.25">
      <c r="A4419" s="1">
        <v>43524</v>
      </c>
      <c r="B4419">
        <v>121425</v>
      </c>
      <c r="C4419" t="s">
        <v>189</v>
      </c>
      <c r="D4419" t="s">
        <v>3960</v>
      </c>
      <c r="E4419" s="2">
        <v>750.03</v>
      </c>
    </row>
    <row r="4420" spans="1:5" x14ac:dyDescent="0.25">
      <c r="A4420" s="1">
        <v>43524</v>
      </c>
      <c r="B4420">
        <v>121425</v>
      </c>
      <c r="C4420" t="s">
        <v>189</v>
      </c>
      <c r="D4420" t="s">
        <v>3960</v>
      </c>
      <c r="E4420" s="2">
        <v>94.26</v>
      </c>
    </row>
    <row r="4421" spans="1:5" x14ac:dyDescent="0.25">
      <c r="A4421" s="1">
        <v>43524</v>
      </c>
      <c r="B4421">
        <v>121425</v>
      </c>
      <c r="C4421" t="s">
        <v>189</v>
      </c>
      <c r="D4421" t="s">
        <v>3960</v>
      </c>
      <c r="E4421" s="2">
        <v>453.64</v>
      </c>
    </row>
    <row r="4422" spans="1:5" x14ac:dyDescent="0.25">
      <c r="A4422" s="1">
        <v>43524</v>
      </c>
      <c r="B4422">
        <v>121425</v>
      </c>
      <c r="C4422" t="s">
        <v>189</v>
      </c>
      <c r="D4422" t="s">
        <v>3963</v>
      </c>
      <c r="E4422" s="2">
        <v>217.36</v>
      </c>
    </row>
    <row r="4423" spans="1:5" x14ac:dyDescent="0.25">
      <c r="A4423" s="1">
        <v>43524</v>
      </c>
      <c r="B4423">
        <v>121425</v>
      </c>
      <c r="C4423" t="s">
        <v>189</v>
      </c>
      <c r="D4423" t="s">
        <v>3969</v>
      </c>
      <c r="E4423" s="2">
        <v>35.92</v>
      </c>
    </row>
    <row r="4424" spans="1:5" x14ac:dyDescent="0.25">
      <c r="A4424" s="1">
        <v>43524</v>
      </c>
      <c r="B4424">
        <v>121425</v>
      </c>
      <c r="C4424" t="s">
        <v>189</v>
      </c>
      <c r="D4424" t="s">
        <v>3960</v>
      </c>
      <c r="E4424" s="2">
        <v>1498</v>
      </c>
    </row>
    <row r="4425" spans="1:5" x14ac:dyDescent="0.25">
      <c r="A4425" s="1">
        <v>43524</v>
      </c>
      <c r="B4425">
        <v>121425</v>
      </c>
      <c r="C4425" t="s">
        <v>189</v>
      </c>
      <c r="D4425" t="s">
        <v>3970</v>
      </c>
      <c r="E4425" s="2">
        <v>140.55000000000001</v>
      </c>
    </row>
    <row r="4426" spans="1:5" x14ac:dyDescent="0.25">
      <c r="A4426" s="1">
        <v>43524</v>
      </c>
      <c r="B4426">
        <v>121425</v>
      </c>
      <c r="C4426" t="s">
        <v>189</v>
      </c>
      <c r="D4426" t="s">
        <v>3971</v>
      </c>
      <c r="E4426" s="2">
        <v>21.15</v>
      </c>
    </row>
    <row r="4427" spans="1:5" x14ac:dyDescent="0.25">
      <c r="A4427" s="1">
        <v>43524</v>
      </c>
      <c r="B4427">
        <v>121425</v>
      </c>
      <c r="C4427" t="s">
        <v>189</v>
      </c>
      <c r="D4427" t="s">
        <v>3972</v>
      </c>
      <c r="E4427" s="2">
        <v>12.99</v>
      </c>
    </row>
    <row r="4428" spans="1:5" x14ac:dyDescent="0.25">
      <c r="A4428" s="1">
        <v>43524</v>
      </c>
      <c r="B4428">
        <v>121425</v>
      </c>
      <c r="C4428" t="s">
        <v>189</v>
      </c>
      <c r="D4428" t="s">
        <v>3973</v>
      </c>
      <c r="E4428" s="2">
        <v>7.51</v>
      </c>
    </row>
    <row r="4429" spans="1:5" x14ac:dyDescent="0.25">
      <c r="A4429" s="1">
        <v>43524</v>
      </c>
      <c r="B4429">
        <v>121425</v>
      </c>
      <c r="C4429" t="s">
        <v>189</v>
      </c>
      <c r="D4429" t="s">
        <v>3971</v>
      </c>
      <c r="E4429" s="2">
        <v>92.01</v>
      </c>
    </row>
    <row r="4430" spans="1:5" x14ac:dyDescent="0.25">
      <c r="A4430" s="1">
        <v>43524</v>
      </c>
      <c r="B4430">
        <v>121425</v>
      </c>
      <c r="C4430" t="s">
        <v>189</v>
      </c>
      <c r="D4430" t="s">
        <v>3081</v>
      </c>
      <c r="E4430" s="2">
        <v>5.01</v>
      </c>
    </row>
    <row r="4431" spans="1:5" x14ac:dyDescent="0.25">
      <c r="A4431" s="1">
        <v>43524</v>
      </c>
      <c r="B4431">
        <v>121425</v>
      </c>
      <c r="C4431" t="s">
        <v>189</v>
      </c>
      <c r="D4431" t="s">
        <v>3974</v>
      </c>
      <c r="E4431" s="2">
        <v>14.48</v>
      </c>
    </row>
    <row r="4432" spans="1:5" x14ac:dyDescent="0.25">
      <c r="A4432" s="1">
        <v>43524</v>
      </c>
      <c r="B4432">
        <v>121425</v>
      </c>
      <c r="C4432" t="s">
        <v>189</v>
      </c>
      <c r="D4432" t="s">
        <v>3975</v>
      </c>
      <c r="E4432" s="2">
        <v>70.98</v>
      </c>
    </row>
    <row r="4433" spans="1:5" x14ac:dyDescent="0.25">
      <c r="A4433" s="1">
        <v>43524</v>
      </c>
      <c r="B4433">
        <v>121425</v>
      </c>
      <c r="C4433" t="s">
        <v>189</v>
      </c>
      <c r="D4433" t="s">
        <v>3976</v>
      </c>
      <c r="E4433" s="2">
        <v>11.99</v>
      </c>
    </row>
    <row r="4434" spans="1:5" x14ac:dyDescent="0.25">
      <c r="A4434" s="1">
        <v>43524</v>
      </c>
      <c r="B4434">
        <v>121425</v>
      </c>
      <c r="C4434" t="s">
        <v>189</v>
      </c>
      <c r="D4434" t="s">
        <v>3974</v>
      </c>
      <c r="E4434" s="2">
        <v>384.89</v>
      </c>
    </row>
    <row r="4435" spans="1:5" x14ac:dyDescent="0.25">
      <c r="A4435" s="1">
        <v>43524</v>
      </c>
      <c r="B4435">
        <v>121425</v>
      </c>
      <c r="C4435" t="s">
        <v>189</v>
      </c>
      <c r="D4435" t="s">
        <v>3977</v>
      </c>
      <c r="E4435" s="2">
        <v>48.24</v>
      </c>
    </row>
    <row r="4436" spans="1:5" x14ac:dyDescent="0.25">
      <c r="A4436" s="1">
        <v>43524</v>
      </c>
      <c r="B4436">
        <v>121425</v>
      </c>
      <c r="C4436" t="s">
        <v>189</v>
      </c>
      <c r="D4436" t="s">
        <v>3978</v>
      </c>
      <c r="E4436" s="2">
        <v>43.58</v>
      </c>
    </row>
    <row r="4437" spans="1:5" x14ac:dyDescent="0.25">
      <c r="A4437" s="1">
        <v>43524</v>
      </c>
      <c r="B4437">
        <v>121425</v>
      </c>
      <c r="C4437" t="s">
        <v>189</v>
      </c>
      <c r="D4437" t="s">
        <v>3979</v>
      </c>
      <c r="E4437" s="2">
        <v>11.89</v>
      </c>
    </row>
    <row r="4438" spans="1:5" x14ac:dyDescent="0.25">
      <c r="A4438" s="1">
        <v>43524</v>
      </c>
      <c r="B4438">
        <v>121425</v>
      </c>
      <c r="C4438" t="s">
        <v>189</v>
      </c>
      <c r="D4438" t="s">
        <v>3980</v>
      </c>
      <c r="E4438" s="2">
        <v>18</v>
      </c>
    </row>
    <row r="4439" spans="1:5" x14ac:dyDescent="0.25">
      <c r="A4439" s="1">
        <v>43524</v>
      </c>
      <c r="B4439">
        <v>121425</v>
      </c>
      <c r="C4439" t="s">
        <v>189</v>
      </c>
      <c r="D4439" t="s">
        <v>3979</v>
      </c>
      <c r="E4439" s="2">
        <v>19.86</v>
      </c>
    </row>
    <row r="4440" spans="1:5" x14ac:dyDescent="0.25">
      <c r="A4440" s="1">
        <v>43524</v>
      </c>
      <c r="B4440">
        <v>121425</v>
      </c>
      <c r="C4440" t="s">
        <v>189</v>
      </c>
      <c r="D4440" t="s">
        <v>3981</v>
      </c>
      <c r="E4440" s="2">
        <v>133.30000000000001</v>
      </c>
    </row>
    <row r="4441" spans="1:5" x14ac:dyDescent="0.25">
      <c r="A4441" s="1">
        <v>43524</v>
      </c>
      <c r="B4441">
        <v>121425</v>
      </c>
      <c r="C4441" t="s">
        <v>189</v>
      </c>
      <c r="D4441" t="s">
        <v>3982</v>
      </c>
      <c r="E4441" s="2">
        <v>180.91</v>
      </c>
    </row>
    <row r="4442" spans="1:5" x14ac:dyDescent="0.25">
      <c r="A4442" s="1">
        <v>43524</v>
      </c>
      <c r="B4442">
        <v>121425</v>
      </c>
      <c r="C4442" t="s">
        <v>189</v>
      </c>
      <c r="D4442" t="s">
        <v>3978</v>
      </c>
      <c r="E4442" s="2">
        <v>259.95</v>
      </c>
    </row>
    <row r="4443" spans="1:5" x14ac:dyDescent="0.25">
      <c r="A4443" s="1">
        <v>43524</v>
      </c>
      <c r="B4443">
        <v>121425</v>
      </c>
      <c r="C4443" t="s">
        <v>189</v>
      </c>
      <c r="D4443" t="s">
        <v>3983</v>
      </c>
      <c r="E4443" s="2">
        <v>83.11</v>
      </c>
    </row>
    <row r="4444" spans="1:5" x14ac:dyDescent="0.25">
      <c r="A4444" s="1">
        <v>43524</v>
      </c>
      <c r="B4444">
        <v>121425</v>
      </c>
      <c r="C4444" t="s">
        <v>189</v>
      </c>
      <c r="D4444" t="s">
        <v>3980</v>
      </c>
      <c r="E4444" s="2">
        <v>124.97</v>
      </c>
    </row>
    <row r="4445" spans="1:5" x14ac:dyDescent="0.25">
      <c r="A4445" s="1">
        <v>43524</v>
      </c>
      <c r="B4445">
        <v>121425</v>
      </c>
      <c r="C4445" t="s">
        <v>189</v>
      </c>
      <c r="D4445" t="s">
        <v>3984</v>
      </c>
      <c r="E4445" s="2">
        <v>55.48</v>
      </c>
    </row>
    <row r="4446" spans="1:5" x14ac:dyDescent="0.25">
      <c r="A4446" s="1">
        <v>43524</v>
      </c>
      <c r="B4446">
        <v>121425</v>
      </c>
      <c r="C4446" t="s">
        <v>189</v>
      </c>
      <c r="D4446" t="s">
        <v>3985</v>
      </c>
      <c r="E4446" s="2">
        <v>17.420000000000002</v>
      </c>
    </row>
    <row r="4447" spans="1:5" x14ac:dyDescent="0.25">
      <c r="A4447" s="1">
        <v>43524</v>
      </c>
      <c r="B4447">
        <v>121425</v>
      </c>
      <c r="C4447" t="s">
        <v>189</v>
      </c>
      <c r="D4447" t="s">
        <v>3985</v>
      </c>
      <c r="E4447" s="2">
        <v>18.399999999999999</v>
      </c>
    </row>
    <row r="4448" spans="1:5" x14ac:dyDescent="0.25">
      <c r="A4448" s="1">
        <v>43524</v>
      </c>
      <c r="B4448">
        <v>121425</v>
      </c>
      <c r="C4448" t="s">
        <v>189</v>
      </c>
      <c r="D4448" t="s">
        <v>3091</v>
      </c>
      <c r="E4448" s="2">
        <v>48.87</v>
      </c>
    </row>
    <row r="4449" spans="1:5" x14ac:dyDescent="0.25">
      <c r="A4449" s="1">
        <v>43524</v>
      </c>
      <c r="B4449">
        <v>121425</v>
      </c>
      <c r="C4449" t="s">
        <v>189</v>
      </c>
      <c r="D4449" t="s">
        <v>3985</v>
      </c>
      <c r="E4449" s="2">
        <v>209.49</v>
      </c>
    </row>
    <row r="4450" spans="1:5" x14ac:dyDescent="0.25">
      <c r="A4450" s="1">
        <v>43524</v>
      </c>
      <c r="B4450">
        <v>121425</v>
      </c>
      <c r="C4450" t="s">
        <v>189</v>
      </c>
      <c r="D4450" t="s">
        <v>3986</v>
      </c>
      <c r="E4450" s="2">
        <v>79</v>
      </c>
    </row>
    <row r="4451" spans="1:5" x14ac:dyDescent="0.25">
      <c r="A4451" s="1">
        <v>43524</v>
      </c>
      <c r="B4451">
        <v>121425</v>
      </c>
      <c r="C4451" t="s">
        <v>189</v>
      </c>
      <c r="D4451" t="s">
        <v>3987</v>
      </c>
      <c r="E4451" s="2">
        <v>17.48</v>
      </c>
    </row>
    <row r="4452" spans="1:5" x14ac:dyDescent="0.25">
      <c r="A4452" s="1">
        <v>43524</v>
      </c>
      <c r="B4452">
        <v>121425</v>
      </c>
      <c r="C4452" t="s">
        <v>189</v>
      </c>
      <c r="D4452" t="s">
        <v>3988</v>
      </c>
      <c r="E4452" s="2">
        <v>16.170000000000002</v>
      </c>
    </row>
    <row r="4453" spans="1:5" x14ac:dyDescent="0.25">
      <c r="A4453" s="1">
        <v>43524</v>
      </c>
      <c r="B4453">
        <v>121425</v>
      </c>
      <c r="C4453" t="s">
        <v>189</v>
      </c>
      <c r="D4453" t="s">
        <v>764</v>
      </c>
      <c r="E4453" s="3">
        <v>-2.91</v>
      </c>
    </row>
    <row r="4454" spans="1:5" x14ac:dyDescent="0.25">
      <c r="A4454" s="1">
        <v>43524</v>
      </c>
      <c r="B4454">
        <v>121425</v>
      </c>
      <c r="C4454" t="s">
        <v>189</v>
      </c>
      <c r="D4454" t="s">
        <v>764</v>
      </c>
      <c r="E4454" s="3">
        <v>-20.6</v>
      </c>
    </row>
    <row r="4455" spans="1:5" x14ac:dyDescent="0.25">
      <c r="A4455" s="1">
        <v>43524</v>
      </c>
      <c r="B4455">
        <v>121425</v>
      </c>
      <c r="C4455" t="s">
        <v>189</v>
      </c>
      <c r="D4455" t="s">
        <v>764</v>
      </c>
      <c r="E4455" s="3">
        <v>-99.99</v>
      </c>
    </row>
    <row r="4456" spans="1:5" x14ac:dyDescent="0.25">
      <c r="A4456" s="1">
        <v>43524</v>
      </c>
      <c r="B4456">
        <v>121425</v>
      </c>
      <c r="C4456" t="s">
        <v>189</v>
      </c>
      <c r="D4456" t="s">
        <v>764</v>
      </c>
      <c r="E4456" s="3">
        <v>-22.55</v>
      </c>
    </row>
    <row r="4457" spans="1:5" x14ac:dyDescent="0.25">
      <c r="A4457" s="1">
        <v>43524</v>
      </c>
      <c r="B4457">
        <v>121425</v>
      </c>
      <c r="C4457" t="s">
        <v>189</v>
      </c>
      <c r="D4457" t="s">
        <v>3989</v>
      </c>
      <c r="E4457" s="2">
        <v>398.47</v>
      </c>
    </row>
    <row r="4458" spans="1:5" x14ac:dyDescent="0.25">
      <c r="A4458" s="1">
        <v>43524</v>
      </c>
      <c r="B4458">
        <v>121426</v>
      </c>
      <c r="C4458" t="s">
        <v>333</v>
      </c>
      <c r="D4458" t="s">
        <v>3990</v>
      </c>
      <c r="E4458" s="2">
        <v>182.4</v>
      </c>
    </row>
    <row r="4459" spans="1:5" x14ac:dyDescent="0.25">
      <c r="A4459" s="1">
        <v>43524</v>
      </c>
      <c r="B4459">
        <v>121426</v>
      </c>
      <c r="C4459" t="s">
        <v>333</v>
      </c>
      <c r="D4459" t="s">
        <v>3991</v>
      </c>
      <c r="E4459" s="2">
        <v>39.99</v>
      </c>
    </row>
    <row r="4460" spans="1:5" x14ac:dyDescent="0.25">
      <c r="A4460" s="1">
        <v>43524</v>
      </c>
      <c r="B4460">
        <v>121427</v>
      </c>
      <c r="C4460" t="s">
        <v>3992</v>
      </c>
      <c r="D4460" t="s">
        <v>3993</v>
      </c>
      <c r="E4460" s="2">
        <v>246</v>
      </c>
    </row>
    <row r="4461" spans="1:5" x14ac:dyDescent="0.25">
      <c r="A4461" s="1">
        <v>43524</v>
      </c>
      <c r="B4461">
        <v>121428</v>
      </c>
      <c r="C4461" t="s">
        <v>3994</v>
      </c>
      <c r="D4461" t="s">
        <v>3995</v>
      </c>
      <c r="E4461" s="2">
        <v>475</v>
      </c>
    </row>
    <row r="4462" spans="1:5" x14ac:dyDescent="0.25">
      <c r="A4462" s="1">
        <v>43524</v>
      </c>
      <c r="B4462">
        <v>121429</v>
      </c>
      <c r="C4462" t="s">
        <v>3996</v>
      </c>
      <c r="D4462" t="s">
        <v>3997</v>
      </c>
      <c r="E4462" s="2">
        <v>46.85</v>
      </c>
    </row>
    <row r="4463" spans="1:5" x14ac:dyDescent="0.25">
      <c r="A4463" s="1">
        <v>43524</v>
      </c>
      <c r="B4463">
        <v>121430</v>
      </c>
      <c r="C4463" t="s">
        <v>821</v>
      </c>
      <c r="D4463" t="s">
        <v>3998</v>
      </c>
      <c r="E4463" s="2">
        <v>241.64</v>
      </c>
    </row>
    <row r="4464" spans="1:5" x14ac:dyDescent="0.25">
      <c r="A4464" s="1">
        <v>43524</v>
      </c>
      <c r="B4464">
        <v>121431</v>
      </c>
      <c r="C4464" t="s">
        <v>241</v>
      </c>
      <c r="D4464" t="s">
        <v>3430</v>
      </c>
      <c r="E4464" s="2">
        <v>2185</v>
      </c>
    </row>
    <row r="4465" spans="1:5" x14ac:dyDescent="0.25">
      <c r="A4465" s="1">
        <v>43524</v>
      </c>
      <c r="B4465">
        <v>121432</v>
      </c>
      <c r="C4465" t="s">
        <v>3999</v>
      </c>
      <c r="D4465" t="s">
        <v>4000</v>
      </c>
      <c r="E4465" s="2">
        <v>220</v>
      </c>
    </row>
    <row r="4466" spans="1:5" x14ac:dyDescent="0.25">
      <c r="A4466" s="1">
        <v>43524</v>
      </c>
      <c r="B4466">
        <v>121433</v>
      </c>
      <c r="C4466" t="s">
        <v>4001</v>
      </c>
      <c r="D4466" t="s">
        <v>4242</v>
      </c>
      <c r="E4466" s="2">
        <v>3028</v>
      </c>
    </row>
    <row r="4467" spans="1:5" x14ac:dyDescent="0.25">
      <c r="A4467" s="1">
        <v>43524</v>
      </c>
      <c r="B4467">
        <v>121434</v>
      </c>
      <c r="C4467" t="s">
        <v>1156</v>
      </c>
      <c r="D4467" t="s">
        <v>4243</v>
      </c>
      <c r="E4467" s="2">
        <v>25.89</v>
      </c>
    </row>
    <row r="4468" spans="1:5" x14ac:dyDescent="0.25">
      <c r="A4468" s="1">
        <v>43524</v>
      </c>
      <c r="B4468">
        <v>121434</v>
      </c>
      <c r="C4468" t="s">
        <v>1156</v>
      </c>
      <c r="D4468" t="s">
        <v>4244</v>
      </c>
      <c r="E4468" s="2">
        <v>736.46</v>
      </c>
    </row>
    <row r="4469" spans="1:5" x14ac:dyDescent="0.25">
      <c r="A4469" s="1">
        <v>43524</v>
      </c>
      <c r="B4469">
        <v>121434</v>
      </c>
      <c r="C4469" t="s">
        <v>1156</v>
      </c>
      <c r="D4469" t="s">
        <v>4245</v>
      </c>
      <c r="E4469" s="2">
        <v>269.73</v>
      </c>
    </row>
    <row r="4470" spans="1:5" x14ac:dyDescent="0.25">
      <c r="A4470" s="1">
        <v>43524</v>
      </c>
      <c r="B4470">
        <v>121435</v>
      </c>
      <c r="C4470" t="s">
        <v>2886</v>
      </c>
      <c r="D4470" t="s">
        <v>4002</v>
      </c>
      <c r="E4470" s="2">
        <v>802.5</v>
      </c>
    </row>
    <row r="4471" spans="1:5" x14ac:dyDescent="0.25">
      <c r="A4471" s="1">
        <v>43524</v>
      </c>
      <c r="B4471">
        <v>121437</v>
      </c>
      <c r="C4471" t="s">
        <v>662</v>
      </c>
      <c r="D4471" t="s">
        <v>4003</v>
      </c>
      <c r="E4471" s="2">
        <v>450</v>
      </c>
    </row>
    <row r="4472" spans="1:5" x14ac:dyDescent="0.25">
      <c r="A4472" s="1">
        <v>43524</v>
      </c>
      <c r="B4472">
        <v>121437</v>
      </c>
      <c r="C4472" t="s">
        <v>662</v>
      </c>
      <c r="D4472" t="s">
        <v>4004</v>
      </c>
      <c r="E4472" s="2">
        <v>122.55</v>
      </c>
    </row>
    <row r="4473" spans="1:5" x14ac:dyDescent="0.25">
      <c r="A4473" s="1">
        <v>43524</v>
      </c>
      <c r="B4473">
        <v>121437</v>
      </c>
      <c r="C4473" t="s">
        <v>662</v>
      </c>
      <c r="D4473" t="s">
        <v>4005</v>
      </c>
      <c r="E4473" s="2">
        <v>800</v>
      </c>
    </row>
    <row r="4474" spans="1:5" x14ac:dyDescent="0.25">
      <c r="A4474" s="1">
        <v>43524</v>
      </c>
      <c r="B4474">
        <v>121437</v>
      </c>
      <c r="C4474" t="s">
        <v>662</v>
      </c>
      <c r="D4474" t="s">
        <v>4006</v>
      </c>
      <c r="E4474" s="2">
        <v>327.42</v>
      </c>
    </row>
    <row r="4475" spans="1:5" x14ac:dyDescent="0.25">
      <c r="A4475" s="1">
        <v>43524</v>
      </c>
      <c r="B4475">
        <v>121437</v>
      </c>
      <c r="C4475" t="s">
        <v>662</v>
      </c>
      <c r="D4475" t="s">
        <v>4007</v>
      </c>
      <c r="E4475" s="2">
        <v>400</v>
      </c>
    </row>
    <row r="4476" spans="1:5" x14ac:dyDescent="0.25">
      <c r="A4476" s="1">
        <v>43524</v>
      </c>
      <c r="B4476">
        <v>121437</v>
      </c>
      <c r="C4476" t="s">
        <v>662</v>
      </c>
      <c r="D4476" t="s">
        <v>4008</v>
      </c>
      <c r="E4476" s="2">
        <v>90.7</v>
      </c>
    </row>
    <row r="4477" spans="1:5" x14ac:dyDescent="0.25">
      <c r="A4477" s="1">
        <v>43524</v>
      </c>
      <c r="B4477">
        <v>121437</v>
      </c>
      <c r="C4477" t="s">
        <v>662</v>
      </c>
      <c r="D4477" t="s">
        <v>4009</v>
      </c>
      <c r="E4477" s="2">
        <v>297.02999999999997</v>
      </c>
    </row>
    <row r="4478" spans="1:5" x14ac:dyDescent="0.25">
      <c r="A4478" s="1">
        <v>43524</v>
      </c>
      <c r="B4478">
        <v>121437</v>
      </c>
      <c r="C4478" t="s">
        <v>662</v>
      </c>
      <c r="D4478" t="s">
        <v>4010</v>
      </c>
      <c r="E4478" s="2">
        <v>2445</v>
      </c>
    </row>
    <row r="4479" spans="1:5" x14ac:dyDescent="0.25">
      <c r="A4479" s="1">
        <v>43524</v>
      </c>
      <c r="B4479">
        <v>121438</v>
      </c>
      <c r="C4479" t="s">
        <v>4011</v>
      </c>
      <c r="D4479" t="s">
        <v>4012</v>
      </c>
      <c r="E4479" s="2">
        <v>35</v>
      </c>
    </row>
    <row r="4480" spans="1:5" x14ac:dyDescent="0.25">
      <c r="A4480" s="1">
        <v>43524</v>
      </c>
      <c r="B4480">
        <v>121439</v>
      </c>
      <c r="C4480" t="s">
        <v>247</v>
      </c>
      <c r="D4480" t="s">
        <v>453</v>
      </c>
      <c r="E4480" s="2">
        <v>12811.62</v>
      </c>
    </row>
    <row r="4481" spans="1:5" x14ac:dyDescent="0.25">
      <c r="A4481" s="1">
        <v>43524</v>
      </c>
      <c r="B4481">
        <v>121441</v>
      </c>
      <c r="C4481" t="s">
        <v>106</v>
      </c>
      <c r="D4481" t="s">
        <v>453</v>
      </c>
      <c r="E4481" s="2">
        <v>4845.1000000000004</v>
      </c>
    </row>
    <row r="4482" spans="1:5" x14ac:dyDescent="0.25">
      <c r="A4482" s="1">
        <v>43524</v>
      </c>
      <c r="B4482">
        <v>121442</v>
      </c>
      <c r="C4482" t="s">
        <v>30</v>
      </c>
      <c r="D4482" t="s">
        <v>4246</v>
      </c>
      <c r="E4482" s="2">
        <v>6382.06</v>
      </c>
    </row>
    <row r="4483" spans="1:5" x14ac:dyDescent="0.25">
      <c r="A4483" s="1">
        <v>43524</v>
      </c>
      <c r="B4483">
        <v>121443</v>
      </c>
      <c r="C4483" t="s">
        <v>31</v>
      </c>
      <c r="D4483" t="s">
        <v>4013</v>
      </c>
      <c r="E4483" s="2">
        <v>252.24</v>
      </c>
    </row>
    <row r="4484" spans="1:5" x14ac:dyDescent="0.25">
      <c r="A4484" s="1">
        <v>43524</v>
      </c>
      <c r="B4484">
        <v>121444</v>
      </c>
      <c r="C4484" t="s">
        <v>3438</v>
      </c>
      <c r="D4484" t="s">
        <v>4014</v>
      </c>
      <c r="E4484" s="2">
        <v>82</v>
      </c>
    </row>
    <row r="4485" spans="1:5" x14ac:dyDescent="0.25">
      <c r="A4485" s="1">
        <v>43524</v>
      </c>
      <c r="B4485">
        <v>121444</v>
      </c>
      <c r="C4485" t="s">
        <v>3438</v>
      </c>
      <c r="D4485" t="s">
        <v>4247</v>
      </c>
      <c r="E4485" s="2">
        <v>12.99</v>
      </c>
    </row>
    <row r="4486" spans="1:5" x14ac:dyDescent="0.25">
      <c r="A4486" s="1">
        <v>43524</v>
      </c>
      <c r="B4486">
        <v>121445</v>
      </c>
      <c r="C4486" t="s">
        <v>350</v>
      </c>
      <c r="D4486" t="s">
        <v>4015</v>
      </c>
      <c r="E4486" s="2">
        <f>375+825</f>
        <v>1200</v>
      </c>
    </row>
    <row r="4487" spans="1:5" x14ac:dyDescent="0.25">
      <c r="A4487" s="1">
        <v>43524</v>
      </c>
      <c r="B4487">
        <v>121446</v>
      </c>
      <c r="C4487" t="s">
        <v>68</v>
      </c>
      <c r="D4487" t="s">
        <v>4016</v>
      </c>
      <c r="E4487" s="2">
        <v>402.76</v>
      </c>
    </row>
    <row r="4488" spans="1:5" x14ac:dyDescent="0.25">
      <c r="A4488" s="1">
        <v>43524</v>
      </c>
      <c r="B4488">
        <v>121446</v>
      </c>
      <c r="C4488" t="s">
        <v>68</v>
      </c>
      <c r="D4488" t="s">
        <v>4017</v>
      </c>
      <c r="E4488" s="2">
        <v>750</v>
      </c>
    </row>
    <row r="4489" spans="1:5" x14ac:dyDescent="0.25">
      <c r="A4489" s="1">
        <v>43524</v>
      </c>
      <c r="B4489">
        <v>121447</v>
      </c>
      <c r="C4489" t="s">
        <v>842</v>
      </c>
      <c r="D4489" t="s">
        <v>4018</v>
      </c>
      <c r="E4489" s="2">
        <v>382.81</v>
      </c>
    </row>
    <row r="4490" spans="1:5" x14ac:dyDescent="0.25">
      <c r="A4490" s="1">
        <v>43524</v>
      </c>
      <c r="B4490">
        <v>121448</v>
      </c>
      <c r="C4490" t="s">
        <v>681</v>
      </c>
      <c r="D4490" t="s">
        <v>4019</v>
      </c>
      <c r="E4490" s="2">
        <v>134.19</v>
      </c>
    </row>
    <row r="4491" spans="1:5" x14ac:dyDescent="0.25">
      <c r="A4491" s="1">
        <v>43524</v>
      </c>
      <c r="B4491">
        <v>121449</v>
      </c>
      <c r="C4491" t="s">
        <v>1002</v>
      </c>
      <c r="D4491" t="s">
        <v>4020</v>
      </c>
      <c r="E4491" s="2">
        <v>2105</v>
      </c>
    </row>
    <row r="4492" spans="1:5" x14ac:dyDescent="0.25">
      <c r="A4492" s="1">
        <v>43524</v>
      </c>
      <c r="B4492">
        <v>121450</v>
      </c>
      <c r="C4492" t="s">
        <v>2550</v>
      </c>
      <c r="D4492" t="s">
        <v>4021</v>
      </c>
      <c r="E4492" s="2">
        <v>10</v>
      </c>
    </row>
    <row r="4493" spans="1:5" x14ac:dyDescent="0.25">
      <c r="A4493" s="1">
        <v>43524</v>
      </c>
      <c r="B4493">
        <v>121450</v>
      </c>
      <c r="C4493" t="s">
        <v>2550</v>
      </c>
      <c r="D4493" t="s">
        <v>4022</v>
      </c>
      <c r="E4493" s="2">
        <v>120</v>
      </c>
    </row>
    <row r="4494" spans="1:5" x14ac:dyDescent="0.25">
      <c r="A4494" s="1">
        <v>43524</v>
      </c>
      <c r="B4494">
        <v>121451</v>
      </c>
      <c r="C4494" t="s">
        <v>2376</v>
      </c>
      <c r="D4494" t="s">
        <v>2377</v>
      </c>
      <c r="E4494" s="2">
        <v>150</v>
      </c>
    </row>
    <row r="4495" spans="1:5" x14ac:dyDescent="0.25">
      <c r="A4495" s="1">
        <v>43524</v>
      </c>
      <c r="B4495">
        <v>121452</v>
      </c>
      <c r="C4495" t="s">
        <v>849</v>
      </c>
      <c r="D4495" t="s">
        <v>4023</v>
      </c>
      <c r="E4495" s="2">
        <v>121.4</v>
      </c>
    </row>
    <row r="4496" spans="1:5" x14ac:dyDescent="0.25">
      <c r="A4496" s="1">
        <v>43524</v>
      </c>
      <c r="B4496">
        <v>121453</v>
      </c>
      <c r="C4496" t="s">
        <v>114</v>
      </c>
      <c r="D4496" t="s">
        <v>4248</v>
      </c>
      <c r="E4496" s="2">
        <f>57+57</f>
        <v>114</v>
      </c>
    </row>
    <row r="4497" spans="1:5" x14ac:dyDescent="0.25">
      <c r="A4497" s="1">
        <v>43524</v>
      </c>
      <c r="B4497">
        <v>121454</v>
      </c>
      <c r="C4497" t="s">
        <v>4024</v>
      </c>
      <c r="D4497" t="s">
        <v>4025</v>
      </c>
      <c r="E4497" s="2">
        <v>400</v>
      </c>
    </row>
    <row r="4498" spans="1:5" x14ac:dyDescent="0.25">
      <c r="A4498" s="1">
        <v>43524</v>
      </c>
      <c r="B4498">
        <v>121455</v>
      </c>
      <c r="C4498" t="s">
        <v>4026</v>
      </c>
      <c r="D4498" t="s">
        <v>4027</v>
      </c>
      <c r="E4498" s="2">
        <v>1000</v>
      </c>
    </row>
    <row r="4499" spans="1:5" x14ac:dyDescent="0.25">
      <c r="A4499" s="1">
        <v>43524</v>
      </c>
      <c r="B4499">
        <v>121456</v>
      </c>
      <c r="C4499" t="s">
        <v>254</v>
      </c>
      <c r="D4499" t="s">
        <v>4028</v>
      </c>
      <c r="E4499" s="2">
        <v>3295</v>
      </c>
    </row>
    <row r="4500" spans="1:5" x14ac:dyDescent="0.25">
      <c r="A4500" s="1">
        <v>43524</v>
      </c>
      <c r="B4500">
        <v>121457</v>
      </c>
      <c r="C4500" t="s">
        <v>688</v>
      </c>
      <c r="D4500" t="s">
        <v>4029</v>
      </c>
      <c r="E4500" s="2">
        <v>232</v>
      </c>
    </row>
    <row r="4501" spans="1:5" x14ac:dyDescent="0.25">
      <c r="A4501" s="1">
        <v>43524</v>
      </c>
      <c r="B4501">
        <v>121458</v>
      </c>
      <c r="C4501" t="s">
        <v>118</v>
      </c>
      <c r="D4501" t="s">
        <v>4030</v>
      </c>
      <c r="E4501" s="2">
        <v>18104.48</v>
      </c>
    </row>
    <row r="4502" spans="1:5" x14ac:dyDescent="0.25">
      <c r="A4502" s="1">
        <v>43524</v>
      </c>
      <c r="B4502">
        <v>121459</v>
      </c>
      <c r="C4502" t="s">
        <v>4031</v>
      </c>
      <c r="D4502" t="s">
        <v>4032</v>
      </c>
      <c r="E4502" s="2">
        <v>315</v>
      </c>
    </row>
    <row r="4503" spans="1:5" x14ac:dyDescent="0.25">
      <c r="A4503" s="1">
        <v>43524</v>
      </c>
      <c r="B4503">
        <v>121460</v>
      </c>
      <c r="C4503" t="s">
        <v>72</v>
      </c>
      <c r="D4503" t="s">
        <v>4033</v>
      </c>
      <c r="E4503" s="2">
        <v>674.68</v>
      </c>
    </row>
    <row r="4504" spans="1:5" x14ac:dyDescent="0.25">
      <c r="A4504" s="1">
        <v>43524</v>
      </c>
      <c r="B4504">
        <v>121460</v>
      </c>
      <c r="C4504" t="s">
        <v>72</v>
      </c>
      <c r="D4504" t="s">
        <v>4034</v>
      </c>
      <c r="E4504" s="2">
        <v>409.26</v>
      </c>
    </row>
    <row r="4505" spans="1:5" x14ac:dyDescent="0.25">
      <c r="A4505" s="1">
        <v>43524</v>
      </c>
      <c r="B4505">
        <v>121461</v>
      </c>
      <c r="C4505" t="s">
        <v>4035</v>
      </c>
      <c r="D4505" t="s">
        <v>4036</v>
      </c>
      <c r="E4505" s="2">
        <v>250</v>
      </c>
    </row>
    <row r="4506" spans="1:5" x14ac:dyDescent="0.25">
      <c r="A4506" s="1">
        <v>43524</v>
      </c>
      <c r="B4506">
        <v>121462</v>
      </c>
      <c r="C4506" t="s">
        <v>259</v>
      </c>
      <c r="D4506" t="s">
        <v>4037</v>
      </c>
      <c r="E4506" s="2">
        <v>228.25</v>
      </c>
    </row>
    <row r="4507" spans="1:5" x14ac:dyDescent="0.25">
      <c r="A4507" s="1">
        <v>43524</v>
      </c>
      <c r="B4507">
        <v>121462</v>
      </c>
      <c r="C4507" t="s">
        <v>259</v>
      </c>
      <c r="D4507" t="s">
        <v>4038</v>
      </c>
      <c r="E4507" s="2">
        <v>146.5</v>
      </c>
    </row>
    <row r="4508" spans="1:5" x14ac:dyDescent="0.25">
      <c r="A4508" s="1">
        <v>43524</v>
      </c>
      <c r="B4508">
        <v>121462</v>
      </c>
      <c r="C4508" t="s">
        <v>259</v>
      </c>
      <c r="D4508" t="s">
        <v>4038</v>
      </c>
      <c r="E4508" s="2">
        <v>136.25</v>
      </c>
    </row>
    <row r="4509" spans="1:5" x14ac:dyDescent="0.25">
      <c r="A4509" s="1">
        <v>43524</v>
      </c>
      <c r="B4509">
        <v>121462</v>
      </c>
      <c r="C4509" t="s">
        <v>259</v>
      </c>
      <c r="D4509" t="s">
        <v>4039</v>
      </c>
      <c r="E4509" s="2">
        <v>129.6</v>
      </c>
    </row>
    <row r="4510" spans="1:5" x14ac:dyDescent="0.25">
      <c r="A4510" s="1">
        <v>43524</v>
      </c>
      <c r="B4510">
        <v>121463</v>
      </c>
      <c r="C4510" t="s">
        <v>4040</v>
      </c>
      <c r="D4510" t="s">
        <v>4041</v>
      </c>
      <c r="E4510" s="2">
        <v>12.15</v>
      </c>
    </row>
    <row r="4511" spans="1:5" x14ac:dyDescent="0.25">
      <c r="A4511" s="1">
        <v>43524</v>
      </c>
      <c r="B4511">
        <v>121464</v>
      </c>
      <c r="C4511" t="s">
        <v>364</v>
      </c>
      <c r="D4511" t="s">
        <v>4042</v>
      </c>
      <c r="E4511" s="2">
        <v>15265</v>
      </c>
    </row>
    <row r="4512" spans="1:5" x14ac:dyDescent="0.25">
      <c r="A4512" s="1">
        <v>43524</v>
      </c>
      <c r="B4512">
        <v>121465</v>
      </c>
      <c r="C4512" t="s">
        <v>4043</v>
      </c>
      <c r="D4512" t="s">
        <v>4044</v>
      </c>
      <c r="E4512" s="2">
        <v>3416</v>
      </c>
    </row>
    <row r="4513" spans="1:5" x14ac:dyDescent="0.25">
      <c r="A4513" s="1">
        <v>43524</v>
      </c>
      <c r="B4513">
        <v>121465</v>
      </c>
      <c r="C4513" t="s">
        <v>4043</v>
      </c>
      <c r="D4513" t="s">
        <v>4045</v>
      </c>
      <c r="E4513" s="2">
        <v>307.44</v>
      </c>
    </row>
    <row r="4514" spans="1:5" x14ac:dyDescent="0.25">
      <c r="A4514" s="1">
        <v>43524</v>
      </c>
      <c r="B4514">
        <v>121466</v>
      </c>
      <c r="C4514" t="s">
        <v>264</v>
      </c>
      <c r="D4514" t="s">
        <v>4046</v>
      </c>
      <c r="E4514" s="2">
        <v>138.25</v>
      </c>
    </row>
    <row r="4515" spans="1:5" x14ac:dyDescent="0.25">
      <c r="A4515" s="1">
        <v>43524</v>
      </c>
      <c r="B4515">
        <v>121467</v>
      </c>
      <c r="C4515" t="s">
        <v>4047</v>
      </c>
      <c r="D4515" t="s">
        <v>4048</v>
      </c>
      <c r="E4515" s="2">
        <v>514.79</v>
      </c>
    </row>
    <row r="4516" spans="1:5" x14ac:dyDescent="0.25">
      <c r="A4516" s="1">
        <v>43524</v>
      </c>
      <c r="B4516">
        <v>121468</v>
      </c>
      <c r="C4516" t="s">
        <v>269</v>
      </c>
      <c r="D4516" t="s">
        <v>270</v>
      </c>
      <c r="E4516" s="2">
        <v>125</v>
      </c>
    </row>
    <row r="4517" spans="1:5" x14ac:dyDescent="0.25">
      <c r="A4517" s="1">
        <v>43524</v>
      </c>
      <c r="B4517">
        <v>121468</v>
      </c>
      <c r="C4517" t="s">
        <v>269</v>
      </c>
      <c r="D4517" t="s">
        <v>270</v>
      </c>
      <c r="E4517" s="2">
        <v>251.95</v>
      </c>
    </row>
    <row r="4518" spans="1:5" x14ac:dyDescent="0.25">
      <c r="A4518" s="1">
        <v>43524</v>
      </c>
      <c r="B4518">
        <v>121468</v>
      </c>
      <c r="C4518" t="s">
        <v>269</v>
      </c>
      <c r="D4518" t="s">
        <v>270</v>
      </c>
      <c r="E4518" s="2">
        <v>55</v>
      </c>
    </row>
    <row r="4519" spans="1:5" x14ac:dyDescent="0.25">
      <c r="A4519" s="1">
        <v>43524</v>
      </c>
      <c r="B4519">
        <v>121469</v>
      </c>
      <c r="C4519" t="s">
        <v>44</v>
      </c>
      <c r="D4519" t="s">
        <v>4049</v>
      </c>
      <c r="E4519" s="2">
        <v>289.77999999999997</v>
      </c>
    </row>
    <row r="4520" spans="1:5" x14ac:dyDescent="0.25">
      <c r="A4520" s="1">
        <v>43524</v>
      </c>
      <c r="B4520">
        <v>121474</v>
      </c>
      <c r="C4520" t="s">
        <v>274</v>
      </c>
      <c r="D4520" t="s">
        <v>4050</v>
      </c>
      <c r="E4520" s="2">
        <v>247.62</v>
      </c>
    </row>
    <row r="4521" spans="1:5" x14ac:dyDescent="0.25">
      <c r="A4521" s="1">
        <v>43524</v>
      </c>
      <c r="B4521">
        <v>121474</v>
      </c>
      <c r="C4521" t="s">
        <v>274</v>
      </c>
      <c r="D4521" t="s">
        <v>4051</v>
      </c>
      <c r="E4521" s="2">
        <v>216.6</v>
      </c>
    </row>
    <row r="4522" spans="1:5" x14ac:dyDescent="0.25">
      <c r="A4522" s="1">
        <v>43524</v>
      </c>
      <c r="B4522">
        <v>121474</v>
      </c>
      <c r="C4522" t="s">
        <v>274</v>
      </c>
      <c r="D4522" t="s">
        <v>4052</v>
      </c>
      <c r="E4522" s="2">
        <v>906.54</v>
      </c>
    </row>
    <row r="4523" spans="1:5" x14ac:dyDescent="0.25">
      <c r="A4523" s="1">
        <v>43524</v>
      </c>
      <c r="B4523">
        <v>121474</v>
      </c>
      <c r="C4523" t="s">
        <v>274</v>
      </c>
      <c r="D4523" t="s">
        <v>4053</v>
      </c>
      <c r="E4523" s="2">
        <v>568.95000000000005</v>
      </c>
    </row>
    <row r="4524" spans="1:5" x14ac:dyDescent="0.25">
      <c r="A4524" s="1">
        <v>43524</v>
      </c>
      <c r="B4524">
        <v>121474</v>
      </c>
      <c r="C4524" t="s">
        <v>274</v>
      </c>
      <c r="D4524" t="s">
        <v>4054</v>
      </c>
      <c r="E4524" s="2">
        <v>350.26</v>
      </c>
    </row>
    <row r="4525" spans="1:5" x14ac:dyDescent="0.25">
      <c r="A4525" s="1">
        <v>43524</v>
      </c>
      <c r="B4525">
        <v>121474</v>
      </c>
      <c r="C4525" t="s">
        <v>274</v>
      </c>
      <c r="D4525" t="s">
        <v>4055</v>
      </c>
      <c r="E4525" s="2">
        <v>523.96</v>
      </c>
    </row>
    <row r="4526" spans="1:5" x14ac:dyDescent="0.25">
      <c r="A4526" s="1">
        <v>43524</v>
      </c>
      <c r="B4526">
        <v>121474</v>
      </c>
      <c r="C4526" t="s">
        <v>274</v>
      </c>
      <c r="D4526" t="s">
        <v>4056</v>
      </c>
      <c r="E4526" s="2">
        <v>248.71</v>
      </c>
    </row>
    <row r="4527" spans="1:5" x14ac:dyDescent="0.25">
      <c r="A4527" s="1">
        <v>43524</v>
      </c>
      <c r="B4527">
        <v>121474</v>
      </c>
      <c r="C4527" t="s">
        <v>274</v>
      </c>
      <c r="D4527" t="s">
        <v>4057</v>
      </c>
      <c r="E4527" s="2">
        <v>1821.9</v>
      </c>
    </row>
    <row r="4528" spans="1:5" x14ac:dyDescent="0.25">
      <c r="A4528" s="1">
        <v>43524</v>
      </c>
      <c r="B4528">
        <v>121474</v>
      </c>
      <c r="C4528" t="s">
        <v>274</v>
      </c>
      <c r="D4528" t="s">
        <v>4058</v>
      </c>
      <c r="E4528" s="2">
        <v>100.2</v>
      </c>
    </row>
    <row r="4529" spans="1:5" x14ac:dyDescent="0.25">
      <c r="A4529" s="1">
        <v>43524</v>
      </c>
      <c r="B4529">
        <v>121474</v>
      </c>
      <c r="C4529" t="s">
        <v>274</v>
      </c>
      <c r="D4529" t="s">
        <v>4059</v>
      </c>
      <c r="E4529" s="2">
        <v>248.71</v>
      </c>
    </row>
    <row r="4530" spans="1:5" x14ac:dyDescent="0.25">
      <c r="A4530" s="1">
        <v>43524</v>
      </c>
      <c r="B4530">
        <v>121474</v>
      </c>
      <c r="C4530" t="s">
        <v>274</v>
      </c>
      <c r="D4530" t="s">
        <v>4060</v>
      </c>
      <c r="E4530" s="2">
        <v>1574.4</v>
      </c>
    </row>
    <row r="4531" spans="1:5" x14ac:dyDescent="0.25">
      <c r="A4531" s="1">
        <v>43524</v>
      </c>
      <c r="B4531">
        <v>121474</v>
      </c>
      <c r="C4531" t="s">
        <v>274</v>
      </c>
      <c r="D4531" t="s">
        <v>4061</v>
      </c>
      <c r="E4531" s="2">
        <v>413.21</v>
      </c>
    </row>
    <row r="4532" spans="1:5" x14ac:dyDescent="0.25">
      <c r="A4532" s="1">
        <v>43524</v>
      </c>
      <c r="B4532">
        <v>121474</v>
      </c>
      <c r="C4532" t="s">
        <v>274</v>
      </c>
      <c r="D4532" t="s">
        <v>4062</v>
      </c>
      <c r="E4532" s="2">
        <v>647.89</v>
      </c>
    </row>
    <row r="4533" spans="1:5" x14ac:dyDescent="0.25">
      <c r="A4533" s="1">
        <v>43524</v>
      </c>
      <c r="B4533">
        <v>121474</v>
      </c>
      <c r="C4533" t="s">
        <v>274</v>
      </c>
      <c r="D4533" t="s">
        <v>4063</v>
      </c>
      <c r="E4533" s="2">
        <v>292.74</v>
      </c>
    </row>
    <row r="4534" spans="1:5" x14ac:dyDescent="0.25">
      <c r="A4534" s="1">
        <v>43524</v>
      </c>
      <c r="B4534">
        <v>121474</v>
      </c>
      <c r="C4534" t="s">
        <v>274</v>
      </c>
      <c r="D4534" t="s">
        <v>4064</v>
      </c>
      <c r="E4534" s="2">
        <v>833.14</v>
      </c>
    </row>
    <row r="4535" spans="1:5" x14ac:dyDescent="0.25">
      <c r="A4535" s="1">
        <v>43524</v>
      </c>
      <c r="B4535">
        <v>121475</v>
      </c>
      <c r="C4535" t="s">
        <v>275</v>
      </c>
      <c r="D4535" t="s">
        <v>4065</v>
      </c>
      <c r="E4535" s="2">
        <v>455</v>
      </c>
    </row>
    <row r="4536" spans="1:5" x14ac:dyDescent="0.25">
      <c r="A4536" s="1">
        <v>43524</v>
      </c>
      <c r="B4536">
        <v>121476</v>
      </c>
      <c r="C4536" t="s">
        <v>276</v>
      </c>
      <c r="D4536" t="s">
        <v>277</v>
      </c>
      <c r="E4536" s="2">
        <v>442.2</v>
      </c>
    </row>
    <row r="4537" spans="1:5" x14ac:dyDescent="0.25">
      <c r="A4537" s="1">
        <v>43524</v>
      </c>
      <c r="B4537">
        <v>121477</v>
      </c>
      <c r="C4537" t="s">
        <v>708</v>
      </c>
      <c r="D4537" t="s">
        <v>4066</v>
      </c>
      <c r="E4537" s="2">
        <v>5538.09</v>
      </c>
    </row>
    <row r="4538" spans="1:5" x14ac:dyDescent="0.25">
      <c r="A4538" s="1">
        <v>43524</v>
      </c>
      <c r="B4538">
        <v>121478</v>
      </c>
      <c r="C4538" t="s">
        <v>4067</v>
      </c>
      <c r="D4538" t="s">
        <v>4068</v>
      </c>
      <c r="E4538" s="2">
        <v>300</v>
      </c>
    </row>
    <row r="4539" spans="1:5" x14ac:dyDescent="0.25">
      <c r="A4539" s="1">
        <v>43524</v>
      </c>
      <c r="B4539">
        <v>121479</v>
      </c>
      <c r="C4539" t="s">
        <v>712</v>
      </c>
      <c r="D4539" t="s">
        <v>4069</v>
      </c>
      <c r="E4539" s="2">
        <v>6158.25</v>
      </c>
    </row>
    <row r="4540" spans="1:5" x14ac:dyDescent="0.25">
      <c r="A4540" s="1">
        <v>43524</v>
      </c>
      <c r="B4540">
        <v>121480</v>
      </c>
      <c r="C4540" t="s">
        <v>716</v>
      </c>
      <c r="D4540" t="s">
        <v>4070</v>
      </c>
      <c r="E4540" s="2">
        <v>79.989999999999995</v>
      </c>
    </row>
    <row r="4541" spans="1:5" x14ac:dyDescent="0.25">
      <c r="A4541" s="1">
        <v>43524</v>
      </c>
      <c r="B4541">
        <v>121480</v>
      </c>
      <c r="C4541" t="s">
        <v>716</v>
      </c>
      <c r="D4541" t="s">
        <v>4071</v>
      </c>
      <c r="E4541" s="2">
        <v>79.989999999999995</v>
      </c>
    </row>
    <row r="4542" spans="1:5" x14ac:dyDescent="0.25">
      <c r="A4542" s="1">
        <v>43524</v>
      </c>
      <c r="B4542">
        <v>121481</v>
      </c>
      <c r="C4542" t="s">
        <v>1823</v>
      </c>
      <c r="D4542" t="s">
        <v>4072</v>
      </c>
      <c r="E4542" s="2">
        <v>192.78</v>
      </c>
    </row>
    <row r="4543" spans="1:5" x14ac:dyDescent="0.25">
      <c r="A4543" s="1">
        <v>43524</v>
      </c>
      <c r="B4543">
        <v>121481</v>
      </c>
      <c r="C4543" t="s">
        <v>1823</v>
      </c>
      <c r="D4543" t="s">
        <v>4073</v>
      </c>
      <c r="E4543" s="2">
        <v>61.18</v>
      </c>
    </row>
    <row r="4544" spans="1:5" x14ac:dyDescent="0.25">
      <c r="A4544" s="1">
        <v>43524</v>
      </c>
      <c r="B4544">
        <v>121483</v>
      </c>
      <c r="C4544" t="s">
        <v>47</v>
      </c>
      <c r="D4544" t="s">
        <v>4074</v>
      </c>
      <c r="E4544" s="2">
        <v>145.28</v>
      </c>
    </row>
    <row r="4545" spans="1:5" x14ac:dyDescent="0.25">
      <c r="A4545" s="1">
        <v>43524</v>
      </c>
      <c r="B4545">
        <v>121483</v>
      </c>
      <c r="C4545" t="s">
        <v>47</v>
      </c>
      <c r="D4545" t="s">
        <v>764</v>
      </c>
      <c r="E4545" s="3">
        <v>-145.28</v>
      </c>
    </row>
    <row r="4546" spans="1:5" x14ac:dyDescent="0.25">
      <c r="A4546" s="1">
        <v>43524</v>
      </c>
      <c r="B4546">
        <v>121483</v>
      </c>
      <c r="C4546" t="s">
        <v>47</v>
      </c>
      <c r="D4546" t="s">
        <v>4075</v>
      </c>
      <c r="E4546" s="2">
        <v>1147.7</v>
      </c>
    </row>
    <row r="4547" spans="1:5" x14ac:dyDescent="0.25">
      <c r="A4547" s="1">
        <v>43524</v>
      </c>
      <c r="B4547">
        <v>121483</v>
      </c>
      <c r="C4547" t="s">
        <v>47</v>
      </c>
      <c r="D4547" t="s">
        <v>4076</v>
      </c>
      <c r="E4547" s="2">
        <v>148.61000000000001</v>
      </c>
    </row>
    <row r="4548" spans="1:5" x14ac:dyDescent="0.25">
      <c r="A4548" s="1">
        <v>43524</v>
      </c>
      <c r="B4548">
        <v>121484</v>
      </c>
      <c r="C4548" t="s">
        <v>48</v>
      </c>
      <c r="D4548" t="s">
        <v>2927</v>
      </c>
      <c r="E4548" s="2">
        <v>2320.4</v>
      </c>
    </row>
    <row r="4549" spans="1:5" x14ac:dyDescent="0.25">
      <c r="A4549" s="1">
        <v>43524</v>
      </c>
      <c r="B4549">
        <v>121487</v>
      </c>
      <c r="C4549" t="s">
        <v>74</v>
      </c>
      <c r="D4549" t="s">
        <v>1826</v>
      </c>
      <c r="E4549" s="2">
        <v>573.95000000000005</v>
      </c>
    </row>
    <row r="4550" spans="1:5" x14ac:dyDescent="0.25">
      <c r="A4550" s="1">
        <v>43524</v>
      </c>
      <c r="B4550">
        <v>121487</v>
      </c>
      <c r="C4550" t="s">
        <v>74</v>
      </c>
      <c r="D4550" t="s">
        <v>1467</v>
      </c>
      <c r="E4550" s="2">
        <v>1943.5</v>
      </c>
    </row>
    <row r="4551" spans="1:5" x14ac:dyDescent="0.25">
      <c r="A4551" s="1">
        <v>43524</v>
      </c>
      <c r="B4551">
        <v>121487</v>
      </c>
      <c r="C4551" t="s">
        <v>74</v>
      </c>
      <c r="D4551" t="s">
        <v>4077</v>
      </c>
      <c r="E4551" s="2">
        <v>350.73</v>
      </c>
    </row>
    <row r="4552" spans="1:5" x14ac:dyDescent="0.25">
      <c r="A4552" s="1">
        <v>43524</v>
      </c>
      <c r="B4552">
        <v>121487</v>
      </c>
      <c r="C4552" t="s">
        <v>74</v>
      </c>
      <c r="D4552" t="s">
        <v>4249</v>
      </c>
      <c r="E4552" s="2">
        <v>82.4</v>
      </c>
    </row>
    <row r="4553" spans="1:5" x14ac:dyDescent="0.25">
      <c r="A4553" s="1">
        <v>43524</v>
      </c>
      <c r="B4553">
        <v>121487</v>
      </c>
      <c r="C4553" t="s">
        <v>74</v>
      </c>
      <c r="D4553" t="s">
        <v>4078</v>
      </c>
      <c r="E4553" s="2">
        <v>2388.0300000000002</v>
      </c>
    </row>
    <row r="4554" spans="1:5" x14ac:dyDescent="0.25">
      <c r="A4554" s="1">
        <v>43524</v>
      </c>
      <c r="B4554">
        <v>121487</v>
      </c>
      <c r="C4554" t="s">
        <v>74</v>
      </c>
      <c r="D4554" t="s">
        <v>3330</v>
      </c>
      <c r="E4554" s="2">
        <v>718.86</v>
      </c>
    </row>
    <row r="4555" spans="1:5" x14ac:dyDescent="0.25">
      <c r="A4555" s="1">
        <v>43524</v>
      </c>
      <c r="B4555">
        <v>121487</v>
      </c>
      <c r="C4555" t="s">
        <v>74</v>
      </c>
      <c r="D4555" t="s">
        <v>485</v>
      </c>
      <c r="E4555" s="2">
        <v>59.5</v>
      </c>
    </row>
    <row r="4556" spans="1:5" x14ac:dyDescent="0.25">
      <c r="A4556" s="1">
        <v>43524</v>
      </c>
      <c r="B4556">
        <v>121487</v>
      </c>
      <c r="C4556" t="s">
        <v>74</v>
      </c>
      <c r="D4556" t="s">
        <v>4079</v>
      </c>
      <c r="E4556" s="2">
        <v>176.45</v>
      </c>
    </row>
    <row r="4557" spans="1:5" x14ac:dyDescent="0.25">
      <c r="A4557" s="1">
        <v>43524</v>
      </c>
      <c r="B4557">
        <v>121487</v>
      </c>
      <c r="C4557" t="s">
        <v>74</v>
      </c>
      <c r="D4557" t="s">
        <v>4080</v>
      </c>
      <c r="E4557" s="2">
        <v>109.9</v>
      </c>
    </row>
    <row r="4558" spans="1:5" x14ac:dyDescent="0.25">
      <c r="A4558" s="1">
        <v>43524</v>
      </c>
      <c r="B4558">
        <v>121487</v>
      </c>
      <c r="C4558" t="s">
        <v>74</v>
      </c>
      <c r="D4558" t="s">
        <v>4081</v>
      </c>
      <c r="E4558" s="2">
        <v>664.7</v>
      </c>
    </row>
    <row r="4559" spans="1:5" x14ac:dyDescent="0.25">
      <c r="A4559" s="1">
        <v>43524</v>
      </c>
      <c r="B4559">
        <v>121487</v>
      </c>
      <c r="C4559" t="s">
        <v>74</v>
      </c>
      <c r="D4559" t="s">
        <v>4082</v>
      </c>
      <c r="E4559" s="2">
        <v>448.5</v>
      </c>
    </row>
    <row r="4560" spans="1:5" x14ac:dyDescent="0.25">
      <c r="A4560" s="1">
        <v>43524</v>
      </c>
      <c r="B4560">
        <v>121487</v>
      </c>
      <c r="C4560" t="s">
        <v>74</v>
      </c>
      <c r="D4560" t="s">
        <v>4083</v>
      </c>
      <c r="E4560" s="2">
        <v>538.20000000000005</v>
      </c>
    </row>
    <row r="4561" spans="1:5" x14ac:dyDescent="0.25">
      <c r="A4561" s="1">
        <v>43524</v>
      </c>
      <c r="B4561">
        <v>121488</v>
      </c>
      <c r="C4561" t="s">
        <v>142</v>
      </c>
      <c r="D4561" t="s">
        <v>4084</v>
      </c>
      <c r="E4561" s="2">
        <v>25.5</v>
      </c>
    </row>
    <row r="4562" spans="1:5" x14ac:dyDescent="0.25">
      <c r="A4562" s="1">
        <v>43524</v>
      </c>
      <c r="B4562">
        <v>121488</v>
      </c>
      <c r="C4562" t="s">
        <v>142</v>
      </c>
      <c r="D4562" t="s">
        <v>4084</v>
      </c>
      <c r="E4562" s="2">
        <v>25.5</v>
      </c>
    </row>
    <row r="4563" spans="1:5" x14ac:dyDescent="0.25">
      <c r="A4563" s="1">
        <v>43524</v>
      </c>
      <c r="B4563">
        <v>121489</v>
      </c>
      <c r="C4563" t="s">
        <v>4085</v>
      </c>
      <c r="D4563" t="s">
        <v>481</v>
      </c>
      <c r="E4563" s="2">
        <v>43.3</v>
      </c>
    </row>
    <row r="4564" spans="1:5" x14ac:dyDescent="0.25">
      <c r="A4564" s="1">
        <v>43524</v>
      </c>
      <c r="B4564">
        <v>121490</v>
      </c>
      <c r="C4564" t="s">
        <v>146</v>
      </c>
      <c r="D4564" t="s">
        <v>4086</v>
      </c>
      <c r="E4564" s="2">
        <v>87.48</v>
      </c>
    </row>
    <row r="4565" spans="1:5" x14ac:dyDescent="0.25">
      <c r="A4565" s="1">
        <v>43524</v>
      </c>
      <c r="B4565">
        <v>121491</v>
      </c>
      <c r="C4565" t="s">
        <v>4087</v>
      </c>
      <c r="D4565" t="s">
        <v>4088</v>
      </c>
      <c r="E4565" s="2">
        <v>418.17</v>
      </c>
    </row>
    <row r="4566" spans="1:5" x14ac:dyDescent="0.25">
      <c r="A4566" s="1">
        <v>43524</v>
      </c>
      <c r="B4566">
        <v>121492</v>
      </c>
      <c r="C4566" t="s">
        <v>734</v>
      </c>
      <c r="D4566" t="s">
        <v>4089</v>
      </c>
      <c r="E4566" s="2">
        <v>280.08999999999997</v>
      </c>
    </row>
    <row r="4567" spans="1:5" x14ac:dyDescent="0.25">
      <c r="A4567" s="1">
        <v>43524</v>
      </c>
      <c r="B4567">
        <v>121492</v>
      </c>
      <c r="C4567" t="s">
        <v>734</v>
      </c>
      <c r="D4567" t="s">
        <v>4089</v>
      </c>
      <c r="E4567" s="2">
        <v>377.48</v>
      </c>
    </row>
    <row r="4568" spans="1:5" x14ac:dyDescent="0.25">
      <c r="A4568" s="1">
        <v>43524</v>
      </c>
      <c r="B4568">
        <v>121492</v>
      </c>
      <c r="C4568" t="s">
        <v>734</v>
      </c>
      <c r="D4568" t="s">
        <v>2763</v>
      </c>
      <c r="E4568" s="2">
        <v>878.01</v>
      </c>
    </row>
    <row r="4569" spans="1:5" x14ac:dyDescent="0.25">
      <c r="A4569" s="1">
        <v>43524</v>
      </c>
      <c r="B4569">
        <v>121493</v>
      </c>
      <c r="C4569" t="s">
        <v>336</v>
      </c>
      <c r="D4569" t="s">
        <v>4090</v>
      </c>
      <c r="E4569" s="2">
        <v>120</v>
      </c>
    </row>
    <row r="4570" spans="1:5" x14ac:dyDescent="0.25">
      <c r="A4570" s="1">
        <v>43524</v>
      </c>
      <c r="B4570">
        <v>121493</v>
      </c>
      <c r="C4570" t="s">
        <v>336</v>
      </c>
      <c r="D4570" t="s">
        <v>4091</v>
      </c>
      <c r="E4570" s="2">
        <v>15</v>
      </c>
    </row>
    <row r="4571" spans="1:5" x14ac:dyDescent="0.25">
      <c r="A4571" s="1">
        <v>43524</v>
      </c>
      <c r="B4571">
        <v>121495</v>
      </c>
      <c r="C4571" t="s">
        <v>75</v>
      </c>
      <c r="D4571" t="s">
        <v>4092</v>
      </c>
      <c r="E4571" s="2">
        <v>27.44</v>
      </c>
    </row>
    <row r="4572" spans="1:5" x14ac:dyDescent="0.25">
      <c r="A4572" s="1">
        <v>43524</v>
      </c>
      <c r="B4572">
        <v>121495</v>
      </c>
      <c r="C4572" t="s">
        <v>75</v>
      </c>
      <c r="D4572" t="s">
        <v>4093</v>
      </c>
      <c r="E4572" s="2">
        <v>12.74</v>
      </c>
    </row>
    <row r="4573" spans="1:5" x14ac:dyDescent="0.25">
      <c r="A4573" s="1">
        <v>43524</v>
      </c>
      <c r="B4573">
        <v>121495</v>
      </c>
      <c r="C4573" t="s">
        <v>75</v>
      </c>
      <c r="D4573" t="s">
        <v>4094</v>
      </c>
      <c r="E4573" s="2">
        <v>25.22</v>
      </c>
    </row>
    <row r="4574" spans="1:5" x14ac:dyDescent="0.25">
      <c r="A4574" s="1">
        <v>43524</v>
      </c>
      <c r="B4574">
        <v>121495</v>
      </c>
      <c r="C4574" t="s">
        <v>75</v>
      </c>
      <c r="D4574" t="s">
        <v>4093</v>
      </c>
      <c r="E4574" s="2">
        <v>14.84</v>
      </c>
    </row>
    <row r="4575" spans="1:5" x14ac:dyDescent="0.25">
      <c r="A4575" s="1">
        <v>43524</v>
      </c>
      <c r="B4575">
        <v>121495</v>
      </c>
      <c r="C4575" t="s">
        <v>75</v>
      </c>
      <c r="D4575" t="s">
        <v>4095</v>
      </c>
      <c r="E4575" s="2">
        <v>2.38</v>
      </c>
    </row>
    <row r="4576" spans="1:5" x14ac:dyDescent="0.25">
      <c r="A4576" s="1">
        <v>43524</v>
      </c>
      <c r="B4576">
        <v>121495</v>
      </c>
      <c r="C4576" t="s">
        <v>75</v>
      </c>
      <c r="D4576" t="s">
        <v>4096</v>
      </c>
      <c r="E4576" s="2">
        <v>60.31</v>
      </c>
    </row>
    <row r="4577" spans="1:5" x14ac:dyDescent="0.25">
      <c r="A4577" s="1">
        <v>43524</v>
      </c>
      <c r="B4577">
        <v>121495</v>
      </c>
      <c r="C4577" t="s">
        <v>75</v>
      </c>
      <c r="D4577" t="s">
        <v>4097</v>
      </c>
      <c r="E4577" s="2">
        <v>7.21</v>
      </c>
    </row>
    <row r="4578" spans="1:5" x14ac:dyDescent="0.25">
      <c r="A4578" s="1">
        <v>43524</v>
      </c>
      <c r="B4578">
        <v>121498</v>
      </c>
      <c r="C4578" t="s">
        <v>11</v>
      </c>
      <c r="D4578" t="s">
        <v>4098</v>
      </c>
      <c r="E4578" s="2">
        <v>159.97999999999999</v>
      </c>
    </row>
    <row r="4579" spans="1:5" x14ac:dyDescent="0.25">
      <c r="A4579" s="1">
        <v>43524</v>
      </c>
      <c r="B4579">
        <v>121498</v>
      </c>
      <c r="C4579" t="s">
        <v>11</v>
      </c>
      <c r="D4579" t="s">
        <v>4098</v>
      </c>
      <c r="E4579" s="2">
        <v>72.78</v>
      </c>
    </row>
    <row r="4580" spans="1:5" x14ac:dyDescent="0.25">
      <c r="A4580" s="1">
        <v>43524</v>
      </c>
      <c r="B4580">
        <v>121498</v>
      </c>
      <c r="C4580" t="s">
        <v>11</v>
      </c>
      <c r="D4580" t="s">
        <v>1482</v>
      </c>
      <c r="E4580" s="2">
        <v>1542.84</v>
      </c>
    </row>
    <row r="4581" spans="1:5" x14ac:dyDescent="0.25">
      <c r="A4581" s="1">
        <v>43524</v>
      </c>
      <c r="B4581">
        <v>121498</v>
      </c>
      <c r="C4581" t="s">
        <v>11</v>
      </c>
      <c r="D4581" t="s">
        <v>4098</v>
      </c>
      <c r="E4581" s="2">
        <v>573.57000000000005</v>
      </c>
    </row>
    <row r="4582" spans="1:5" x14ac:dyDescent="0.25">
      <c r="A4582" s="1">
        <v>43524</v>
      </c>
      <c r="B4582">
        <v>121498</v>
      </c>
      <c r="C4582" t="s">
        <v>11</v>
      </c>
      <c r="D4582" t="s">
        <v>3062</v>
      </c>
      <c r="E4582" s="2">
        <v>133.47</v>
      </c>
    </row>
    <row r="4583" spans="1:5" x14ac:dyDescent="0.25">
      <c r="A4583" s="1">
        <v>43524</v>
      </c>
      <c r="B4583">
        <v>121498</v>
      </c>
      <c r="C4583" t="s">
        <v>11</v>
      </c>
      <c r="D4583" t="s">
        <v>3971</v>
      </c>
      <c r="E4583" s="2">
        <v>67.8</v>
      </c>
    </row>
    <row r="4584" spans="1:5" x14ac:dyDescent="0.25">
      <c r="A4584" s="1">
        <v>43524</v>
      </c>
      <c r="B4584">
        <v>121498</v>
      </c>
      <c r="C4584" t="s">
        <v>11</v>
      </c>
      <c r="D4584" t="s">
        <v>1486</v>
      </c>
      <c r="E4584" s="2">
        <v>898.79</v>
      </c>
    </row>
    <row r="4585" spans="1:5" x14ac:dyDescent="0.25">
      <c r="A4585" s="1">
        <v>43524</v>
      </c>
      <c r="B4585">
        <v>121498</v>
      </c>
      <c r="C4585" t="s">
        <v>11</v>
      </c>
      <c r="D4585" t="s">
        <v>4099</v>
      </c>
      <c r="E4585" s="2">
        <v>97.2</v>
      </c>
    </row>
    <row r="4586" spans="1:5" x14ac:dyDescent="0.25">
      <c r="A4586" s="1">
        <v>43524</v>
      </c>
      <c r="B4586">
        <v>121498</v>
      </c>
      <c r="C4586" t="s">
        <v>11</v>
      </c>
      <c r="D4586" t="s">
        <v>3166</v>
      </c>
      <c r="E4586" s="2">
        <v>71.97</v>
      </c>
    </row>
    <row r="4587" spans="1:5" x14ac:dyDescent="0.25">
      <c r="A4587" s="1">
        <v>43524</v>
      </c>
      <c r="B4587">
        <v>121498</v>
      </c>
      <c r="C4587" t="s">
        <v>11</v>
      </c>
      <c r="D4587" t="s">
        <v>3166</v>
      </c>
      <c r="E4587" s="2">
        <f>982.69+30.99+49.9</f>
        <v>1063.5800000000002</v>
      </c>
    </row>
    <row r="4588" spans="1:5" x14ac:dyDescent="0.25">
      <c r="A4588" s="1">
        <v>43524</v>
      </c>
      <c r="B4588">
        <v>121499</v>
      </c>
      <c r="C4588" t="s">
        <v>12</v>
      </c>
      <c r="D4588" t="s">
        <v>4100</v>
      </c>
      <c r="E4588" s="2">
        <v>418.28</v>
      </c>
    </row>
    <row r="4589" spans="1:5" x14ac:dyDescent="0.25">
      <c r="A4589" s="1">
        <v>43524</v>
      </c>
      <c r="B4589">
        <v>121500</v>
      </c>
      <c r="C4589" t="s">
        <v>50</v>
      </c>
      <c r="D4589" t="s">
        <v>2047</v>
      </c>
      <c r="E4589" s="2">
        <v>2792.5</v>
      </c>
    </row>
    <row r="4590" spans="1:5" x14ac:dyDescent="0.25">
      <c r="A4590" s="1">
        <v>43524</v>
      </c>
      <c r="B4590">
        <v>121501</v>
      </c>
      <c r="C4590" t="s">
        <v>1702</v>
      </c>
      <c r="D4590" t="s">
        <v>4101</v>
      </c>
      <c r="E4590" s="2">
        <v>248.9</v>
      </c>
    </row>
    <row r="4591" spans="1:5" x14ac:dyDescent="0.25">
      <c r="A4591" s="1">
        <v>43524</v>
      </c>
      <c r="B4591">
        <v>121502</v>
      </c>
      <c r="C4591" t="s">
        <v>149</v>
      </c>
      <c r="D4591" t="s">
        <v>4102</v>
      </c>
      <c r="E4591" s="2">
        <v>40</v>
      </c>
    </row>
    <row r="4592" spans="1:5" x14ac:dyDescent="0.25">
      <c r="A4592" s="1">
        <v>43524</v>
      </c>
      <c r="B4592">
        <v>121503</v>
      </c>
      <c r="C4592" t="s">
        <v>51</v>
      </c>
      <c r="D4592" t="s">
        <v>2049</v>
      </c>
      <c r="E4592" s="2">
        <v>35.950000000000003</v>
      </c>
    </row>
    <row r="4593" spans="1:5" x14ac:dyDescent="0.25">
      <c r="A4593" s="1">
        <v>43524</v>
      </c>
      <c r="B4593">
        <v>121505</v>
      </c>
      <c r="C4593" t="s">
        <v>302</v>
      </c>
      <c r="D4593" t="s">
        <v>4103</v>
      </c>
      <c r="E4593" s="2">
        <v>112</v>
      </c>
    </row>
    <row r="4594" spans="1:5" x14ac:dyDescent="0.25">
      <c r="A4594" s="1">
        <v>43524</v>
      </c>
      <c r="B4594">
        <v>121505</v>
      </c>
      <c r="C4594" t="s">
        <v>302</v>
      </c>
      <c r="D4594" t="s">
        <v>3605</v>
      </c>
      <c r="E4594" s="2">
        <f>79.2+79.2</f>
        <v>158.4</v>
      </c>
    </row>
    <row r="4595" spans="1:5" x14ac:dyDescent="0.25">
      <c r="A4595" s="1">
        <v>43524</v>
      </c>
      <c r="B4595">
        <v>121506</v>
      </c>
      <c r="C4595" t="s">
        <v>14</v>
      </c>
      <c r="D4595" t="s">
        <v>4104</v>
      </c>
      <c r="E4595" s="2">
        <v>103.2</v>
      </c>
    </row>
    <row r="4596" spans="1:5" x14ac:dyDescent="0.25">
      <c r="A4596" s="1">
        <v>43524</v>
      </c>
      <c r="B4596">
        <v>121506</v>
      </c>
      <c r="C4596" t="s">
        <v>14</v>
      </c>
      <c r="D4596" t="s">
        <v>4105</v>
      </c>
      <c r="E4596" s="2">
        <v>714.48</v>
      </c>
    </row>
    <row r="4597" spans="1:5" x14ac:dyDescent="0.25">
      <c r="A4597" s="1">
        <v>43524</v>
      </c>
      <c r="B4597">
        <v>121506</v>
      </c>
      <c r="C4597" t="s">
        <v>14</v>
      </c>
      <c r="D4597" t="s">
        <v>3757</v>
      </c>
      <c r="E4597" s="2">
        <v>1034.8</v>
      </c>
    </row>
    <row r="4598" spans="1:5" x14ac:dyDescent="0.25">
      <c r="A4598" s="1">
        <v>43524</v>
      </c>
      <c r="B4598">
        <v>121507</v>
      </c>
      <c r="C4598" t="s">
        <v>3840</v>
      </c>
      <c r="D4598" t="s">
        <v>4106</v>
      </c>
      <c r="E4598" s="2">
        <v>25887.5</v>
      </c>
    </row>
    <row r="4599" spans="1:5" x14ac:dyDescent="0.25">
      <c r="A4599" s="1">
        <v>43524</v>
      </c>
      <c r="B4599">
        <v>121509</v>
      </c>
      <c r="C4599" t="s">
        <v>631</v>
      </c>
      <c r="D4599" t="s">
        <v>4107</v>
      </c>
      <c r="E4599" s="2">
        <v>119.52</v>
      </c>
    </row>
    <row r="4600" spans="1:5" x14ac:dyDescent="0.25">
      <c r="A4600" s="1">
        <v>43524</v>
      </c>
      <c r="B4600">
        <v>121509</v>
      </c>
      <c r="C4600" t="s">
        <v>631</v>
      </c>
      <c r="D4600" t="s">
        <v>4108</v>
      </c>
      <c r="E4600" s="2">
        <v>53.06</v>
      </c>
    </row>
    <row r="4601" spans="1:5" x14ac:dyDescent="0.25">
      <c r="A4601" s="1">
        <v>43524</v>
      </c>
      <c r="B4601">
        <v>121509</v>
      </c>
      <c r="C4601" t="s">
        <v>631</v>
      </c>
      <c r="D4601" t="s">
        <v>4109</v>
      </c>
      <c r="E4601" s="2">
        <v>22.96</v>
      </c>
    </row>
    <row r="4602" spans="1:5" x14ac:dyDescent="0.25">
      <c r="A4602" s="1">
        <v>43524</v>
      </c>
      <c r="B4602">
        <v>121509</v>
      </c>
      <c r="C4602" t="s">
        <v>631</v>
      </c>
      <c r="D4602" t="s">
        <v>4110</v>
      </c>
      <c r="E4602" s="2">
        <v>44.7</v>
      </c>
    </row>
    <row r="4603" spans="1:5" x14ac:dyDescent="0.25">
      <c r="A4603" s="1">
        <v>43524</v>
      </c>
      <c r="B4603">
        <v>121509</v>
      </c>
      <c r="C4603" t="s">
        <v>631</v>
      </c>
      <c r="D4603" t="s">
        <v>4111</v>
      </c>
      <c r="E4603" s="2">
        <v>753.01</v>
      </c>
    </row>
    <row r="4604" spans="1:5" x14ac:dyDescent="0.25">
      <c r="A4604" s="1">
        <v>43524</v>
      </c>
      <c r="B4604">
        <v>121509</v>
      </c>
      <c r="C4604" t="s">
        <v>631</v>
      </c>
      <c r="D4604" t="s">
        <v>4112</v>
      </c>
      <c r="E4604" s="2">
        <v>88.48</v>
      </c>
    </row>
    <row r="4605" spans="1:5" x14ac:dyDescent="0.25">
      <c r="A4605" s="1">
        <v>43524</v>
      </c>
      <c r="B4605">
        <v>121509</v>
      </c>
      <c r="C4605" t="s">
        <v>631</v>
      </c>
      <c r="D4605" t="s">
        <v>4113</v>
      </c>
      <c r="E4605" s="2">
        <v>68.260000000000005</v>
      </c>
    </row>
    <row r="4606" spans="1:5" x14ac:dyDescent="0.25">
      <c r="A4606" s="1">
        <v>43524</v>
      </c>
      <c r="B4606">
        <v>121510</v>
      </c>
      <c r="C4606" t="s">
        <v>1848</v>
      </c>
      <c r="D4606" t="s">
        <v>1224</v>
      </c>
      <c r="E4606" s="2">
        <v>13.49</v>
      </c>
    </row>
    <row r="4607" spans="1:5" x14ac:dyDescent="0.25">
      <c r="A4607" s="1">
        <v>43524</v>
      </c>
      <c r="B4607">
        <v>121511</v>
      </c>
      <c r="C4607" t="s">
        <v>382</v>
      </c>
      <c r="D4607" t="s">
        <v>2318</v>
      </c>
      <c r="E4607" s="2">
        <v>50</v>
      </c>
    </row>
    <row r="4608" spans="1:5" x14ac:dyDescent="0.25">
      <c r="A4608" s="1">
        <v>43524</v>
      </c>
      <c r="B4608">
        <v>121512</v>
      </c>
      <c r="C4608" t="s">
        <v>4114</v>
      </c>
      <c r="D4608" t="s">
        <v>4115</v>
      </c>
      <c r="E4608" s="2">
        <v>5.21</v>
      </c>
    </row>
    <row r="4609" spans="1:5" x14ac:dyDescent="0.25">
      <c r="A4609" s="1">
        <v>43524</v>
      </c>
      <c r="B4609">
        <v>121513</v>
      </c>
      <c r="C4609" t="s">
        <v>16</v>
      </c>
      <c r="D4609" t="s">
        <v>4116</v>
      </c>
      <c r="E4609" s="2">
        <v>35.56</v>
      </c>
    </row>
    <row r="4610" spans="1:5" x14ac:dyDescent="0.25">
      <c r="A4610" s="1">
        <v>43524</v>
      </c>
      <c r="B4610">
        <v>121514</v>
      </c>
      <c r="C4610" t="s">
        <v>760</v>
      </c>
      <c r="D4610" t="s">
        <v>4117</v>
      </c>
      <c r="E4610" s="2">
        <v>36.590000000000003</v>
      </c>
    </row>
    <row r="4611" spans="1:5" x14ac:dyDescent="0.25">
      <c r="A4611" s="1">
        <v>43524</v>
      </c>
      <c r="B4611">
        <v>121515</v>
      </c>
      <c r="C4611" t="s">
        <v>2591</v>
      </c>
      <c r="D4611" t="s">
        <v>3666</v>
      </c>
      <c r="E4611" s="2">
        <v>1461</v>
      </c>
    </row>
    <row r="4612" spans="1:5" x14ac:dyDescent="0.25">
      <c r="A4612" s="1">
        <v>43524</v>
      </c>
      <c r="B4612">
        <v>121515</v>
      </c>
      <c r="C4612" t="s">
        <v>2591</v>
      </c>
      <c r="D4612" t="s">
        <v>3666</v>
      </c>
      <c r="E4612" s="2">
        <v>1698.92</v>
      </c>
    </row>
    <row r="4613" spans="1:5" x14ac:dyDescent="0.25">
      <c r="A4613" s="1">
        <v>43524</v>
      </c>
      <c r="B4613">
        <v>121516</v>
      </c>
      <c r="C4613" t="s">
        <v>765</v>
      </c>
      <c r="D4613" t="s">
        <v>4118</v>
      </c>
      <c r="E4613" s="2">
        <v>181.5</v>
      </c>
    </row>
    <row r="4614" spans="1:5" x14ac:dyDescent="0.25">
      <c r="A4614" s="1">
        <v>43524</v>
      </c>
      <c r="B4614">
        <v>121517</v>
      </c>
      <c r="C4614" t="s">
        <v>161</v>
      </c>
      <c r="D4614" t="s">
        <v>4119</v>
      </c>
      <c r="E4614" s="2">
        <v>6500</v>
      </c>
    </row>
    <row r="4615" spans="1:5" x14ac:dyDescent="0.25">
      <c r="A4615" s="1">
        <v>43524</v>
      </c>
      <c r="B4615">
        <v>121518</v>
      </c>
      <c r="C4615" t="s">
        <v>4120</v>
      </c>
      <c r="D4615" t="s">
        <v>4121</v>
      </c>
      <c r="E4615" s="2">
        <v>502.65</v>
      </c>
    </row>
    <row r="4616" spans="1:5" x14ac:dyDescent="0.25">
      <c r="A4616" s="1">
        <v>43524</v>
      </c>
      <c r="B4616">
        <v>121519</v>
      </c>
      <c r="C4616" t="s">
        <v>768</v>
      </c>
      <c r="D4616" t="s">
        <v>4122</v>
      </c>
      <c r="E4616" s="2">
        <v>282.5</v>
      </c>
    </row>
    <row r="4617" spans="1:5" x14ac:dyDescent="0.25">
      <c r="A4617" s="1">
        <v>43524</v>
      </c>
      <c r="B4617">
        <v>121519</v>
      </c>
      <c r="C4617" t="s">
        <v>768</v>
      </c>
      <c r="D4617" t="s">
        <v>4123</v>
      </c>
      <c r="E4617" s="2">
        <v>717.54</v>
      </c>
    </row>
    <row r="4618" spans="1:5" x14ac:dyDescent="0.25">
      <c r="A4618" s="1">
        <v>43524</v>
      </c>
      <c r="B4618">
        <v>121520</v>
      </c>
      <c r="C4618" t="s">
        <v>213</v>
      </c>
      <c r="D4618" t="s">
        <v>4124</v>
      </c>
      <c r="E4618" s="2">
        <v>55.12</v>
      </c>
    </row>
    <row r="4619" spans="1:5" x14ac:dyDescent="0.25">
      <c r="A4619" s="1">
        <v>43524</v>
      </c>
      <c r="B4619">
        <v>121520</v>
      </c>
      <c r="C4619" t="s">
        <v>213</v>
      </c>
      <c r="D4619" t="s">
        <v>4124</v>
      </c>
      <c r="E4619" s="2">
        <v>18.71</v>
      </c>
    </row>
    <row r="4620" spans="1:5" x14ac:dyDescent="0.25">
      <c r="A4620" s="1">
        <v>43524</v>
      </c>
      <c r="B4620">
        <v>121520</v>
      </c>
      <c r="C4620" t="s">
        <v>213</v>
      </c>
      <c r="D4620" t="s">
        <v>4124</v>
      </c>
      <c r="E4620" s="2">
        <v>34.950000000000003</v>
      </c>
    </row>
    <row r="4621" spans="1:5" x14ac:dyDescent="0.25">
      <c r="A4621" s="1">
        <v>43524</v>
      </c>
      <c r="B4621">
        <v>121520</v>
      </c>
      <c r="C4621" t="s">
        <v>213</v>
      </c>
      <c r="D4621" t="s">
        <v>4124</v>
      </c>
      <c r="E4621" s="2">
        <v>26.31</v>
      </c>
    </row>
    <row r="4622" spans="1:5" x14ac:dyDescent="0.25">
      <c r="A4622" s="1">
        <v>43524</v>
      </c>
      <c r="B4622">
        <v>121521</v>
      </c>
      <c r="C4622" t="s">
        <v>4125</v>
      </c>
      <c r="D4622" t="s">
        <v>4126</v>
      </c>
      <c r="E4622" s="2">
        <v>814</v>
      </c>
    </row>
    <row r="4623" spans="1:5" x14ac:dyDescent="0.25">
      <c r="A4623" s="1">
        <v>43524</v>
      </c>
      <c r="B4623">
        <v>121522</v>
      </c>
      <c r="C4623" t="s">
        <v>166</v>
      </c>
      <c r="D4623" t="s">
        <v>3764</v>
      </c>
      <c r="E4623" s="2">
        <v>135</v>
      </c>
    </row>
    <row r="4624" spans="1:5" x14ac:dyDescent="0.25">
      <c r="A4624" s="1">
        <v>43524</v>
      </c>
      <c r="B4624">
        <v>121522</v>
      </c>
      <c r="C4624" t="s">
        <v>166</v>
      </c>
      <c r="D4624" t="s">
        <v>4127</v>
      </c>
      <c r="E4624" s="2">
        <v>560</v>
      </c>
    </row>
    <row r="4625" spans="1:5" x14ac:dyDescent="0.25">
      <c r="A4625" s="1">
        <v>43524</v>
      </c>
      <c r="B4625">
        <v>121523</v>
      </c>
      <c r="C4625" t="s">
        <v>4128</v>
      </c>
      <c r="D4625" t="s">
        <v>4129</v>
      </c>
      <c r="E4625" s="2">
        <v>125</v>
      </c>
    </row>
    <row r="4626" spans="1:5" x14ac:dyDescent="0.25">
      <c r="A4626" s="1">
        <v>43524</v>
      </c>
      <c r="B4626">
        <v>121524</v>
      </c>
      <c r="C4626" t="s">
        <v>3530</v>
      </c>
      <c r="D4626" t="s">
        <v>3119</v>
      </c>
      <c r="E4626" s="2">
        <v>175</v>
      </c>
    </row>
    <row r="4627" spans="1:5" x14ac:dyDescent="0.25">
      <c r="A4627" s="1">
        <v>43524</v>
      </c>
      <c r="B4627">
        <v>121525</v>
      </c>
      <c r="C4627" t="s">
        <v>4130</v>
      </c>
      <c r="D4627" t="s">
        <v>4131</v>
      </c>
      <c r="E4627" s="2">
        <v>100</v>
      </c>
    </row>
    <row r="4628" spans="1:5" x14ac:dyDescent="0.25">
      <c r="A4628" s="1">
        <v>43524</v>
      </c>
      <c r="B4628">
        <v>121526</v>
      </c>
      <c r="C4628" t="s">
        <v>2300</v>
      </c>
      <c r="D4628" t="s">
        <v>4132</v>
      </c>
      <c r="E4628" s="2">
        <v>385</v>
      </c>
    </row>
    <row r="4629" spans="1:5" x14ac:dyDescent="0.25">
      <c r="A4629" s="1">
        <v>43524</v>
      </c>
      <c r="B4629">
        <v>121527</v>
      </c>
      <c r="C4629" t="s">
        <v>1951</v>
      </c>
      <c r="D4629" t="s">
        <v>4133</v>
      </c>
      <c r="E4629" s="2">
        <v>350</v>
      </c>
    </row>
    <row r="4630" spans="1:5" x14ac:dyDescent="0.25">
      <c r="A4630" s="1">
        <v>43524</v>
      </c>
      <c r="B4630">
        <v>121528</v>
      </c>
      <c r="C4630" t="s">
        <v>1722</v>
      </c>
      <c r="D4630" t="s">
        <v>2024</v>
      </c>
      <c r="E4630" s="2">
        <v>9.99</v>
      </c>
    </row>
    <row r="4631" spans="1:5" x14ac:dyDescent="0.25">
      <c r="A4631" s="1">
        <v>43524</v>
      </c>
      <c r="B4631">
        <v>121528</v>
      </c>
      <c r="C4631" t="s">
        <v>1722</v>
      </c>
      <c r="D4631" t="s">
        <v>4134</v>
      </c>
      <c r="E4631" s="2">
        <v>7.5</v>
      </c>
    </row>
    <row r="4632" spans="1:5" x14ac:dyDescent="0.25">
      <c r="A4632" s="1">
        <v>43524</v>
      </c>
      <c r="B4632">
        <v>121529</v>
      </c>
      <c r="C4632" t="s">
        <v>1270</v>
      </c>
      <c r="D4632" t="s">
        <v>234</v>
      </c>
      <c r="E4632" s="2">
        <v>229.91</v>
      </c>
    </row>
    <row r="4633" spans="1:5" x14ac:dyDescent="0.25">
      <c r="A4633" s="1">
        <v>43524</v>
      </c>
      <c r="B4633">
        <v>121530</v>
      </c>
      <c r="C4633" t="s">
        <v>4135</v>
      </c>
      <c r="D4633" t="s">
        <v>4136</v>
      </c>
      <c r="E4633" s="2">
        <v>355.5</v>
      </c>
    </row>
    <row r="4634" spans="1:5" ht="11.25" customHeight="1" x14ac:dyDescent="0.25">
      <c r="A4634" s="1">
        <v>43524</v>
      </c>
      <c r="B4634">
        <v>121531</v>
      </c>
      <c r="C4634" t="s">
        <v>388</v>
      </c>
      <c r="D4634" t="s">
        <v>4137</v>
      </c>
      <c r="E4634" s="2">
        <f>423.9+429.52+469.86</f>
        <v>1323.28</v>
      </c>
    </row>
    <row r="4635" spans="1:5" x14ac:dyDescent="0.25">
      <c r="A4635" s="1">
        <v>43524</v>
      </c>
      <c r="B4635">
        <v>121532</v>
      </c>
      <c r="C4635" t="s">
        <v>329</v>
      </c>
      <c r="D4635" t="s">
        <v>4138</v>
      </c>
      <c r="E4635" s="2">
        <v>250</v>
      </c>
    </row>
    <row r="4636" spans="1:5" x14ac:dyDescent="0.25">
      <c r="A4636" s="1">
        <v>43524</v>
      </c>
      <c r="B4636">
        <v>121533</v>
      </c>
      <c r="C4636" t="s">
        <v>2865</v>
      </c>
      <c r="D4636" t="s">
        <v>4139</v>
      </c>
      <c r="E4636" s="2">
        <v>825.75</v>
      </c>
    </row>
    <row r="4637" spans="1:5" x14ac:dyDescent="0.25">
      <c r="A4637" s="1">
        <v>43524</v>
      </c>
      <c r="B4637">
        <v>121533</v>
      </c>
      <c r="C4637" t="s">
        <v>2865</v>
      </c>
      <c r="D4637" t="s">
        <v>4140</v>
      </c>
      <c r="E4637" s="2">
        <v>36.799999999999997</v>
      </c>
    </row>
    <row r="4638" spans="1:5" x14ac:dyDescent="0.25">
      <c r="A4638" s="1">
        <v>43524</v>
      </c>
      <c r="B4638">
        <v>121534</v>
      </c>
      <c r="C4638" t="s">
        <v>184</v>
      </c>
      <c r="D4638" t="s">
        <v>2816</v>
      </c>
      <c r="E4638" s="2">
        <v>2330.5700000000002</v>
      </c>
    </row>
    <row r="4639" spans="1:5" x14ac:dyDescent="0.25">
      <c r="A4639" s="1">
        <v>43524</v>
      </c>
      <c r="B4639">
        <v>121535</v>
      </c>
      <c r="C4639" t="s">
        <v>1534</v>
      </c>
      <c r="D4639" t="s">
        <v>4141</v>
      </c>
      <c r="E4639" s="2">
        <v>2634.66</v>
      </c>
    </row>
    <row r="4640" spans="1:5" x14ac:dyDescent="0.25">
      <c r="A4640" s="1">
        <v>43524</v>
      </c>
      <c r="B4640">
        <v>121536</v>
      </c>
      <c r="C4640" t="s">
        <v>1281</v>
      </c>
      <c r="D4640" t="s">
        <v>4142</v>
      </c>
      <c r="E4640" s="2">
        <v>91.08</v>
      </c>
    </row>
    <row r="4641" spans="1:5" x14ac:dyDescent="0.25">
      <c r="A4641" s="1">
        <v>43524</v>
      </c>
      <c r="B4641">
        <v>121536</v>
      </c>
      <c r="C4641" t="s">
        <v>1281</v>
      </c>
      <c r="D4641" t="s">
        <v>4143</v>
      </c>
      <c r="E4641" s="2">
        <v>454.04</v>
      </c>
    </row>
    <row r="4642" spans="1:5" x14ac:dyDescent="0.25">
      <c r="A4642" s="1">
        <v>43524</v>
      </c>
      <c r="B4642">
        <v>121536</v>
      </c>
      <c r="C4642" t="s">
        <v>1281</v>
      </c>
      <c r="D4642" t="s">
        <v>4144</v>
      </c>
      <c r="E4642" s="2">
        <v>112.12</v>
      </c>
    </row>
    <row r="4643" spans="1:5" x14ac:dyDescent="0.25">
      <c r="A4643" s="1">
        <v>43524</v>
      </c>
      <c r="B4643">
        <v>121537</v>
      </c>
      <c r="C4643" t="s">
        <v>3780</v>
      </c>
      <c r="D4643" t="s">
        <v>3781</v>
      </c>
      <c r="E4643" s="2">
        <v>1199.99</v>
      </c>
    </row>
    <row r="4644" spans="1:5" x14ac:dyDescent="0.25">
      <c r="A4644" s="1">
        <v>43502</v>
      </c>
      <c r="B4644">
        <v>181900180</v>
      </c>
      <c r="C4644" t="s">
        <v>4145</v>
      </c>
      <c r="D4644" t="s">
        <v>4146</v>
      </c>
      <c r="E4644" s="2">
        <v>61.93</v>
      </c>
    </row>
    <row r="4645" spans="1:5" x14ac:dyDescent="0.25">
      <c r="A4645" s="1">
        <v>43503</v>
      </c>
      <c r="B4645">
        <v>181900181</v>
      </c>
      <c r="C4645" t="s">
        <v>4147</v>
      </c>
      <c r="D4645" t="s">
        <v>4148</v>
      </c>
      <c r="E4645" s="2">
        <v>201.34</v>
      </c>
    </row>
    <row r="4646" spans="1:5" x14ac:dyDescent="0.25">
      <c r="A4646" s="1">
        <v>43503</v>
      </c>
      <c r="B4646">
        <v>181900182</v>
      </c>
      <c r="C4646" t="s">
        <v>1541</v>
      </c>
      <c r="D4646" t="s">
        <v>4149</v>
      </c>
      <c r="E4646" s="2">
        <v>299.79000000000002</v>
      </c>
    </row>
    <row r="4647" spans="1:5" x14ac:dyDescent="0.25">
      <c r="A4647" s="1">
        <v>43503</v>
      </c>
      <c r="B4647">
        <v>181900183</v>
      </c>
      <c r="C4647" t="s">
        <v>2462</v>
      </c>
      <c r="D4647" t="s">
        <v>4150</v>
      </c>
      <c r="E4647" s="2">
        <v>157.21</v>
      </c>
    </row>
    <row r="4648" spans="1:5" x14ac:dyDescent="0.25">
      <c r="A4648" s="1">
        <v>43503</v>
      </c>
      <c r="B4648">
        <v>181900184</v>
      </c>
      <c r="C4648" t="s">
        <v>2817</v>
      </c>
      <c r="D4648" t="s">
        <v>4151</v>
      </c>
      <c r="E4648" s="2">
        <v>334.49</v>
      </c>
    </row>
    <row r="4649" spans="1:5" x14ac:dyDescent="0.25">
      <c r="A4649" s="1">
        <v>43503</v>
      </c>
      <c r="B4649">
        <v>181900185</v>
      </c>
      <c r="C4649" t="s">
        <v>398</v>
      </c>
      <c r="D4649" t="s">
        <v>4152</v>
      </c>
      <c r="E4649" s="2">
        <v>440.4</v>
      </c>
    </row>
    <row r="4650" spans="1:5" x14ac:dyDescent="0.25">
      <c r="A4650" s="1">
        <v>43503</v>
      </c>
      <c r="B4650">
        <v>181900185</v>
      </c>
      <c r="C4650" t="s">
        <v>398</v>
      </c>
      <c r="D4650" t="s">
        <v>4153</v>
      </c>
      <c r="E4650" s="2">
        <v>717.87</v>
      </c>
    </row>
    <row r="4651" spans="1:5" x14ac:dyDescent="0.25">
      <c r="A4651" s="1">
        <v>43503</v>
      </c>
      <c r="B4651">
        <v>181900186</v>
      </c>
      <c r="C4651" t="s">
        <v>4154</v>
      </c>
      <c r="D4651" t="s">
        <v>4155</v>
      </c>
      <c r="E4651" s="2">
        <v>44.9</v>
      </c>
    </row>
    <row r="4652" spans="1:5" x14ac:dyDescent="0.25">
      <c r="A4652" s="1">
        <v>43503</v>
      </c>
      <c r="B4652">
        <v>181900187</v>
      </c>
      <c r="C4652" t="s">
        <v>909</v>
      </c>
      <c r="D4652" t="s">
        <v>4156</v>
      </c>
      <c r="E4652" s="2">
        <v>90</v>
      </c>
    </row>
    <row r="4653" spans="1:5" x14ac:dyDescent="0.25">
      <c r="A4653" s="1">
        <v>43503</v>
      </c>
      <c r="B4653">
        <v>181900188</v>
      </c>
      <c r="C4653" t="s">
        <v>4157</v>
      </c>
      <c r="D4653" t="s">
        <v>4158</v>
      </c>
      <c r="E4653" s="2">
        <v>243.96</v>
      </c>
    </row>
    <row r="4654" spans="1:5" x14ac:dyDescent="0.25">
      <c r="A4654" s="1">
        <v>43503</v>
      </c>
      <c r="B4654">
        <v>181900189</v>
      </c>
      <c r="C4654" t="s">
        <v>2266</v>
      </c>
      <c r="D4654" t="s">
        <v>4159</v>
      </c>
      <c r="E4654" s="2">
        <v>385</v>
      </c>
    </row>
    <row r="4655" spans="1:5" x14ac:dyDescent="0.25">
      <c r="A4655" s="1">
        <v>43509</v>
      </c>
      <c r="B4655">
        <v>181900190</v>
      </c>
      <c r="C4655" t="s">
        <v>4160</v>
      </c>
      <c r="D4655" t="s">
        <v>4161</v>
      </c>
      <c r="E4655" s="2">
        <v>164</v>
      </c>
    </row>
    <row r="4656" spans="1:5" x14ac:dyDescent="0.25">
      <c r="A4656" s="1">
        <v>43509</v>
      </c>
      <c r="B4656">
        <v>181900191</v>
      </c>
      <c r="C4656" t="s">
        <v>394</v>
      </c>
      <c r="D4656" t="s">
        <v>4162</v>
      </c>
      <c r="E4656" s="2">
        <v>600</v>
      </c>
    </row>
    <row r="4657" spans="1:5" x14ac:dyDescent="0.25">
      <c r="A4657" s="1">
        <v>43509</v>
      </c>
      <c r="B4657">
        <v>181900192</v>
      </c>
      <c r="C4657" t="s">
        <v>2647</v>
      </c>
      <c r="D4657" t="s">
        <v>4163</v>
      </c>
      <c r="E4657" s="2">
        <v>56.73</v>
      </c>
    </row>
    <row r="4658" spans="1:5" x14ac:dyDescent="0.25">
      <c r="A4658" s="1">
        <v>43510</v>
      </c>
      <c r="B4658">
        <v>181900193</v>
      </c>
      <c r="C4658" t="s">
        <v>4164</v>
      </c>
      <c r="D4658" t="s">
        <v>4165</v>
      </c>
      <c r="E4658" s="2">
        <v>386.05</v>
      </c>
    </row>
    <row r="4659" spans="1:5" x14ac:dyDescent="0.25">
      <c r="A4659" s="1">
        <v>43510</v>
      </c>
      <c r="B4659">
        <v>181900194</v>
      </c>
      <c r="C4659" t="s">
        <v>4166</v>
      </c>
      <c r="D4659" t="s">
        <v>4167</v>
      </c>
      <c r="E4659" s="2">
        <v>362.89</v>
      </c>
    </row>
    <row r="4660" spans="1:5" x14ac:dyDescent="0.25">
      <c r="A4660" s="1">
        <v>43510</v>
      </c>
      <c r="B4660">
        <v>181900195</v>
      </c>
      <c r="C4660" t="s">
        <v>1059</v>
      </c>
      <c r="D4660" t="s">
        <v>4168</v>
      </c>
      <c r="E4660" s="2">
        <v>456.22</v>
      </c>
    </row>
    <row r="4661" spans="1:5" x14ac:dyDescent="0.25">
      <c r="A4661" s="1">
        <v>43510</v>
      </c>
      <c r="B4661">
        <v>181900196</v>
      </c>
      <c r="C4661" t="s">
        <v>4169</v>
      </c>
      <c r="D4661" t="s">
        <v>4170</v>
      </c>
      <c r="E4661" s="2">
        <v>57.21</v>
      </c>
    </row>
    <row r="4662" spans="1:5" x14ac:dyDescent="0.25">
      <c r="A4662" s="1">
        <v>43510</v>
      </c>
      <c r="B4662">
        <v>181900197</v>
      </c>
      <c r="C4662" t="s">
        <v>4171</v>
      </c>
      <c r="D4662" t="s">
        <v>4172</v>
      </c>
      <c r="E4662" s="2">
        <v>165.52</v>
      </c>
    </row>
    <row r="4663" spans="1:5" x14ac:dyDescent="0.25">
      <c r="A4663" s="1">
        <v>43510</v>
      </c>
      <c r="B4663">
        <v>181900198</v>
      </c>
      <c r="C4663" t="s">
        <v>4173</v>
      </c>
      <c r="D4663" t="s">
        <v>4172</v>
      </c>
      <c r="E4663" s="2">
        <v>351.15</v>
      </c>
    </row>
    <row r="4664" spans="1:5" x14ac:dyDescent="0.25">
      <c r="A4664" s="1">
        <v>43510</v>
      </c>
      <c r="B4664">
        <v>181900199</v>
      </c>
      <c r="C4664" t="s">
        <v>4174</v>
      </c>
      <c r="D4664" t="s">
        <v>4168</v>
      </c>
      <c r="E4664" s="2">
        <v>62.83</v>
      </c>
    </row>
    <row r="4665" spans="1:5" x14ac:dyDescent="0.25">
      <c r="A4665" s="1">
        <v>43510</v>
      </c>
      <c r="B4665">
        <v>181900200</v>
      </c>
      <c r="C4665" t="s">
        <v>4175</v>
      </c>
      <c r="D4665" t="s">
        <v>4176</v>
      </c>
      <c r="E4665" s="2">
        <v>48.28</v>
      </c>
    </row>
    <row r="4666" spans="1:5" x14ac:dyDescent="0.25">
      <c r="A4666" s="1">
        <v>43510</v>
      </c>
      <c r="B4666">
        <v>181900201</v>
      </c>
      <c r="C4666" t="s">
        <v>4177</v>
      </c>
      <c r="D4666" t="s">
        <v>4178</v>
      </c>
      <c r="E4666" s="2">
        <v>118.87</v>
      </c>
    </row>
    <row r="4667" spans="1:5" x14ac:dyDescent="0.25">
      <c r="A4667" s="1">
        <v>43510</v>
      </c>
      <c r="B4667">
        <v>181900202</v>
      </c>
      <c r="C4667" t="s">
        <v>917</v>
      </c>
      <c r="D4667" t="s">
        <v>4168</v>
      </c>
      <c r="E4667" s="2">
        <v>245.16</v>
      </c>
    </row>
    <row r="4668" spans="1:5" x14ac:dyDescent="0.25">
      <c r="A4668" s="1">
        <v>43510</v>
      </c>
      <c r="B4668">
        <v>181900203</v>
      </c>
      <c r="C4668" t="s">
        <v>4179</v>
      </c>
      <c r="D4668" t="s">
        <v>4176</v>
      </c>
      <c r="E4668" s="2">
        <v>89.69</v>
      </c>
    </row>
    <row r="4669" spans="1:5" x14ac:dyDescent="0.25">
      <c r="A4669" s="1">
        <v>43510</v>
      </c>
      <c r="B4669">
        <v>181900204</v>
      </c>
      <c r="C4669" t="s">
        <v>393</v>
      </c>
      <c r="D4669" t="s">
        <v>4180</v>
      </c>
      <c r="E4669" s="2">
        <v>33.61</v>
      </c>
    </row>
    <row r="4670" spans="1:5" x14ac:dyDescent="0.25">
      <c r="A4670" s="1">
        <v>43510</v>
      </c>
      <c r="B4670">
        <v>181900205</v>
      </c>
      <c r="C4670" t="s">
        <v>4181</v>
      </c>
      <c r="D4670" t="s">
        <v>4180</v>
      </c>
      <c r="E4670" s="2">
        <v>72.64</v>
      </c>
    </row>
    <row r="4671" spans="1:5" x14ac:dyDescent="0.25">
      <c r="A4671" s="1">
        <v>43510</v>
      </c>
      <c r="B4671">
        <v>181900206</v>
      </c>
      <c r="C4671" t="s">
        <v>4182</v>
      </c>
      <c r="D4671" t="s">
        <v>4180</v>
      </c>
      <c r="E4671" s="2">
        <v>117.77</v>
      </c>
    </row>
    <row r="4672" spans="1:5" x14ac:dyDescent="0.25">
      <c r="A4672" s="1">
        <v>43516</v>
      </c>
      <c r="B4672">
        <v>181900207</v>
      </c>
      <c r="C4672" t="s">
        <v>4183</v>
      </c>
      <c r="D4672" t="s">
        <v>4184</v>
      </c>
      <c r="E4672" s="2">
        <v>342.16</v>
      </c>
    </row>
    <row r="4673" spans="1:5" x14ac:dyDescent="0.25">
      <c r="A4673" s="1">
        <v>43516</v>
      </c>
      <c r="B4673">
        <v>181900208</v>
      </c>
      <c r="C4673" t="s">
        <v>4185</v>
      </c>
      <c r="D4673" t="s">
        <v>4186</v>
      </c>
      <c r="E4673" s="2">
        <v>41.14</v>
      </c>
    </row>
    <row r="4674" spans="1:5" x14ac:dyDescent="0.25">
      <c r="A4674" s="1">
        <v>43516</v>
      </c>
      <c r="B4674">
        <v>181900208</v>
      </c>
      <c r="C4674" t="s">
        <v>4185</v>
      </c>
      <c r="D4674" t="s">
        <v>4187</v>
      </c>
      <c r="E4674" s="2">
        <v>69.42</v>
      </c>
    </row>
    <row r="4675" spans="1:5" x14ac:dyDescent="0.25">
      <c r="A4675" s="1">
        <v>43516</v>
      </c>
      <c r="B4675">
        <v>181900209</v>
      </c>
      <c r="C4675" t="s">
        <v>4188</v>
      </c>
      <c r="D4675" t="s">
        <v>4189</v>
      </c>
      <c r="E4675" s="2">
        <v>87.19</v>
      </c>
    </row>
    <row r="4676" spans="1:5" x14ac:dyDescent="0.25">
      <c r="A4676" s="1">
        <v>43516</v>
      </c>
      <c r="B4676">
        <v>181900210</v>
      </c>
      <c r="C4676" t="s">
        <v>2092</v>
      </c>
      <c r="D4676" t="s">
        <v>4168</v>
      </c>
      <c r="E4676" s="2">
        <v>104.75</v>
      </c>
    </row>
    <row r="4677" spans="1:5" x14ac:dyDescent="0.25">
      <c r="A4677" s="1">
        <v>43516</v>
      </c>
      <c r="B4677">
        <v>181900211</v>
      </c>
      <c r="C4677" t="s">
        <v>4190</v>
      </c>
      <c r="D4677" t="s">
        <v>4189</v>
      </c>
      <c r="E4677" s="2">
        <v>20.079999999999998</v>
      </c>
    </row>
    <row r="4678" spans="1:5" x14ac:dyDescent="0.25">
      <c r="A4678" s="1">
        <v>43516</v>
      </c>
      <c r="B4678">
        <v>181900212</v>
      </c>
      <c r="C4678" t="s">
        <v>4191</v>
      </c>
      <c r="D4678" t="s">
        <v>4189</v>
      </c>
      <c r="E4678" s="2">
        <v>87.54</v>
      </c>
    </row>
    <row r="4679" spans="1:5" x14ac:dyDescent="0.25">
      <c r="A4679" s="1">
        <v>43516</v>
      </c>
      <c r="B4679">
        <v>181900213</v>
      </c>
      <c r="C4679" t="s">
        <v>1296</v>
      </c>
      <c r="D4679" t="s">
        <v>4192</v>
      </c>
      <c r="E4679" s="2">
        <v>173</v>
      </c>
    </row>
    <row r="4680" spans="1:5" x14ac:dyDescent="0.25">
      <c r="A4680" s="1">
        <v>43516</v>
      </c>
      <c r="B4680">
        <v>181900213</v>
      </c>
      <c r="C4680" t="s">
        <v>1296</v>
      </c>
      <c r="D4680" t="s">
        <v>4192</v>
      </c>
      <c r="E4680" s="2">
        <v>97.5</v>
      </c>
    </row>
    <row r="4681" spans="1:5" x14ac:dyDescent="0.25">
      <c r="A4681" s="1">
        <v>43516</v>
      </c>
      <c r="B4681">
        <v>181900214</v>
      </c>
      <c r="C4681" t="s">
        <v>4193</v>
      </c>
      <c r="D4681" t="s">
        <v>4189</v>
      </c>
      <c r="E4681" s="2">
        <v>46.11</v>
      </c>
    </row>
    <row r="4682" spans="1:5" x14ac:dyDescent="0.25">
      <c r="A4682" s="1">
        <v>43516</v>
      </c>
      <c r="B4682">
        <v>181900215</v>
      </c>
      <c r="C4682" t="s">
        <v>4194</v>
      </c>
      <c r="D4682" t="s">
        <v>4189</v>
      </c>
      <c r="E4682" s="2">
        <v>70.37</v>
      </c>
    </row>
    <row r="4683" spans="1:5" x14ac:dyDescent="0.25">
      <c r="A4683" s="1">
        <v>43516</v>
      </c>
      <c r="B4683">
        <v>181900216</v>
      </c>
      <c r="C4683" t="s">
        <v>1069</v>
      </c>
      <c r="D4683" t="s">
        <v>4195</v>
      </c>
      <c r="E4683" s="2">
        <v>46.63</v>
      </c>
    </row>
    <row r="4684" spans="1:5" x14ac:dyDescent="0.25">
      <c r="A4684" s="1">
        <v>43517</v>
      </c>
      <c r="B4684">
        <v>181900217</v>
      </c>
      <c r="C4684" t="s">
        <v>650</v>
      </c>
      <c r="D4684" t="s">
        <v>4196</v>
      </c>
      <c r="E4684" s="2">
        <v>62.81</v>
      </c>
    </row>
    <row r="4685" spans="1:5" x14ac:dyDescent="0.25">
      <c r="A4685" s="1">
        <v>43517</v>
      </c>
      <c r="B4685">
        <v>181900218</v>
      </c>
      <c r="C4685" t="s">
        <v>4197</v>
      </c>
      <c r="D4685" t="s">
        <v>4198</v>
      </c>
      <c r="E4685" s="2">
        <v>40</v>
      </c>
    </row>
    <row r="4686" spans="1:5" x14ac:dyDescent="0.25">
      <c r="A4686" s="1">
        <v>43517</v>
      </c>
      <c r="B4686">
        <v>181900218</v>
      </c>
      <c r="C4686" t="s">
        <v>4197</v>
      </c>
      <c r="D4686" t="s">
        <v>4199</v>
      </c>
      <c r="E4686" s="2">
        <v>40</v>
      </c>
    </row>
    <row r="4687" spans="1:5" x14ac:dyDescent="0.25">
      <c r="A4687" s="1">
        <v>43523</v>
      </c>
      <c r="B4687">
        <v>181900224</v>
      </c>
      <c r="C4687" t="s">
        <v>650</v>
      </c>
      <c r="D4687" t="s">
        <v>4200</v>
      </c>
      <c r="E4687" s="2">
        <v>120</v>
      </c>
    </row>
    <row r="4688" spans="1:5" x14ac:dyDescent="0.25">
      <c r="A4688" s="1">
        <v>43524</v>
      </c>
      <c r="B4688">
        <v>181900225</v>
      </c>
      <c r="C4688" t="s">
        <v>4201</v>
      </c>
      <c r="D4688" t="s">
        <v>4202</v>
      </c>
      <c r="E4688" s="2">
        <v>148.37</v>
      </c>
    </row>
    <row r="4689" spans="1:5" x14ac:dyDescent="0.25">
      <c r="A4689" s="1">
        <v>43524</v>
      </c>
      <c r="B4689">
        <v>181900226</v>
      </c>
      <c r="C4689" t="s">
        <v>4160</v>
      </c>
      <c r="D4689" t="s">
        <v>4203</v>
      </c>
      <c r="E4689" s="2">
        <v>80.39</v>
      </c>
    </row>
    <row r="4690" spans="1:5" x14ac:dyDescent="0.25">
      <c r="A4690" s="1">
        <v>43524</v>
      </c>
      <c r="B4690">
        <v>181900226</v>
      </c>
      <c r="C4690" t="s">
        <v>4160</v>
      </c>
      <c r="D4690" t="s">
        <v>4204</v>
      </c>
      <c r="E4690" s="2">
        <v>30</v>
      </c>
    </row>
    <row r="4691" spans="1:5" x14ac:dyDescent="0.25">
      <c r="A4691" s="1">
        <v>43524</v>
      </c>
      <c r="B4691">
        <v>181900227</v>
      </c>
      <c r="C4691" t="s">
        <v>4205</v>
      </c>
      <c r="D4691" t="s">
        <v>4206</v>
      </c>
      <c r="E4691" s="2">
        <v>60</v>
      </c>
    </row>
    <row r="4692" spans="1:5" x14ac:dyDescent="0.25">
      <c r="A4692" s="1">
        <v>43524</v>
      </c>
      <c r="B4692">
        <v>181900228</v>
      </c>
      <c r="C4692" t="s">
        <v>4207</v>
      </c>
      <c r="D4692" t="s">
        <v>4208</v>
      </c>
      <c r="E4692" s="2">
        <v>264.73</v>
      </c>
    </row>
    <row r="4693" spans="1:5" x14ac:dyDescent="0.25">
      <c r="A4693" s="1">
        <v>43524</v>
      </c>
      <c r="B4693">
        <v>181900229</v>
      </c>
      <c r="C4693" t="s">
        <v>4209</v>
      </c>
      <c r="D4693" t="s">
        <v>4210</v>
      </c>
      <c r="E4693" s="2">
        <v>310.69</v>
      </c>
    </row>
    <row r="4694" spans="1:5" x14ac:dyDescent="0.25">
      <c r="A4694" s="1">
        <v>43507</v>
      </c>
      <c r="B4694">
        <v>201800148</v>
      </c>
      <c r="C4694" t="s">
        <v>928</v>
      </c>
      <c r="D4694" t="s">
        <v>2271</v>
      </c>
      <c r="E4694" s="2">
        <v>47.75</v>
      </c>
    </row>
    <row r="4695" spans="1:5" x14ac:dyDescent="0.25">
      <c r="A4695" s="1">
        <v>43507</v>
      </c>
      <c r="B4695">
        <v>201800149</v>
      </c>
      <c r="C4695" t="s">
        <v>404</v>
      </c>
      <c r="D4695" t="s">
        <v>1743</v>
      </c>
      <c r="E4695" s="2">
        <f>49.25*6</f>
        <v>295.5</v>
      </c>
    </row>
    <row r="4696" spans="1:5" x14ac:dyDescent="0.25">
      <c r="A4696" s="1">
        <v>43507</v>
      </c>
      <c r="B4696">
        <v>201800150</v>
      </c>
      <c r="C4696" t="s">
        <v>1767</v>
      </c>
      <c r="D4696" t="s">
        <v>4211</v>
      </c>
      <c r="E4696" s="2">
        <v>89</v>
      </c>
    </row>
    <row r="4697" spans="1:5" x14ac:dyDescent="0.25">
      <c r="A4697" s="1">
        <v>43507</v>
      </c>
      <c r="B4697">
        <v>201800150</v>
      </c>
      <c r="C4697" t="s">
        <v>1767</v>
      </c>
      <c r="D4697" t="s">
        <v>4212</v>
      </c>
      <c r="E4697" s="2">
        <v>24.3</v>
      </c>
    </row>
    <row r="4698" spans="1:5" x14ac:dyDescent="0.25">
      <c r="A4698" s="1">
        <v>43507</v>
      </c>
      <c r="B4698">
        <v>201800151</v>
      </c>
      <c r="C4698" t="s">
        <v>796</v>
      </c>
      <c r="D4698" t="s">
        <v>797</v>
      </c>
      <c r="E4698" s="2">
        <v>65.94</v>
      </c>
    </row>
    <row r="4699" spans="1:5" x14ac:dyDescent="0.25">
      <c r="A4699" s="1">
        <v>43507</v>
      </c>
      <c r="B4699">
        <v>201800152</v>
      </c>
      <c r="C4699" t="s">
        <v>4213</v>
      </c>
      <c r="D4699" t="s">
        <v>4214</v>
      </c>
      <c r="E4699" s="2">
        <v>23.15</v>
      </c>
    </row>
    <row r="4700" spans="1:5" x14ac:dyDescent="0.25">
      <c r="A4700" s="1">
        <v>43507</v>
      </c>
      <c r="B4700">
        <v>201800153</v>
      </c>
      <c r="C4700" t="s">
        <v>222</v>
      </c>
      <c r="D4700" t="s">
        <v>4215</v>
      </c>
      <c r="E4700" s="2">
        <v>39.69</v>
      </c>
    </row>
    <row r="4701" spans="1:5" x14ac:dyDescent="0.25">
      <c r="A4701" s="1">
        <v>43507</v>
      </c>
      <c r="B4701">
        <v>201800153</v>
      </c>
      <c r="C4701" t="s">
        <v>222</v>
      </c>
      <c r="D4701" t="s">
        <v>4215</v>
      </c>
      <c r="E4701" s="2">
        <v>87.62</v>
      </c>
    </row>
    <row r="4702" spans="1:5" x14ac:dyDescent="0.25">
      <c r="A4702" s="1">
        <v>43507</v>
      </c>
      <c r="B4702">
        <v>201800153</v>
      </c>
      <c r="C4702" t="s">
        <v>222</v>
      </c>
      <c r="D4702" t="s">
        <v>4216</v>
      </c>
      <c r="E4702" s="2">
        <v>38.340000000000003</v>
      </c>
    </row>
    <row r="4703" spans="1:5" x14ac:dyDescent="0.25">
      <c r="A4703" s="1">
        <v>43507</v>
      </c>
      <c r="B4703">
        <v>201800154</v>
      </c>
      <c r="C4703" t="s">
        <v>3385</v>
      </c>
      <c r="D4703" t="s">
        <v>4217</v>
      </c>
      <c r="E4703" s="2">
        <v>26.5</v>
      </c>
    </row>
    <row r="4704" spans="1:5" x14ac:dyDescent="0.25">
      <c r="A4704" s="1">
        <v>43507</v>
      </c>
      <c r="B4704">
        <v>201800155</v>
      </c>
      <c r="C4704" t="s">
        <v>932</v>
      </c>
      <c r="D4704" t="s">
        <v>4218</v>
      </c>
      <c r="E4704" s="2">
        <v>9</v>
      </c>
    </row>
    <row r="4705" spans="1:6" x14ac:dyDescent="0.25">
      <c r="A4705" s="1">
        <v>43507</v>
      </c>
      <c r="B4705">
        <v>201800155</v>
      </c>
      <c r="C4705" t="s">
        <v>932</v>
      </c>
      <c r="D4705" t="s">
        <v>4219</v>
      </c>
      <c r="E4705" s="2">
        <v>2</v>
      </c>
    </row>
    <row r="4706" spans="1:6" x14ac:dyDescent="0.25">
      <c r="A4706" s="1">
        <v>43507</v>
      </c>
      <c r="B4706">
        <v>201800156</v>
      </c>
      <c r="C4706" t="s">
        <v>4220</v>
      </c>
      <c r="D4706" t="s">
        <v>4221</v>
      </c>
      <c r="E4706" s="2">
        <v>82.39</v>
      </c>
    </row>
    <row r="4707" spans="1:6" x14ac:dyDescent="0.25">
      <c r="A4707" s="1">
        <v>43507</v>
      </c>
      <c r="B4707">
        <v>201800157</v>
      </c>
      <c r="C4707" t="s">
        <v>938</v>
      </c>
      <c r="D4707" t="s">
        <v>4222</v>
      </c>
      <c r="E4707" s="2">
        <v>50.33</v>
      </c>
    </row>
    <row r="4708" spans="1:6" x14ac:dyDescent="0.25">
      <c r="A4708" s="1">
        <v>43507</v>
      </c>
      <c r="B4708">
        <v>201800157</v>
      </c>
      <c r="C4708" t="s">
        <v>938</v>
      </c>
      <c r="D4708" t="s">
        <v>4223</v>
      </c>
      <c r="E4708" s="2">
        <v>133.06</v>
      </c>
    </row>
    <row r="4709" spans="1:6" x14ac:dyDescent="0.25">
      <c r="A4709" s="1">
        <v>43507</v>
      </c>
      <c r="B4709">
        <v>201800157</v>
      </c>
      <c r="C4709" t="s">
        <v>938</v>
      </c>
      <c r="D4709" t="s">
        <v>4224</v>
      </c>
      <c r="E4709" s="2">
        <v>71.77</v>
      </c>
    </row>
    <row r="4710" spans="1:6" x14ac:dyDescent="0.25">
      <c r="A4710" s="1">
        <v>43507</v>
      </c>
      <c r="B4710">
        <v>201800158</v>
      </c>
      <c r="C4710" t="s">
        <v>4225</v>
      </c>
      <c r="D4710" t="s">
        <v>4226</v>
      </c>
      <c r="E4710" s="2">
        <v>19.920000000000002</v>
      </c>
    </row>
    <row r="4711" spans="1:6" x14ac:dyDescent="0.25">
      <c r="A4711" s="1">
        <v>43507</v>
      </c>
      <c r="B4711">
        <v>201800159</v>
      </c>
      <c r="C4711" t="s">
        <v>4227</v>
      </c>
      <c r="D4711" t="s">
        <v>2723</v>
      </c>
      <c r="E4711" s="2">
        <v>35.229999999999997</v>
      </c>
    </row>
    <row r="4712" spans="1:6" x14ac:dyDescent="0.25">
      <c r="C4712" t="s">
        <v>2659</v>
      </c>
      <c r="F4712" s="9">
        <f>SUM(E3674:E4711)</f>
        <v>1141855.7999999991</v>
      </c>
    </row>
    <row r="4713" spans="1:6" x14ac:dyDescent="0.25">
      <c r="A4713" s="1">
        <v>43528</v>
      </c>
      <c r="B4713">
        <v>121538</v>
      </c>
      <c r="C4713" t="s">
        <v>4250</v>
      </c>
      <c r="D4713" t="s">
        <v>4251</v>
      </c>
      <c r="E4713" s="2">
        <v>2500</v>
      </c>
    </row>
    <row r="4714" spans="1:6" x14ac:dyDescent="0.25">
      <c r="A4714" s="1">
        <v>43528</v>
      </c>
      <c r="B4714">
        <v>121539</v>
      </c>
      <c r="C4714" t="s">
        <v>2393</v>
      </c>
      <c r="D4714" t="s">
        <v>4252</v>
      </c>
      <c r="E4714" s="2">
        <v>2375</v>
      </c>
    </row>
    <row r="4715" spans="1:6" x14ac:dyDescent="0.25">
      <c r="A4715" s="1">
        <v>43528</v>
      </c>
      <c r="B4715">
        <v>121540</v>
      </c>
      <c r="C4715" t="s">
        <v>1670</v>
      </c>
      <c r="D4715" t="s">
        <v>4253</v>
      </c>
      <c r="E4715" s="2">
        <v>277.25</v>
      </c>
    </row>
    <row r="4716" spans="1:6" x14ac:dyDescent="0.25">
      <c r="A4716" s="1">
        <v>43528</v>
      </c>
      <c r="B4716">
        <v>121541</v>
      </c>
      <c r="C4716" t="s">
        <v>4254</v>
      </c>
      <c r="D4716" t="s">
        <v>4255</v>
      </c>
      <c r="E4716" s="2">
        <v>50</v>
      </c>
    </row>
    <row r="4717" spans="1:6" x14ac:dyDescent="0.25">
      <c r="A4717" s="1">
        <v>43528</v>
      </c>
      <c r="B4717">
        <v>121542</v>
      </c>
      <c r="C4717" t="s">
        <v>4256</v>
      </c>
      <c r="D4717" t="s">
        <v>4257</v>
      </c>
      <c r="E4717" s="2">
        <v>181.25</v>
      </c>
    </row>
    <row r="4718" spans="1:6" x14ac:dyDescent="0.25">
      <c r="A4718" s="1">
        <v>43528</v>
      </c>
      <c r="B4718">
        <v>121543</v>
      </c>
      <c r="C4718" t="s">
        <v>2252</v>
      </c>
      <c r="D4718" t="s">
        <v>4258</v>
      </c>
      <c r="E4718" s="2">
        <v>225</v>
      </c>
    </row>
    <row r="4719" spans="1:6" x14ac:dyDescent="0.25">
      <c r="A4719" s="1">
        <v>43528</v>
      </c>
      <c r="B4719">
        <v>121544</v>
      </c>
      <c r="C4719" t="s">
        <v>327</v>
      </c>
      <c r="D4719" t="s">
        <v>328</v>
      </c>
      <c r="E4719" s="2">
        <f>404+3294.08+73.5+165</f>
        <v>3936.58</v>
      </c>
    </row>
    <row r="4720" spans="1:6" x14ac:dyDescent="0.25">
      <c r="A4720" s="1">
        <v>43528</v>
      </c>
      <c r="B4720">
        <v>181900230</v>
      </c>
      <c r="C4720" t="s">
        <v>4147</v>
      </c>
      <c r="D4720" t="s">
        <v>4855</v>
      </c>
      <c r="E4720" s="2">
        <v>51</v>
      </c>
    </row>
    <row r="4721" spans="1:5" x14ac:dyDescent="0.25">
      <c r="A4721" s="1">
        <v>43528</v>
      </c>
      <c r="B4721">
        <v>181900231</v>
      </c>
      <c r="C4721" t="s">
        <v>905</v>
      </c>
      <c r="D4721" t="s">
        <v>4856</v>
      </c>
      <c r="E4721" s="2">
        <v>25.35</v>
      </c>
    </row>
    <row r="4722" spans="1:5" x14ac:dyDescent="0.25">
      <c r="A4722" s="1">
        <v>43528</v>
      </c>
      <c r="B4722">
        <v>181900232</v>
      </c>
      <c r="C4722" t="s">
        <v>4857</v>
      </c>
      <c r="D4722" t="s">
        <v>880</v>
      </c>
      <c r="E4722" s="2">
        <v>493.45</v>
      </c>
    </row>
    <row r="4723" spans="1:5" x14ac:dyDescent="0.25">
      <c r="A4723" s="1">
        <v>43528</v>
      </c>
      <c r="B4723">
        <v>181900233</v>
      </c>
      <c r="C4723" t="s">
        <v>4858</v>
      </c>
      <c r="D4723" t="s">
        <v>880</v>
      </c>
      <c r="E4723" s="2">
        <v>28.51</v>
      </c>
    </row>
    <row r="4724" spans="1:5" x14ac:dyDescent="0.25">
      <c r="A4724" s="1">
        <v>43528</v>
      </c>
      <c r="B4724">
        <v>201800161</v>
      </c>
      <c r="C4724" t="s">
        <v>4869</v>
      </c>
      <c r="D4724" t="s">
        <v>4870</v>
      </c>
      <c r="E4724" s="2">
        <v>480</v>
      </c>
    </row>
    <row r="4725" spans="1:5" x14ac:dyDescent="0.25">
      <c r="A4725" s="1">
        <v>43528</v>
      </c>
      <c r="B4725">
        <v>201800162</v>
      </c>
      <c r="C4725" t="s">
        <v>1767</v>
      </c>
      <c r="D4725" t="s">
        <v>4871</v>
      </c>
      <c r="E4725" s="2">
        <v>76.5</v>
      </c>
    </row>
    <row r="4726" spans="1:5" x14ac:dyDescent="0.25">
      <c r="A4726" s="1">
        <v>43528</v>
      </c>
      <c r="B4726">
        <v>201800163</v>
      </c>
      <c r="C4726" t="s">
        <v>404</v>
      </c>
      <c r="D4726" t="s">
        <v>1743</v>
      </c>
      <c r="E4726" s="2">
        <f>49.25*5</f>
        <v>246.25</v>
      </c>
    </row>
    <row r="4727" spans="1:5" x14ac:dyDescent="0.25">
      <c r="A4727" s="1">
        <v>43528</v>
      </c>
      <c r="B4727">
        <v>201800164</v>
      </c>
      <c r="C4727" t="s">
        <v>928</v>
      </c>
      <c r="D4727" t="s">
        <v>4212</v>
      </c>
      <c r="E4727" s="2">
        <f>66.48+63.18</f>
        <v>129.66</v>
      </c>
    </row>
    <row r="4728" spans="1:5" x14ac:dyDescent="0.25">
      <c r="A4728" s="1">
        <v>43528</v>
      </c>
      <c r="B4728">
        <v>201800164</v>
      </c>
      <c r="C4728" t="s">
        <v>928</v>
      </c>
      <c r="D4728" t="s">
        <v>4872</v>
      </c>
      <c r="E4728" s="2">
        <v>43.76</v>
      </c>
    </row>
    <row r="4729" spans="1:5" x14ac:dyDescent="0.25">
      <c r="A4729" s="1">
        <v>43528</v>
      </c>
      <c r="B4729">
        <v>201800165</v>
      </c>
      <c r="C4729" t="s">
        <v>222</v>
      </c>
      <c r="D4729" t="s">
        <v>4873</v>
      </c>
      <c r="E4729" s="2">
        <v>80.88</v>
      </c>
    </row>
    <row r="4730" spans="1:5" x14ac:dyDescent="0.25">
      <c r="A4730" s="1">
        <v>43528</v>
      </c>
      <c r="B4730">
        <v>201800166</v>
      </c>
      <c r="C4730" t="s">
        <v>75</v>
      </c>
      <c r="D4730" t="s">
        <v>4874</v>
      </c>
      <c r="E4730" s="2">
        <f>40+40+40+40+120</f>
        <v>280</v>
      </c>
    </row>
    <row r="4731" spans="1:5" x14ac:dyDescent="0.25">
      <c r="A4731" s="1">
        <v>43528</v>
      </c>
      <c r="B4731">
        <v>201800167</v>
      </c>
      <c r="C4731" t="s">
        <v>932</v>
      </c>
      <c r="D4731" t="s">
        <v>4875</v>
      </c>
      <c r="E4731" s="2">
        <v>9</v>
      </c>
    </row>
    <row r="4732" spans="1:5" x14ac:dyDescent="0.25">
      <c r="A4732" s="1">
        <v>43528</v>
      </c>
      <c r="B4732">
        <v>201800167</v>
      </c>
      <c r="C4732" t="s">
        <v>932</v>
      </c>
      <c r="D4732" t="s">
        <v>4876</v>
      </c>
      <c r="E4732" s="2">
        <v>4</v>
      </c>
    </row>
    <row r="4733" spans="1:5" x14ac:dyDescent="0.25">
      <c r="A4733" s="1">
        <v>43528</v>
      </c>
      <c r="B4733">
        <v>201800168</v>
      </c>
      <c r="C4733" t="s">
        <v>1570</v>
      </c>
      <c r="D4733" t="s">
        <v>4877</v>
      </c>
      <c r="E4733" s="2">
        <v>164.5</v>
      </c>
    </row>
    <row r="4734" spans="1:5" x14ac:dyDescent="0.25">
      <c r="A4734" s="1">
        <v>43528</v>
      </c>
      <c r="B4734">
        <v>201800169</v>
      </c>
      <c r="C4734" t="s">
        <v>942</v>
      </c>
      <c r="D4734" t="s">
        <v>4878</v>
      </c>
      <c r="E4734" s="2">
        <f>34.74+95.94</f>
        <v>130.68</v>
      </c>
    </row>
    <row r="4735" spans="1:5" x14ac:dyDescent="0.25">
      <c r="A4735" s="1">
        <v>43531</v>
      </c>
      <c r="B4735">
        <v>121545</v>
      </c>
      <c r="C4735" t="s">
        <v>50</v>
      </c>
      <c r="D4735" t="s">
        <v>2047</v>
      </c>
      <c r="E4735" s="2">
        <v>2792.5</v>
      </c>
    </row>
    <row r="4736" spans="1:5" x14ac:dyDescent="0.25">
      <c r="A4736" s="1">
        <v>43531</v>
      </c>
      <c r="B4736">
        <v>121546</v>
      </c>
      <c r="C4736" t="s">
        <v>4259</v>
      </c>
      <c r="D4736" t="s">
        <v>4260</v>
      </c>
      <c r="E4736" s="2">
        <v>3985</v>
      </c>
    </row>
    <row r="4737" spans="1:5" x14ac:dyDescent="0.25">
      <c r="A4737" s="1">
        <v>43531</v>
      </c>
      <c r="B4737">
        <v>121547</v>
      </c>
      <c r="C4737" t="s">
        <v>67</v>
      </c>
      <c r="D4737" t="s">
        <v>4261</v>
      </c>
      <c r="E4737" s="2">
        <v>819</v>
      </c>
    </row>
    <row r="4738" spans="1:5" x14ac:dyDescent="0.25">
      <c r="A4738" s="1">
        <v>43531</v>
      </c>
      <c r="B4738">
        <v>121548</v>
      </c>
      <c r="C4738" t="s">
        <v>7</v>
      </c>
      <c r="D4738" t="s">
        <v>4262</v>
      </c>
      <c r="E4738" s="2">
        <v>210</v>
      </c>
    </row>
    <row r="4739" spans="1:5" x14ac:dyDescent="0.25">
      <c r="A4739" s="1">
        <v>43531</v>
      </c>
      <c r="B4739">
        <v>121548</v>
      </c>
      <c r="C4739" t="s">
        <v>7</v>
      </c>
      <c r="D4739" t="s">
        <v>4263</v>
      </c>
      <c r="E4739" s="2">
        <v>50</v>
      </c>
    </row>
    <row r="4740" spans="1:5" x14ac:dyDescent="0.25">
      <c r="A4740" s="1">
        <v>43531</v>
      </c>
      <c r="B4740">
        <v>121548</v>
      </c>
      <c r="C4740" t="s">
        <v>7</v>
      </c>
      <c r="D4740" t="s">
        <v>1320</v>
      </c>
      <c r="E4740" s="2">
        <v>25</v>
      </c>
    </row>
    <row r="4741" spans="1:5" x14ac:dyDescent="0.25">
      <c r="A4741" s="1">
        <v>43531</v>
      </c>
      <c r="B4741">
        <v>121549</v>
      </c>
      <c r="C4741" t="s">
        <v>4264</v>
      </c>
      <c r="D4741" t="s">
        <v>4265</v>
      </c>
      <c r="E4741" s="2">
        <v>90</v>
      </c>
    </row>
    <row r="4742" spans="1:5" x14ac:dyDescent="0.25">
      <c r="A4742" s="1">
        <v>43531</v>
      </c>
      <c r="B4742">
        <v>121550</v>
      </c>
      <c r="C4742" t="s">
        <v>4266</v>
      </c>
      <c r="D4742" t="s">
        <v>4267</v>
      </c>
      <c r="E4742" s="2">
        <v>4501</v>
      </c>
    </row>
    <row r="4743" spans="1:5" x14ac:dyDescent="0.25">
      <c r="A4743" s="1">
        <v>43531</v>
      </c>
      <c r="B4743">
        <v>121551</v>
      </c>
      <c r="C4743" t="s">
        <v>1324</v>
      </c>
      <c r="D4743" t="s">
        <v>4268</v>
      </c>
      <c r="E4743" s="2">
        <v>204.8</v>
      </c>
    </row>
    <row r="4744" spans="1:5" x14ac:dyDescent="0.25">
      <c r="A4744" s="1">
        <v>43531</v>
      </c>
      <c r="B4744">
        <v>121552</v>
      </c>
      <c r="C4744" t="s">
        <v>1574</v>
      </c>
      <c r="D4744" t="s">
        <v>4269</v>
      </c>
      <c r="E4744" s="2">
        <f>1650+1500</f>
        <v>3150</v>
      </c>
    </row>
    <row r="4745" spans="1:5" x14ac:dyDescent="0.25">
      <c r="A4745" s="1">
        <v>43531</v>
      </c>
      <c r="B4745">
        <v>121553</v>
      </c>
      <c r="C4745" t="s">
        <v>1092</v>
      </c>
      <c r="D4745" t="s">
        <v>4270</v>
      </c>
      <c r="E4745" s="2">
        <v>30</v>
      </c>
    </row>
    <row r="4746" spans="1:5" x14ac:dyDescent="0.25">
      <c r="A4746" s="1">
        <v>43531</v>
      </c>
      <c r="B4746">
        <v>121553</v>
      </c>
      <c r="C4746" t="s">
        <v>1092</v>
      </c>
      <c r="D4746" t="s">
        <v>4271</v>
      </c>
      <c r="E4746" s="2">
        <v>112.5</v>
      </c>
    </row>
    <row r="4747" spans="1:5" x14ac:dyDescent="0.25">
      <c r="A4747" s="1">
        <v>43531</v>
      </c>
      <c r="B4747">
        <v>121554</v>
      </c>
      <c r="C4747" t="s">
        <v>70</v>
      </c>
      <c r="D4747" t="s">
        <v>4272</v>
      </c>
      <c r="E4747" s="2">
        <v>430</v>
      </c>
    </row>
    <row r="4748" spans="1:5" x14ac:dyDescent="0.25">
      <c r="A4748" s="1">
        <v>43531</v>
      </c>
      <c r="B4748">
        <v>121555</v>
      </c>
      <c r="C4748" t="s">
        <v>4273</v>
      </c>
      <c r="D4748" t="s">
        <v>4274</v>
      </c>
      <c r="E4748" s="2">
        <v>500</v>
      </c>
    </row>
    <row r="4749" spans="1:5" x14ac:dyDescent="0.25">
      <c r="A4749" s="1">
        <v>43531</v>
      </c>
      <c r="B4749">
        <v>121556</v>
      </c>
      <c r="C4749" t="s">
        <v>616</v>
      </c>
      <c r="D4749" t="s">
        <v>2576</v>
      </c>
      <c r="E4749" s="2">
        <v>210.84</v>
      </c>
    </row>
    <row r="4750" spans="1:5" x14ac:dyDescent="0.25">
      <c r="A4750" s="1">
        <v>43531</v>
      </c>
      <c r="B4750">
        <v>121557</v>
      </c>
      <c r="C4750" t="s">
        <v>336</v>
      </c>
      <c r="D4750" t="s">
        <v>4275</v>
      </c>
      <c r="E4750" s="2">
        <v>130</v>
      </c>
    </row>
    <row r="4751" spans="1:5" x14ac:dyDescent="0.25">
      <c r="A4751" s="1">
        <v>43531</v>
      </c>
      <c r="B4751">
        <v>121558</v>
      </c>
      <c r="C4751" t="s">
        <v>75</v>
      </c>
      <c r="D4751" t="s">
        <v>4276</v>
      </c>
      <c r="E4751" s="2">
        <v>26.29</v>
      </c>
    </row>
    <row r="4752" spans="1:5" x14ac:dyDescent="0.25">
      <c r="A4752" s="1">
        <v>43531</v>
      </c>
      <c r="B4752">
        <v>121559</v>
      </c>
      <c r="C4752" t="s">
        <v>12</v>
      </c>
      <c r="D4752" t="s">
        <v>4277</v>
      </c>
      <c r="E4752" s="2">
        <v>120.9</v>
      </c>
    </row>
    <row r="4753" spans="1:5" x14ac:dyDescent="0.25">
      <c r="A4753" s="1">
        <v>43531</v>
      </c>
      <c r="B4753">
        <v>121560</v>
      </c>
      <c r="C4753" t="s">
        <v>205</v>
      </c>
      <c r="D4753" t="s">
        <v>4278</v>
      </c>
      <c r="E4753" s="2">
        <v>22.45</v>
      </c>
    </row>
    <row r="4754" spans="1:5" x14ac:dyDescent="0.25">
      <c r="A4754" s="1">
        <v>43531</v>
      </c>
      <c r="B4754">
        <v>121561</v>
      </c>
      <c r="C4754" t="s">
        <v>77</v>
      </c>
      <c r="D4754" t="s">
        <v>4279</v>
      </c>
      <c r="E4754" s="2">
        <v>80.17</v>
      </c>
    </row>
    <row r="4755" spans="1:5" x14ac:dyDescent="0.25">
      <c r="A4755" s="1">
        <v>43531</v>
      </c>
      <c r="B4755">
        <v>121562</v>
      </c>
      <c r="C4755" t="s">
        <v>77</v>
      </c>
      <c r="D4755" t="s">
        <v>79</v>
      </c>
      <c r="E4755" s="2">
        <v>93.16</v>
      </c>
    </row>
    <row r="4756" spans="1:5" x14ac:dyDescent="0.25">
      <c r="A4756" s="1">
        <v>43531</v>
      </c>
      <c r="B4756">
        <v>121563</v>
      </c>
      <c r="C4756" t="s">
        <v>4280</v>
      </c>
      <c r="D4756" t="s">
        <v>4281</v>
      </c>
      <c r="E4756" s="2">
        <v>750</v>
      </c>
    </row>
    <row r="4757" spans="1:5" x14ac:dyDescent="0.25">
      <c r="A4757" s="1">
        <v>43531</v>
      </c>
      <c r="B4757">
        <v>121564</v>
      </c>
      <c r="C4757" t="s">
        <v>4282</v>
      </c>
      <c r="D4757" t="s">
        <v>4283</v>
      </c>
      <c r="E4757" s="2">
        <v>300</v>
      </c>
    </row>
    <row r="4758" spans="1:5" x14ac:dyDescent="0.25">
      <c r="A4758" s="1">
        <v>43531</v>
      </c>
      <c r="B4758">
        <v>121565</v>
      </c>
      <c r="C4758" t="s">
        <v>4284</v>
      </c>
      <c r="D4758" t="s">
        <v>4285</v>
      </c>
      <c r="E4758" s="2">
        <v>200</v>
      </c>
    </row>
    <row r="4759" spans="1:5" x14ac:dyDescent="0.25">
      <c r="A4759" s="1">
        <v>43531</v>
      </c>
      <c r="B4759">
        <v>121566</v>
      </c>
      <c r="C4759" t="s">
        <v>19</v>
      </c>
      <c r="D4759" t="s">
        <v>4286</v>
      </c>
      <c r="E4759" s="2">
        <v>1559.5</v>
      </c>
    </row>
    <row r="4760" spans="1:5" x14ac:dyDescent="0.25">
      <c r="A4760" s="1">
        <v>43531</v>
      </c>
      <c r="B4760">
        <v>181900234</v>
      </c>
      <c r="C4760" t="s">
        <v>4859</v>
      </c>
      <c r="D4760" t="s">
        <v>880</v>
      </c>
      <c r="E4760" s="2">
        <v>58.34</v>
      </c>
    </row>
    <row r="4761" spans="1:5" x14ac:dyDescent="0.25">
      <c r="A4761" s="1">
        <v>43531</v>
      </c>
      <c r="B4761">
        <v>181900234</v>
      </c>
      <c r="C4761" t="s">
        <v>4859</v>
      </c>
      <c r="D4761" t="s">
        <v>880</v>
      </c>
      <c r="E4761" s="2">
        <v>275</v>
      </c>
    </row>
    <row r="4762" spans="1:5" x14ac:dyDescent="0.25">
      <c r="A4762" s="1">
        <v>43531</v>
      </c>
      <c r="B4762">
        <v>181900235</v>
      </c>
      <c r="C4762" t="s">
        <v>393</v>
      </c>
      <c r="D4762" t="s">
        <v>880</v>
      </c>
      <c r="E4762" s="2">
        <v>102.21</v>
      </c>
    </row>
    <row r="4763" spans="1:5" x14ac:dyDescent="0.25">
      <c r="A4763" s="1">
        <v>43531</v>
      </c>
      <c r="B4763">
        <v>181900236</v>
      </c>
      <c r="C4763" t="s">
        <v>4197</v>
      </c>
      <c r="D4763" t="s">
        <v>880</v>
      </c>
      <c r="E4763" s="2">
        <v>40</v>
      </c>
    </row>
    <row r="4764" spans="1:5" x14ac:dyDescent="0.25">
      <c r="A4764" s="1">
        <v>43531</v>
      </c>
      <c r="B4764">
        <v>201800171</v>
      </c>
      <c r="C4764" t="s">
        <v>1612</v>
      </c>
      <c r="D4764" t="s">
        <v>4879</v>
      </c>
      <c r="E4764" s="2">
        <v>480</v>
      </c>
    </row>
    <row r="4765" spans="1:5" x14ac:dyDescent="0.25">
      <c r="A4765" s="1">
        <v>43544</v>
      </c>
      <c r="B4765">
        <v>121567</v>
      </c>
      <c r="C4765" t="s">
        <v>1312</v>
      </c>
      <c r="D4765" t="s">
        <v>4287</v>
      </c>
      <c r="E4765" s="2">
        <v>121.08</v>
      </c>
    </row>
    <row r="4766" spans="1:5" x14ac:dyDescent="0.25">
      <c r="A4766" s="1">
        <v>43544</v>
      </c>
      <c r="B4766">
        <v>121568</v>
      </c>
      <c r="C4766" t="s">
        <v>1082</v>
      </c>
      <c r="D4766" t="s">
        <v>1083</v>
      </c>
      <c r="E4766" s="2">
        <v>375</v>
      </c>
    </row>
    <row r="4767" spans="1:5" x14ac:dyDescent="0.25">
      <c r="A4767" s="1">
        <v>43544</v>
      </c>
      <c r="B4767">
        <v>121570</v>
      </c>
      <c r="C4767" t="s">
        <v>67</v>
      </c>
      <c r="D4767" t="s">
        <v>4288</v>
      </c>
      <c r="E4767" s="2">
        <v>545.70000000000005</v>
      </c>
    </row>
    <row r="4768" spans="1:5" x14ac:dyDescent="0.25">
      <c r="A4768" s="1">
        <v>43544</v>
      </c>
      <c r="B4768">
        <v>121570</v>
      </c>
      <c r="C4768" t="s">
        <v>67</v>
      </c>
      <c r="D4768" t="s">
        <v>4289</v>
      </c>
      <c r="E4768" s="2">
        <v>577</v>
      </c>
    </row>
    <row r="4769" spans="1:5" x14ac:dyDescent="0.25">
      <c r="A4769" s="1">
        <v>43544</v>
      </c>
      <c r="B4769">
        <v>121570</v>
      </c>
      <c r="C4769" t="s">
        <v>67</v>
      </c>
      <c r="D4769" t="s">
        <v>4290</v>
      </c>
      <c r="E4769" s="2">
        <v>854.95</v>
      </c>
    </row>
    <row r="4770" spans="1:5" x14ac:dyDescent="0.25">
      <c r="A4770" s="1">
        <v>43544</v>
      </c>
      <c r="B4770">
        <v>121570</v>
      </c>
      <c r="C4770" t="s">
        <v>67</v>
      </c>
      <c r="D4770" t="s">
        <v>4291</v>
      </c>
      <c r="E4770" s="2">
        <v>209</v>
      </c>
    </row>
    <row r="4771" spans="1:5" x14ac:dyDescent="0.25">
      <c r="A4771" s="1">
        <v>43544</v>
      </c>
      <c r="B4771">
        <v>121570</v>
      </c>
      <c r="C4771" t="s">
        <v>67</v>
      </c>
      <c r="D4771" t="s">
        <v>4292</v>
      </c>
      <c r="E4771" s="2">
        <v>115.5</v>
      </c>
    </row>
    <row r="4772" spans="1:5" x14ac:dyDescent="0.25">
      <c r="A4772" s="1">
        <v>43544</v>
      </c>
      <c r="B4772">
        <v>121571</v>
      </c>
      <c r="C4772" t="s">
        <v>405</v>
      </c>
      <c r="D4772" t="s">
        <v>4293</v>
      </c>
      <c r="E4772" s="2">
        <v>176.68</v>
      </c>
    </row>
    <row r="4773" spans="1:5" x14ac:dyDescent="0.25">
      <c r="A4773" s="1">
        <v>43544</v>
      </c>
      <c r="B4773">
        <v>121572</v>
      </c>
      <c r="C4773" t="s">
        <v>244</v>
      </c>
      <c r="D4773" t="s">
        <v>4294</v>
      </c>
      <c r="E4773" s="2">
        <v>258.82</v>
      </c>
    </row>
    <row r="4774" spans="1:5" x14ac:dyDescent="0.25">
      <c r="A4774" s="1">
        <v>43544</v>
      </c>
      <c r="B4774">
        <v>121573</v>
      </c>
      <c r="C4774" t="s">
        <v>31</v>
      </c>
      <c r="D4774" t="s">
        <v>3250</v>
      </c>
      <c r="E4774" s="2">
        <v>237.36</v>
      </c>
    </row>
    <row r="4775" spans="1:5" x14ac:dyDescent="0.25">
      <c r="A4775" s="1">
        <v>43544</v>
      </c>
      <c r="B4775">
        <v>121573</v>
      </c>
      <c r="C4775" t="s">
        <v>31</v>
      </c>
      <c r="D4775" t="s">
        <v>4295</v>
      </c>
      <c r="E4775" s="2">
        <v>165.06</v>
      </c>
    </row>
    <row r="4776" spans="1:5" x14ac:dyDescent="0.25">
      <c r="A4776" s="1">
        <v>43544</v>
      </c>
      <c r="B4776">
        <v>121574</v>
      </c>
      <c r="C4776" t="s">
        <v>1324</v>
      </c>
      <c r="D4776" t="s">
        <v>4296</v>
      </c>
      <c r="E4776" s="2">
        <v>176</v>
      </c>
    </row>
    <row r="4777" spans="1:5" x14ac:dyDescent="0.25">
      <c r="A4777" s="1">
        <v>43544</v>
      </c>
      <c r="B4777">
        <v>121575</v>
      </c>
      <c r="C4777" t="s">
        <v>1180</v>
      </c>
      <c r="D4777" t="s">
        <v>1028</v>
      </c>
      <c r="E4777" s="2">
        <v>270.77</v>
      </c>
    </row>
    <row r="4778" spans="1:5" x14ac:dyDescent="0.25">
      <c r="A4778" s="1">
        <v>43544</v>
      </c>
      <c r="B4778">
        <v>121576</v>
      </c>
      <c r="C4778" t="s">
        <v>365</v>
      </c>
      <c r="D4778" t="s">
        <v>4297</v>
      </c>
      <c r="E4778" s="2">
        <v>498.83</v>
      </c>
    </row>
    <row r="4779" spans="1:5" x14ac:dyDescent="0.25">
      <c r="A4779" s="1">
        <v>43544</v>
      </c>
      <c r="B4779">
        <v>121577</v>
      </c>
      <c r="C4779" t="s">
        <v>125</v>
      </c>
      <c r="D4779" t="s">
        <v>4298</v>
      </c>
      <c r="E4779" s="2">
        <v>97.5</v>
      </c>
    </row>
    <row r="4780" spans="1:5" x14ac:dyDescent="0.25">
      <c r="A4780" s="1">
        <v>43544</v>
      </c>
      <c r="B4780">
        <v>121579</v>
      </c>
      <c r="C4780" t="s">
        <v>618</v>
      </c>
      <c r="D4780" t="s">
        <v>4299</v>
      </c>
      <c r="E4780" s="2">
        <v>69.989999999999995</v>
      </c>
    </row>
    <row r="4781" spans="1:5" x14ac:dyDescent="0.25">
      <c r="A4781" s="1">
        <v>43544</v>
      </c>
      <c r="B4781">
        <v>121579</v>
      </c>
      <c r="C4781" t="s">
        <v>618</v>
      </c>
      <c r="D4781" t="s">
        <v>4300</v>
      </c>
      <c r="E4781" s="2">
        <v>174.99</v>
      </c>
    </row>
    <row r="4782" spans="1:5" x14ac:dyDescent="0.25">
      <c r="A4782" s="1">
        <v>43544</v>
      </c>
      <c r="B4782">
        <v>121579</v>
      </c>
      <c r="C4782" t="s">
        <v>618</v>
      </c>
      <c r="D4782" t="s">
        <v>4301</v>
      </c>
      <c r="E4782" s="2">
        <v>65</v>
      </c>
    </row>
    <row r="4783" spans="1:5" x14ac:dyDescent="0.25">
      <c r="A4783" s="1">
        <v>43544</v>
      </c>
      <c r="B4783">
        <v>121579</v>
      </c>
      <c r="C4783" t="s">
        <v>618</v>
      </c>
      <c r="D4783" t="s">
        <v>4302</v>
      </c>
      <c r="E4783" s="2">
        <v>60</v>
      </c>
    </row>
    <row r="4784" spans="1:5" x14ac:dyDescent="0.25">
      <c r="A4784" s="1">
        <v>43544</v>
      </c>
      <c r="B4784">
        <v>121579</v>
      </c>
      <c r="C4784" t="s">
        <v>618</v>
      </c>
      <c r="D4784" t="s">
        <v>4303</v>
      </c>
      <c r="E4784" s="2">
        <v>50</v>
      </c>
    </row>
    <row r="4785" spans="1:5" x14ac:dyDescent="0.25">
      <c r="A4785" s="1">
        <v>43544</v>
      </c>
      <c r="B4785">
        <v>121580</v>
      </c>
      <c r="C4785" t="s">
        <v>4304</v>
      </c>
      <c r="D4785" t="s">
        <v>4305</v>
      </c>
      <c r="E4785" s="2">
        <v>60</v>
      </c>
    </row>
    <row r="4786" spans="1:5" x14ac:dyDescent="0.25">
      <c r="A4786" s="1">
        <v>43544</v>
      </c>
      <c r="B4786">
        <v>121581</v>
      </c>
      <c r="C4786" t="s">
        <v>4306</v>
      </c>
      <c r="D4786" t="s">
        <v>4307</v>
      </c>
      <c r="E4786" s="2">
        <v>930</v>
      </c>
    </row>
    <row r="4787" spans="1:5" x14ac:dyDescent="0.25">
      <c r="A4787" s="1">
        <v>43544</v>
      </c>
      <c r="B4787">
        <v>121582</v>
      </c>
      <c r="C4787" t="s">
        <v>74</v>
      </c>
      <c r="D4787" t="s">
        <v>4308</v>
      </c>
      <c r="E4787" s="2">
        <v>209.9</v>
      </c>
    </row>
    <row r="4788" spans="1:5" x14ac:dyDescent="0.25">
      <c r="A4788" s="1">
        <v>43544</v>
      </c>
      <c r="B4788">
        <v>121583</v>
      </c>
      <c r="C4788" t="s">
        <v>1592</v>
      </c>
      <c r="D4788" t="s">
        <v>4309</v>
      </c>
      <c r="E4788" s="2">
        <v>150.72</v>
      </c>
    </row>
    <row r="4789" spans="1:5" x14ac:dyDescent="0.25">
      <c r="A4789" s="1">
        <v>43544</v>
      </c>
      <c r="B4789">
        <v>121584</v>
      </c>
      <c r="C4789" t="s">
        <v>12</v>
      </c>
      <c r="D4789" t="s">
        <v>4310</v>
      </c>
      <c r="E4789" s="2">
        <f>23.81+18.99</f>
        <v>42.8</v>
      </c>
    </row>
    <row r="4790" spans="1:5" x14ac:dyDescent="0.25">
      <c r="A4790" s="1">
        <v>43544</v>
      </c>
      <c r="B4790">
        <v>121585</v>
      </c>
      <c r="C4790" t="s">
        <v>77</v>
      </c>
      <c r="D4790" t="s">
        <v>4311</v>
      </c>
      <c r="E4790" s="2">
        <v>84.19</v>
      </c>
    </row>
    <row r="4791" spans="1:5" x14ac:dyDescent="0.25">
      <c r="A4791" s="1">
        <v>43544</v>
      </c>
      <c r="B4791">
        <v>121586</v>
      </c>
      <c r="C4791" t="s">
        <v>80</v>
      </c>
      <c r="D4791" t="s">
        <v>4312</v>
      </c>
      <c r="E4791" s="2">
        <v>59.83</v>
      </c>
    </row>
    <row r="4792" spans="1:5" x14ac:dyDescent="0.25">
      <c r="A4792" s="1">
        <v>43544</v>
      </c>
      <c r="B4792">
        <v>121586</v>
      </c>
      <c r="C4792" t="s">
        <v>80</v>
      </c>
      <c r="D4792" t="s">
        <v>4313</v>
      </c>
      <c r="E4792" s="2">
        <v>167.79</v>
      </c>
    </row>
    <row r="4793" spans="1:5" x14ac:dyDescent="0.25">
      <c r="A4793" s="1">
        <v>43544</v>
      </c>
      <c r="B4793">
        <v>121587</v>
      </c>
      <c r="C4793" t="s">
        <v>14</v>
      </c>
      <c r="D4793" t="s">
        <v>4314</v>
      </c>
      <c r="E4793" s="2">
        <v>353.47</v>
      </c>
    </row>
    <row r="4794" spans="1:5" x14ac:dyDescent="0.25">
      <c r="A4794" s="1">
        <v>43544</v>
      </c>
      <c r="B4794">
        <v>121588</v>
      </c>
      <c r="C4794" t="s">
        <v>213</v>
      </c>
      <c r="D4794" t="s">
        <v>4315</v>
      </c>
      <c r="E4794" s="2">
        <v>211.78</v>
      </c>
    </row>
    <row r="4795" spans="1:5" x14ac:dyDescent="0.25">
      <c r="A4795" s="1">
        <v>43544</v>
      </c>
      <c r="B4795">
        <v>121597</v>
      </c>
      <c r="C4795" t="s">
        <v>222</v>
      </c>
      <c r="D4795" t="s">
        <v>4316</v>
      </c>
      <c r="E4795" s="2">
        <v>80.08</v>
      </c>
    </row>
    <row r="4796" spans="1:5" x14ac:dyDescent="0.25">
      <c r="A4796" s="1">
        <v>43544</v>
      </c>
      <c r="B4796">
        <v>121597</v>
      </c>
      <c r="C4796" t="s">
        <v>222</v>
      </c>
      <c r="D4796" t="s">
        <v>4317</v>
      </c>
      <c r="E4796" s="2">
        <v>68.209999999999994</v>
      </c>
    </row>
    <row r="4797" spans="1:5" x14ac:dyDescent="0.25">
      <c r="A4797" s="1">
        <v>43544</v>
      </c>
      <c r="B4797">
        <v>121597</v>
      </c>
      <c r="C4797" t="s">
        <v>222</v>
      </c>
      <c r="D4797" t="s">
        <v>4318</v>
      </c>
      <c r="E4797" s="2">
        <v>55.5</v>
      </c>
    </row>
    <row r="4798" spans="1:5" x14ac:dyDescent="0.25">
      <c r="A4798" s="1">
        <v>43544</v>
      </c>
      <c r="B4798">
        <v>121597</v>
      </c>
      <c r="C4798" t="s">
        <v>222</v>
      </c>
      <c r="D4798" t="s">
        <v>1119</v>
      </c>
      <c r="E4798" s="2">
        <v>55.96</v>
      </c>
    </row>
    <row r="4799" spans="1:5" x14ac:dyDescent="0.25">
      <c r="A4799" s="1">
        <v>43544</v>
      </c>
      <c r="B4799">
        <v>121597</v>
      </c>
      <c r="C4799" t="s">
        <v>222</v>
      </c>
      <c r="D4799" t="s">
        <v>2700</v>
      </c>
      <c r="E4799" s="2">
        <v>8.6</v>
      </c>
    </row>
    <row r="4800" spans="1:5" x14ac:dyDescent="0.25">
      <c r="A4800" s="1">
        <v>43544</v>
      </c>
      <c r="B4800">
        <v>121597</v>
      </c>
      <c r="C4800" t="s">
        <v>222</v>
      </c>
      <c r="D4800" t="s">
        <v>1119</v>
      </c>
      <c r="E4800" s="2">
        <v>30.73</v>
      </c>
    </row>
    <row r="4801" spans="1:5" x14ac:dyDescent="0.25">
      <c r="A4801" s="1">
        <v>43544</v>
      </c>
      <c r="B4801">
        <v>121597</v>
      </c>
      <c r="C4801" t="s">
        <v>222</v>
      </c>
      <c r="D4801" t="s">
        <v>4319</v>
      </c>
      <c r="E4801" s="2">
        <v>51.29</v>
      </c>
    </row>
    <row r="4802" spans="1:5" x14ac:dyDescent="0.25">
      <c r="A4802" s="1">
        <v>43544</v>
      </c>
      <c r="B4802">
        <v>121597</v>
      </c>
      <c r="C4802" t="s">
        <v>222</v>
      </c>
      <c r="D4802" t="s">
        <v>4320</v>
      </c>
      <c r="E4802" s="2">
        <v>82.9</v>
      </c>
    </row>
    <row r="4803" spans="1:5" x14ac:dyDescent="0.25">
      <c r="A4803" s="1">
        <v>43544</v>
      </c>
      <c r="B4803">
        <v>121597</v>
      </c>
      <c r="C4803" t="s">
        <v>222</v>
      </c>
      <c r="D4803" t="s">
        <v>2700</v>
      </c>
      <c r="E4803" s="2">
        <v>30.54</v>
      </c>
    </row>
    <row r="4804" spans="1:5" x14ac:dyDescent="0.25">
      <c r="A4804" s="1">
        <v>43544</v>
      </c>
      <c r="B4804">
        <v>121597</v>
      </c>
      <c r="C4804" t="s">
        <v>222</v>
      </c>
      <c r="D4804" t="s">
        <v>4321</v>
      </c>
      <c r="E4804" s="2">
        <v>28.69</v>
      </c>
    </row>
    <row r="4805" spans="1:5" x14ac:dyDescent="0.25">
      <c r="A4805" s="1">
        <v>43544</v>
      </c>
      <c r="B4805">
        <v>121597</v>
      </c>
      <c r="C4805" t="s">
        <v>222</v>
      </c>
      <c r="D4805" t="s">
        <v>4322</v>
      </c>
      <c r="E4805" s="2">
        <v>129.47999999999999</v>
      </c>
    </row>
    <row r="4806" spans="1:5" x14ac:dyDescent="0.25">
      <c r="A4806" s="1">
        <v>43544</v>
      </c>
      <c r="B4806">
        <v>121597</v>
      </c>
      <c r="C4806" t="s">
        <v>222</v>
      </c>
      <c r="D4806" t="s">
        <v>4323</v>
      </c>
      <c r="E4806" s="2">
        <v>85.94</v>
      </c>
    </row>
    <row r="4807" spans="1:5" x14ac:dyDescent="0.25">
      <c r="A4807" s="1">
        <v>43544</v>
      </c>
      <c r="B4807">
        <v>121597</v>
      </c>
      <c r="C4807" t="s">
        <v>222</v>
      </c>
      <c r="D4807" t="s">
        <v>4324</v>
      </c>
      <c r="E4807" s="2">
        <v>89.1</v>
      </c>
    </row>
    <row r="4808" spans="1:5" x14ac:dyDescent="0.25">
      <c r="A4808" s="1">
        <v>43544</v>
      </c>
      <c r="B4808">
        <v>121597</v>
      </c>
      <c r="C4808" t="s">
        <v>222</v>
      </c>
      <c r="D4808" t="s">
        <v>4325</v>
      </c>
      <c r="E4808" s="2">
        <v>94.21</v>
      </c>
    </row>
    <row r="4809" spans="1:5" x14ac:dyDescent="0.25">
      <c r="A4809" s="1">
        <v>43544</v>
      </c>
      <c r="B4809">
        <v>121597</v>
      </c>
      <c r="C4809" t="s">
        <v>222</v>
      </c>
      <c r="D4809" t="s">
        <v>4326</v>
      </c>
      <c r="E4809" s="2">
        <v>38.19</v>
      </c>
    </row>
    <row r="4810" spans="1:5" x14ac:dyDescent="0.25">
      <c r="A4810" s="1">
        <v>43544</v>
      </c>
      <c r="B4810">
        <v>121597</v>
      </c>
      <c r="C4810" t="s">
        <v>222</v>
      </c>
      <c r="D4810" t="s">
        <v>4327</v>
      </c>
      <c r="E4810" s="2">
        <v>53.73</v>
      </c>
    </row>
    <row r="4811" spans="1:5" x14ac:dyDescent="0.25">
      <c r="A4811" s="1">
        <v>43544</v>
      </c>
      <c r="B4811">
        <v>121597</v>
      </c>
      <c r="C4811" t="s">
        <v>222</v>
      </c>
      <c r="D4811" t="s">
        <v>4328</v>
      </c>
      <c r="E4811" s="2">
        <v>111.34</v>
      </c>
    </row>
    <row r="4812" spans="1:5" x14ac:dyDescent="0.25">
      <c r="A4812" s="1">
        <v>43544</v>
      </c>
      <c r="B4812">
        <v>121597</v>
      </c>
      <c r="C4812" t="s">
        <v>222</v>
      </c>
      <c r="D4812" t="s">
        <v>3822</v>
      </c>
      <c r="E4812" s="2">
        <v>51.71</v>
      </c>
    </row>
    <row r="4813" spans="1:5" x14ac:dyDescent="0.25">
      <c r="A4813" s="1">
        <v>43544</v>
      </c>
      <c r="B4813">
        <v>121597</v>
      </c>
      <c r="C4813" t="s">
        <v>222</v>
      </c>
      <c r="D4813" t="s">
        <v>4329</v>
      </c>
      <c r="E4813" s="2">
        <v>59.8</v>
      </c>
    </row>
    <row r="4814" spans="1:5" x14ac:dyDescent="0.25">
      <c r="A4814" s="1">
        <v>43544</v>
      </c>
      <c r="B4814">
        <v>121597</v>
      </c>
      <c r="C4814" t="s">
        <v>222</v>
      </c>
      <c r="D4814" t="s">
        <v>2700</v>
      </c>
      <c r="E4814" s="2">
        <f>103.63+37.08</f>
        <v>140.70999999999998</v>
      </c>
    </row>
    <row r="4815" spans="1:5" x14ac:dyDescent="0.25">
      <c r="A4815" s="1">
        <v>43544</v>
      </c>
      <c r="B4815">
        <v>121597</v>
      </c>
      <c r="C4815" t="s">
        <v>222</v>
      </c>
      <c r="D4815" t="s">
        <v>4330</v>
      </c>
      <c r="E4815" s="2">
        <v>184.96</v>
      </c>
    </row>
    <row r="4816" spans="1:5" x14ac:dyDescent="0.25">
      <c r="A4816" s="1">
        <v>43544</v>
      </c>
      <c r="B4816">
        <v>121597</v>
      </c>
      <c r="C4816" t="s">
        <v>222</v>
      </c>
      <c r="D4816" t="s">
        <v>4331</v>
      </c>
      <c r="E4816" s="2">
        <v>42.98</v>
      </c>
    </row>
    <row r="4817" spans="1:5" x14ac:dyDescent="0.25">
      <c r="A4817" s="1">
        <v>43544</v>
      </c>
      <c r="B4817">
        <v>121597</v>
      </c>
      <c r="C4817" t="s">
        <v>222</v>
      </c>
      <c r="D4817" t="s">
        <v>2700</v>
      </c>
      <c r="E4817" s="2">
        <v>42.88</v>
      </c>
    </row>
    <row r="4818" spans="1:5" x14ac:dyDescent="0.25">
      <c r="A4818" s="1">
        <v>43544</v>
      </c>
      <c r="B4818">
        <v>121597</v>
      </c>
      <c r="C4818" t="s">
        <v>222</v>
      </c>
      <c r="D4818" t="s">
        <v>2700</v>
      </c>
      <c r="E4818" s="2">
        <v>53</v>
      </c>
    </row>
    <row r="4819" spans="1:5" x14ac:dyDescent="0.25">
      <c r="A4819" s="1">
        <v>43544</v>
      </c>
      <c r="B4819">
        <v>121597</v>
      </c>
      <c r="C4819" t="s">
        <v>222</v>
      </c>
      <c r="D4819" t="s">
        <v>4332</v>
      </c>
      <c r="E4819" s="2">
        <v>93.08</v>
      </c>
    </row>
    <row r="4820" spans="1:5" x14ac:dyDescent="0.25">
      <c r="A4820" s="1">
        <v>43544</v>
      </c>
      <c r="B4820">
        <v>121597</v>
      </c>
      <c r="C4820" t="s">
        <v>222</v>
      </c>
      <c r="D4820" t="s">
        <v>4333</v>
      </c>
      <c r="E4820" s="2">
        <v>66.64</v>
      </c>
    </row>
    <row r="4821" spans="1:5" x14ac:dyDescent="0.25">
      <c r="A4821" s="1">
        <v>43544</v>
      </c>
      <c r="B4821">
        <v>121597</v>
      </c>
      <c r="C4821" t="s">
        <v>222</v>
      </c>
      <c r="D4821" t="s">
        <v>4334</v>
      </c>
      <c r="E4821" s="2">
        <v>41.34</v>
      </c>
    </row>
    <row r="4822" spans="1:5" x14ac:dyDescent="0.25">
      <c r="A4822" s="1">
        <v>43544</v>
      </c>
      <c r="B4822">
        <v>121597</v>
      </c>
      <c r="C4822" t="s">
        <v>222</v>
      </c>
      <c r="D4822" t="s">
        <v>4335</v>
      </c>
      <c r="E4822" s="2">
        <v>36.64</v>
      </c>
    </row>
    <row r="4823" spans="1:5" x14ac:dyDescent="0.25">
      <c r="A4823" s="1">
        <v>43544</v>
      </c>
      <c r="B4823">
        <v>121597</v>
      </c>
      <c r="C4823" t="s">
        <v>222</v>
      </c>
      <c r="D4823" t="s">
        <v>4336</v>
      </c>
      <c r="E4823" s="2">
        <v>15.66</v>
      </c>
    </row>
    <row r="4824" spans="1:5" x14ac:dyDescent="0.25">
      <c r="A4824" s="1">
        <v>43544</v>
      </c>
      <c r="B4824">
        <v>121597</v>
      </c>
      <c r="C4824" t="s">
        <v>222</v>
      </c>
      <c r="D4824" t="s">
        <v>4337</v>
      </c>
      <c r="E4824" s="2">
        <v>266.42</v>
      </c>
    </row>
    <row r="4825" spans="1:5" x14ac:dyDescent="0.25">
      <c r="A4825" s="1">
        <v>43544</v>
      </c>
      <c r="B4825">
        <v>121597</v>
      </c>
      <c r="C4825" t="s">
        <v>222</v>
      </c>
      <c r="D4825" t="s">
        <v>4338</v>
      </c>
      <c r="E4825" s="2">
        <v>37.96</v>
      </c>
    </row>
    <row r="4826" spans="1:5" x14ac:dyDescent="0.25">
      <c r="A4826" s="1">
        <v>43544</v>
      </c>
      <c r="B4826">
        <v>121597</v>
      </c>
      <c r="C4826" t="s">
        <v>222</v>
      </c>
      <c r="D4826" t="s">
        <v>4339</v>
      </c>
      <c r="E4826" s="2">
        <f>29+82.08</f>
        <v>111.08</v>
      </c>
    </row>
    <row r="4827" spans="1:5" x14ac:dyDescent="0.25">
      <c r="A4827" s="1">
        <v>43544</v>
      </c>
      <c r="B4827">
        <v>121597</v>
      </c>
      <c r="C4827" t="s">
        <v>222</v>
      </c>
      <c r="D4827" t="s">
        <v>4340</v>
      </c>
      <c r="E4827" s="2">
        <v>59.4</v>
      </c>
    </row>
    <row r="4828" spans="1:5" x14ac:dyDescent="0.25">
      <c r="A4828" s="1">
        <v>43544</v>
      </c>
      <c r="B4828">
        <v>121597</v>
      </c>
      <c r="C4828" t="s">
        <v>222</v>
      </c>
      <c r="D4828" t="s">
        <v>415</v>
      </c>
      <c r="E4828" s="2">
        <v>71.92</v>
      </c>
    </row>
    <row r="4829" spans="1:5" x14ac:dyDescent="0.25">
      <c r="A4829" s="1">
        <v>43544</v>
      </c>
      <c r="B4829">
        <v>121598</v>
      </c>
      <c r="C4829" t="s">
        <v>4304</v>
      </c>
      <c r="D4829" t="s">
        <v>4305</v>
      </c>
      <c r="E4829" s="2">
        <v>60</v>
      </c>
    </row>
    <row r="4830" spans="1:5" x14ac:dyDescent="0.25">
      <c r="A4830" s="1">
        <v>43544</v>
      </c>
      <c r="B4830">
        <v>181900237</v>
      </c>
      <c r="C4830" t="s">
        <v>4859</v>
      </c>
      <c r="D4830" t="s">
        <v>880</v>
      </c>
      <c r="E4830" s="2">
        <v>95.26</v>
      </c>
    </row>
    <row r="4831" spans="1:5" x14ac:dyDescent="0.25">
      <c r="A4831" s="1">
        <v>43544</v>
      </c>
      <c r="B4831">
        <v>181900238</v>
      </c>
      <c r="C4831" t="s">
        <v>395</v>
      </c>
      <c r="D4831" t="s">
        <v>880</v>
      </c>
      <c r="E4831" s="2">
        <v>61.54</v>
      </c>
    </row>
    <row r="4832" spans="1:5" x14ac:dyDescent="0.25">
      <c r="A4832" s="1">
        <v>43545</v>
      </c>
      <c r="B4832">
        <v>121599</v>
      </c>
      <c r="C4832" t="s">
        <v>4341</v>
      </c>
      <c r="D4832" t="s">
        <v>4342</v>
      </c>
      <c r="E4832" s="2">
        <v>200</v>
      </c>
    </row>
    <row r="4833" spans="1:5" x14ac:dyDescent="0.25">
      <c r="A4833" s="1">
        <v>43545</v>
      </c>
      <c r="B4833">
        <v>121600</v>
      </c>
      <c r="C4833" t="s">
        <v>3885</v>
      </c>
      <c r="D4833" t="s">
        <v>3886</v>
      </c>
      <c r="E4833" s="2">
        <v>1999.24</v>
      </c>
    </row>
    <row r="4834" spans="1:5" x14ac:dyDescent="0.25">
      <c r="A4834" s="1">
        <v>43545</v>
      </c>
      <c r="B4834">
        <v>121600</v>
      </c>
      <c r="C4834" t="s">
        <v>3885</v>
      </c>
      <c r="D4834" t="s">
        <v>416</v>
      </c>
      <c r="E4834" s="3">
        <v>-64.239999999999995</v>
      </c>
    </row>
    <row r="4835" spans="1:5" x14ac:dyDescent="0.25">
      <c r="A4835" s="1">
        <v>43545</v>
      </c>
      <c r="B4835">
        <v>121600</v>
      </c>
      <c r="C4835" t="s">
        <v>3885</v>
      </c>
      <c r="D4835" t="s">
        <v>416</v>
      </c>
      <c r="E4835" s="3">
        <v>-21.75</v>
      </c>
    </row>
    <row r="4836" spans="1:5" x14ac:dyDescent="0.25">
      <c r="A4836" s="1">
        <v>43545</v>
      </c>
      <c r="B4836">
        <v>121601</v>
      </c>
      <c r="C4836" t="s">
        <v>64</v>
      </c>
      <c r="D4836" t="s">
        <v>4343</v>
      </c>
      <c r="E4836" s="2">
        <v>820</v>
      </c>
    </row>
    <row r="4837" spans="1:5" x14ac:dyDescent="0.25">
      <c r="A4837" s="1">
        <v>43545</v>
      </c>
      <c r="B4837">
        <v>121601</v>
      </c>
      <c r="C4837" t="s">
        <v>64</v>
      </c>
      <c r="D4837" t="s">
        <v>4344</v>
      </c>
      <c r="E4837" s="2">
        <v>90</v>
      </c>
    </row>
    <row r="4838" spans="1:5" x14ac:dyDescent="0.25">
      <c r="A4838" s="1">
        <v>43545</v>
      </c>
      <c r="B4838">
        <v>121602</v>
      </c>
      <c r="C4838" t="s">
        <v>4345</v>
      </c>
      <c r="D4838" t="s">
        <v>4346</v>
      </c>
      <c r="E4838" s="2">
        <v>405</v>
      </c>
    </row>
    <row r="4839" spans="1:5" x14ac:dyDescent="0.25">
      <c r="A4839" s="1">
        <v>43545</v>
      </c>
      <c r="B4839">
        <v>121603</v>
      </c>
      <c r="C4839" t="s">
        <v>226</v>
      </c>
      <c r="D4839" t="s">
        <v>4347</v>
      </c>
      <c r="E4839" s="2">
        <f>78.07+77.17</f>
        <v>155.24</v>
      </c>
    </row>
    <row r="4840" spans="1:5" x14ac:dyDescent="0.25">
      <c r="A4840" s="1">
        <v>43545</v>
      </c>
      <c r="B4840">
        <v>121603</v>
      </c>
      <c r="C4840" t="s">
        <v>226</v>
      </c>
      <c r="D4840" t="s">
        <v>4348</v>
      </c>
      <c r="E4840" s="2">
        <v>150</v>
      </c>
    </row>
    <row r="4841" spans="1:5" x14ac:dyDescent="0.25">
      <c r="A4841" s="1">
        <v>43545</v>
      </c>
      <c r="B4841">
        <v>121604</v>
      </c>
      <c r="C4841" t="s">
        <v>4349</v>
      </c>
      <c r="D4841" t="s">
        <v>4350</v>
      </c>
      <c r="E4841" s="2">
        <v>225</v>
      </c>
    </row>
    <row r="4842" spans="1:5" x14ac:dyDescent="0.25">
      <c r="A4842" s="1">
        <v>43545</v>
      </c>
      <c r="B4842">
        <v>121605</v>
      </c>
      <c r="C4842" t="s">
        <v>96</v>
      </c>
      <c r="D4842" t="s">
        <v>4351</v>
      </c>
      <c r="E4842" s="2">
        <v>250</v>
      </c>
    </row>
    <row r="4843" spans="1:5" x14ac:dyDescent="0.25">
      <c r="A4843" s="1">
        <v>43545</v>
      </c>
      <c r="B4843">
        <v>121606</v>
      </c>
      <c r="C4843" t="s">
        <v>235</v>
      </c>
      <c r="D4843" t="s">
        <v>4352</v>
      </c>
      <c r="E4843" s="2">
        <v>1906</v>
      </c>
    </row>
    <row r="4844" spans="1:5" x14ac:dyDescent="0.25">
      <c r="A4844" s="1">
        <v>43545</v>
      </c>
      <c r="B4844">
        <v>121606</v>
      </c>
      <c r="C4844" t="s">
        <v>235</v>
      </c>
      <c r="D4844" t="s">
        <v>4353</v>
      </c>
      <c r="E4844" s="2">
        <v>358</v>
      </c>
    </row>
    <row r="4845" spans="1:5" x14ac:dyDescent="0.25">
      <c r="A4845" s="1">
        <v>43545</v>
      </c>
      <c r="B4845">
        <v>121608</v>
      </c>
      <c r="C4845" t="s">
        <v>22</v>
      </c>
      <c r="D4845" t="s">
        <v>23</v>
      </c>
      <c r="E4845" s="2">
        <v>1633.45</v>
      </c>
    </row>
    <row r="4846" spans="1:5" x14ac:dyDescent="0.25">
      <c r="A4846" s="1">
        <v>43545</v>
      </c>
      <c r="B4846">
        <v>121608</v>
      </c>
      <c r="C4846" t="s">
        <v>22</v>
      </c>
      <c r="D4846" t="s">
        <v>24</v>
      </c>
      <c r="E4846" s="2">
        <v>3981.74</v>
      </c>
    </row>
    <row r="4847" spans="1:5" x14ac:dyDescent="0.25">
      <c r="A4847" s="1">
        <v>43545</v>
      </c>
      <c r="B4847">
        <v>121608</v>
      </c>
      <c r="C4847" t="s">
        <v>22</v>
      </c>
      <c r="D4847" t="s">
        <v>1985</v>
      </c>
      <c r="E4847" s="2">
        <v>79.8</v>
      </c>
    </row>
    <row r="4848" spans="1:5" x14ac:dyDescent="0.25">
      <c r="A4848" s="1">
        <v>43545</v>
      </c>
      <c r="B4848">
        <v>121612</v>
      </c>
      <c r="C4848" t="s">
        <v>238</v>
      </c>
      <c r="D4848" t="s">
        <v>437</v>
      </c>
      <c r="E4848" s="2">
        <f>613.48+1028.28+144.52+269.55+751.97+2055.62+192.16+273.98+919.17+660.51+583.28+1406.5+2649.15+365.08</f>
        <v>11913.25</v>
      </c>
    </row>
    <row r="4849" spans="1:5" x14ac:dyDescent="0.25">
      <c r="A4849" s="1">
        <v>43545</v>
      </c>
      <c r="B4849">
        <v>121613</v>
      </c>
      <c r="C4849" t="s">
        <v>4354</v>
      </c>
      <c r="D4849" t="s">
        <v>4355</v>
      </c>
      <c r="E4849" s="2">
        <v>500</v>
      </c>
    </row>
    <row r="4850" spans="1:5" x14ac:dyDescent="0.25">
      <c r="A4850" s="1">
        <v>43545</v>
      </c>
      <c r="B4850">
        <v>121614</v>
      </c>
      <c r="C4850" t="s">
        <v>97</v>
      </c>
      <c r="D4850" t="s">
        <v>4356</v>
      </c>
      <c r="E4850" s="2">
        <f>389.95+389.95</f>
        <v>779.9</v>
      </c>
    </row>
    <row r="4851" spans="1:5" x14ac:dyDescent="0.25">
      <c r="A4851" s="1">
        <v>43545</v>
      </c>
      <c r="B4851">
        <v>121614</v>
      </c>
      <c r="C4851" t="s">
        <v>97</v>
      </c>
      <c r="D4851" t="s">
        <v>4357</v>
      </c>
      <c r="E4851" s="2">
        <v>845.8</v>
      </c>
    </row>
    <row r="4852" spans="1:5" x14ac:dyDescent="0.25">
      <c r="A4852" s="1">
        <v>43545</v>
      </c>
      <c r="B4852">
        <v>121615</v>
      </c>
      <c r="C4852" t="s">
        <v>343</v>
      </c>
      <c r="D4852" t="s">
        <v>4358</v>
      </c>
      <c r="E4852" s="2">
        <v>100</v>
      </c>
    </row>
    <row r="4853" spans="1:5" x14ac:dyDescent="0.25">
      <c r="A4853" s="1">
        <v>43545</v>
      </c>
      <c r="B4853">
        <v>121616</v>
      </c>
      <c r="C4853" t="s">
        <v>3994</v>
      </c>
      <c r="D4853" t="s">
        <v>4359</v>
      </c>
      <c r="E4853" s="2">
        <v>7690.74</v>
      </c>
    </row>
    <row r="4854" spans="1:5" x14ac:dyDescent="0.25">
      <c r="A4854" s="1">
        <v>43545</v>
      </c>
      <c r="B4854">
        <v>121617</v>
      </c>
      <c r="C4854" t="s">
        <v>823</v>
      </c>
      <c r="D4854" t="s">
        <v>4360</v>
      </c>
      <c r="E4854" s="2">
        <v>500</v>
      </c>
    </row>
    <row r="4855" spans="1:5" x14ac:dyDescent="0.25">
      <c r="A4855" s="1">
        <v>43545</v>
      </c>
      <c r="B4855">
        <v>121618</v>
      </c>
      <c r="C4855" t="s">
        <v>3102</v>
      </c>
      <c r="D4855" t="s">
        <v>4361</v>
      </c>
      <c r="E4855" s="2">
        <v>400</v>
      </c>
    </row>
    <row r="4856" spans="1:5" x14ac:dyDescent="0.25">
      <c r="A4856" s="1">
        <v>43545</v>
      </c>
      <c r="B4856">
        <v>121619</v>
      </c>
      <c r="C4856" t="s">
        <v>826</v>
      </c>
      <c r="D4856" t="s">
        <v>4362</v>
      </c>
      <c r="E4856" s="2">
        <v>495</v>
      </c>
    </row>
    <row r="4857" spans="1:5" x14ac:dyDescent="0.25">
      <c r="A4857" s="1">
        <v>43545</v>
      </c>
      <c r="B4857">
        <v>121620</v>
      </c>
      <c r="C4857" t="s">
        <v>829</v>
      </c>
      <c r="D4857" t="s">
        <v>4363</v>
      </c>
      <c r="E4857" s="2">
        <v>250</v>
      </c>
    </row>
    <row r="4858" spans="1:5" x14ac:dyDescent="0.25">
      <c r="A4858" s="1">
        <v>43545</v>
      </c>
      <c r="B4858">
        <v>121621</v>
      </c>
      <c r="C4858" t="s">
        <v>1990</v>
      </c>
      <c r="D4858" t="s">
        <v>4364</v>
      </c>
      <c r="E4858" s="2">
        <v>75</v>
      </c>
    </row>
    <row r="4859" spans="1:5" x14ac:dyDescent="0.25">
      <c r="A4859" s="1">
        <v>43545</v>
      </c>
      <c r="B4859">
        <v>121623</v>
      </c>
      <c r="C4859" t="s">
        <v>67</v>
      </c>
      <c r="D4859" t="s">
        <v>4365</v>
      </c>
      <c r="E4859" s="2">
        <v>4999.5</v>
      </c>
    </row>
    <row r="4860" spans="1:5" x14ac:dyDescent="0.25">
      <c r="A4860" s="1">
        <v>43545</v>
      </c>
      <c r="B4860">
        <v>121623</v>
      </c>
      <c r="C4860" t="s">
        <v>67</v>
      </c>
      <c r="D4860" t="s">
        <v>4366</v>
      </c>
      <c r="E4860" s="2">
        <v>4085.3</v>
      </c>
    </row>
    <row r="4861" spans="1:5" x14ac:dyDescent="0.25">
      <c r="A4861" s="1">
        <v>43545</v>
      </c>
      <c r="B4861">
        <v>121623</v>
      </c>
      <c r="C4861" t="s">
        <v>67</v>
      </c>
      <c r="D4861" t="s">
        <v>4367</v>
      </c>
      <c r="E4861" s="2">
        <v>3000.01</v>
      </c>
    </row>
    <row r="4862" spans="1:5" x14ac:dyDescent="0.25">
      <c r="A4862" s="1">
        <v>43545</v>
      </c>
      <c r="B4862">
        <v>121623</v>
      </c>
      <c r="C4862" t="s">
        <v>67</v>
      </c>
      <c r="D4862" t="s">
        <v>4368</v>
      </c>
      <c r="E4862" s="2">
        <v>1056.0899999999999</v>
      </c>
    </row>
    <row r="4863" spans="1:5" x14ac:dyDescent="0.25">
      <c r="A4863" s="1">
        <v>43545</v>
      </c>
      <c r="B4863">
        <v>121623</v>
      </c>
      <c r="C4863" t="s">
        <v>67</v>
      </c>
      <c r="D4863" t="s">
        <v>4369</v>
      </c>
      <c r="E4863" s="2">
        <v>637.79999999999995</v>
      </c>
    </row>
    <row r="4864" spans="1:5" x14ac:dyDescent="0.25">
      <c r="A4864" s="1">
        <v>43545</v>
      </c>
      <c r="B4864">
        <v>121623</v>
      </c>
      <c r="C4864" t="s">
        <v>67</v>
      </c>
      <c r="D4864" t="s">
        <v>4370</v>
      </c>
      <c r="E4864" s="2">
        <v>702.96</v>
      </c>
    </row>
    <row r="4865" spans="1:5" x14ac:dyDescent="0.25">
      <c r="A4865" s="1">
        <v>43545</v>
      </c>
      <c r="B4865">
        <v>121623</v>
      </c>
      <c r="C4865" t="s">
        <v>67</v>
      </c>
      <c r="D4865" t="s">
        <v>4371</v>
      </c>
      <c r="E4865" s="2">
        <v>487.39</v>
      </c>
    </row>
    <row r="4866" spans="1:5" x14ac:dyDescent="0.25">
      <c r="A4866" s="1">
        <v>43545</v>
      </c>
      <c r="B4866">
        <v>121623</v>
      </c>
      <c r="C4866" t="s">
        <v>67</v>
      </c>
      <c r="D4866" t="s">
        <v>4372</v>
      </c>
      <c r="E4866" s="2">
        <v>413.76</v>
      </c>
    </row>
    <row r="4867" spans="1:5" x14ac:dyDescent="0.25">
      <c r="A4867" s="1">
        <v>43545</v>
      </c>
      <c r="B4867">
        <v>121623</v>
      </c>
      <c r="C4867" t="s">
        <v>67</v>
      </c>
      <c r="D4867" t="s">
        <v>4373</v>
      </c>
      <c r="E4867" s="2">
        <v>635.58000000000004</v>
      </c>
    </row>
    <row r="4868" spans="1:5" x14ac:dyDescent="0.25">
      <c r="A4868" s="1">
        <v>43545</v>
      </c>
      <c r="B4868">
        <v>121623</v>
      </c>
      <c r="C4868" t="s">
        <v>67</v>
      </c>
      <c r="D4868" t="s">
        <v>4374</v>
      </c>
      <c r="E4868" s="2">
        <v>3160.5</v>
      </c>
    </row>
    <row r="4869" spans="1:5" x14ac:dyDescent="0.25">
      <c r="A4869" s="1">
        <v>43545</v>
      </c>
      <c r="B4869">
        <v>121623</v>
      </c>
      <c r="C4869" t="s">
        <v>67</v>
      </c>
      <c r="D4869" t="s">
        <v>4375</v>
      </c>
      <c r="E4869" s="2">
        <v>1709.4</v>
      </c>
    </row>
    <row r="4870" spans="1:5" x14ac:dyDescent="0.25">
      <c r="A4870" s="1">
        <v>43545</v>
      </c>
      <c r="B4870">
        <v>121624</v>
      </c>
      <c r="C4870" t="s">
        <v>4376</v>
      </c>
      <c r="D4870" t="s">
        <v>3453</v>
      </c>
      <c r="E4870" s="2">
        <v>259</v>
      </c>
    </row>
    <row r="4871" spans="1:5" x14ac:dyDescent="0.25">
      <c r="A4871" s="1">
        <v>43545</v>
      </c>
      <c r="B4871">
        <v>121625</v>
      </c>
      <c r="C4871" t="s">
        <v>4377</v>
      </c>
      <c r="D4871" t="s">
        <v>4378</v>
      </c>
      <c r="E4871" s="2">
        <v>199</v>
      </c>
    </row>
    <row r="4872" spans="1:5" x14ac:dyDescent="0.25">
      <c r="A4872" s="1">
        <v>43545</v>
      </c>
      <c r="B4872">
        <v>121626</v>
      </c>
      <c r="C4872" t="s">
        <v>1156</v>
      </c>
      <c r="D4872" t="s">
        <v>4379</v>
      </c>
      <c r="E4872" s="2">
        <v>78</v>
      </c>
    </row>
    <row r="4873" spans="1:5" x14ac:dyDescent="0.25">
      <c r="A4873" s="1">
        <v>43545</v>
      </c>
      <c r="B4873">
        <v>121628</v>
      </c>
      <c r="C4873" t="s">
        <v>662</v>
      </c>
      <c r="D4873" t="s">
        <v>4380</v>
      </c>
      <c r="E4873" s="2">
        <v>318</v>
      </c>
    </row>
    <row r="4874" spans="1:5" x14ac:dyDescent="0.25">
      <c r="A4874" s="1">
        <v>43545</v>
      </c>
      <c r="B4874">
        <v>121628</v>
      </c>
      <c r="C4874" t="s">
        <v>662</v>
      </c>
      <c r="D4874" t="s">
        <v>4381</v>
      </c>
      <c r="E4874" s="2">
        <v>230.86</v>
      </c>
    </row>
    <row r="4875" spans="1:5" x14ac:dyDescent="0.25">
      <c r="A4875" s="1">
        <v>43545</v>
      </c>
      <c r="B4875">
        <v>121628</v>
      </c>
      <c r="C4875" t="s">
        <v>662</v>
      </c>
      <c r="D4875" t="s">
        <v>4382</v>
      </c>
      <c r="E4875" s="2">
        <v>236.55</v>
      </c>
    </row>
    <row r="4876" spans="1:5" x14ac:dyDescent="0.25">
      <c r="A4876" s="1">
        <v>43545</v>
      </c>
      <c r="B4876">
        <v>121628</v>
      </c>
      <c r="C4876" t="s">
        <v>662</v>
      </c>
      <c r="D4876" t="s">
        <v>4383</v>
      </c>
      <c r="E4876" s="2">
        <v>122.55</v>
      </c>
    </row>
    <row r="4877" spans="1:5" x14ac:dyDescent="0.25">
      <c r="A4877" s="1">
        <v>43545</v>
      </c>
      <c r="B4877">
        <v>121628</v>
      </c>
      <c r="C4877" t="s">
        <v>662</v>
      </c>
      <c r="D4877" t="s">
        <v>4384</v>
      </c>
      <c r="E4877" s="2">
        <v>832.2</v>
      </c>
    </row>
    <row r="4878" spans="1:5" x14ac:dyDescent="0.25">
      <c r="A4878" s="1">
        <v>43545</v>
      </c>
      <c r="B4878">
        <v>121630</v>
      </c>
      <c r="C4878" t="s">
        <v>243</v>
      </c>
      <c r="D4878" t="s">
        <v>4385</v>
      </c>
      <c r="E4878" s="2">
        <f>615.84+1833.6+191.4+2492.5</f>
        <v>5133.34</v>
      </c>
    </row>
    <row r="4879" spans="1:5" x14ac:dyDescent="0.25">
      <c r="A4879" s="1">
        <v>43545</v>
      </c>
      <c r="B4879">
        <v>121631</v>
      </c>
      <c r="C4879" t="s">
        <v>4386</v>
      </c>
      <c r="D4879" t="s">
        <v>4387</v>
      </c>
      <c r="E4879" s="2">
        <v>750</v>
      </c>
    </row>
    <row r="4880" spans="1:5" x14ac:dyDescent="0.25">
      <c r="A4880" s="1">
        <v>43545</v>
      </c>
      <c r="B4880">
        <v>121632</v>
      </c>
      <c r="C4880" t="s">
        <v>4388</v>
      </c>
      <c r="D4880" t="s">
        <v>4342</v>
      </c>
      <c r="E4880" s="2">
        <v>200</v>
      </c>
    </row>
    <row r="4881" spans="1:5" x14ac:dyDescent="0.25">
      <c r="A4881" s="1">
        <v>43545</v>
      </c>
      <c r="B4881">
        <v>121633</v>
      </c>
      <c r="C4881" t="s">
        <v>1168</v>
      </c>
      <c r="D4881" t="s">
        <v>4389</v>
      </c>
      <c r="E4881" s="2">
        <v>300</v>
      </c>
    </row>
    <row r="4882" spans="1:5" x14ac:dyDescent="0.25">
      <c r="A4882" s="1">
        <v>43545</v>
      </c>
      <c r="B4882">
        <v>121634</v>
      </c>
      <c r="C4882" t="s">
        <v>4390</v>
      </c>
      <c r="D4882" t="s">
        <v>4391</v>
      </c>
      <c r="E4882" s="2">
        <v>250</v>
      </c>
    </row>
    <row r="4883" spans="1:5" x14ac:dyDescent="0.25">
      <c r="A4883" s="1">
        <v>43545</v>
      </c>
      <c r="B4883">
        <v>121635</v>
      </c>
      <c r="C4883" t="s">
        <v>2893</v>
      </c>
      <c r="D4883" t="s">
        <v>4392</v>
      </c>
      <c r="E4883" s="2">
        <v>1078.0999999999999</v>
      </c>
    </row>
    <row r="4884" spans="1:5" x14ac:dyDescent="0.25">
      <c r="A4884" s="1">
        <v>43545</v>
      </c>
      <c r="B4884">
        <v>121636</v>
      </c>
      <c r="C4884" t="s">
        <v>673</v>
      </c>
      <c r="D4884" t="s">
        <v>674</v>
      </c>
      <c r="E4884" s="2">
        <v>14.71</v>
      </c>
    </row>
    <row r="4885" spans="1:5" x14ac:dyDescent="0.25">
      <c r="A4885" s="1">
        <v>43545</v>
      </c>
      <c r="B4885">
        <v>121637</v>
      </c>
      <c r="C4885" t="s">
        <v>247</v>
      </c>
      <c r="D4885" t="s">
        <v>424</v>
      </c>
      <c r="E4885" s="2">
        <v>1534.41</v>
      </c>
    </row>
    <row r="4886" spans="1:5" x14ac:dyDescent="0.25">
      <c r="A4886" s="1">
        <v>43545</v>
      </c>
      <c r="B4886">
        <v>121637</v>
      </c>
      <c r="C4886" t="s">
        <v>247</v>
      </c>
      <c r="D4886" t="s">
        <v>1798</v>
      </c>
      <c r="E4886" s="2">
        <v>85</v>
      </c>
    </row>
    <row r="4887" spans="1:5" x14ac:dyDescent="0.25">
      <c r="A4887" s="1">
        <v>43545</v>
      </c>
      <c r="B4887">
        <v>121638</v>
      </c>
      <c r="C4887" t="s">
        <v>4393</v>
      </c>
      <c r="D4887" t="s">
        <v>4394</v>
      </c>
      <c r="E4887" s="2">
        <f>136+136+136+136</f>
        <v>544</v>
      </c>
    </row>
    <row r="4888" spans="1:5" x14ac:dyDescent="0.25">
      <c r="A4888" s="1">
        <v>43545</v>
      </c>
      <c r="B4888">
        <v>121642</v>
      </c>
      <c r="C4888" t="s">
        <v>106</v>
      </c>
      <c r="D4888" t="s">
        <v>424</v>
      </c>
      <c r="E4888" s="2">
        <f>189.72+189.72+49.48+446.6+351.13+351.13+189.72+210.82+1592.24+2405.02+52.63+1972.01+1456.64+533.02+637.12+351.13+1096.64</f>
        <v>12074.77</v>
      </c>
    </row>
    <row r="4889" spans="1:5" x14ac:dyDescent="0.25">
      <c r="A4889" s="1">
        <v>43545</v>
      </c>
      <c r="B4889">
        <v>121643</v>
      </c>
      <c r="C4889" t="s">
        <v>4395</v>
      </c>
      <c r="D4889" t="s">
        <v>4396</v>
      </c>
      <c r="E4889" s="2">
        <v>7240</v>
      </c>
    </row>
    <row r="4890" spans="1:5" x14ac:dyDescent="0.25">
      <c r="A4890" s="1">
        <v>43545</v>
      </c>
      <c r="B4890">
        <v>121645</v>
      </c>
      <c r="C4890" t="s">
        <v>1436</v>
      </c>
      <c r="D4890" t="s">
        <v>3529</v>
      </c>
      <c r="E4890" s="2">
        <f>80+80+80</f>
        <v>240</v>
      </c>
    </row>
    <row r="4891" spans="1:5" x14ac:dyDescent="0.25">
      <c r="A4891" s="1">
        <v>43545</v>
      </c>
      <c r="B4891">
        <v>121646</v>
      </c>
      <c r="C4891" t="s">
        <v>4397</v>
      </c>
      <c r="D4891" t="s">
        <v>4398</v>
      </c>
      <c r="E4891" s="2">
        <v>180</v>
      </c>
    </row>
    <row r="4892" spans="1:5" x14ac:dyDescent="0.25">
      <c r="A4892" s="1">
        <v>43545</v>
      </c>
      <c r="B4892">
        <v>121647</v>
      </c>
      <c r="C4892" t="s">
        <v>4399</v>
      </c>
      <c r="D4892" t="s">
        <v>4400</v>
      </c>
      <c r="E4892" s="2">
        <v>2400.83</v>
      </c>
    </row>
    <row r="4893" spans="1:5" x14ac:dyDescent="0.25">
      <c r="A4893" s="1">
        <v>43545</v>
      </c>
      <c r="B4893">
        <v>121648</v>
      </c>
      <c r="C4893" t="s">
        <v>1173</v>
      </c>
      <c r="D4893" t="s">
        <v>4360</v>
      </c>
      <c r="E4893" s="2">
        <v>250</v>
      </c>
    </row>
    <row r="4894" spans="1:5" x14ac:dyDescent="0.25">
      <c r="A4894" s="1">
        <v>43545</v>
      </c>
      <c r="B4894">
        <v>121649</v>
      </c>
      <c r="C4894" t="s">
        <v>352</v>
      </c>
      <c r="D4894" t="s">
        <v>4401</v>
      </c>
      <c r="E4894" s="2">
        <v>1894</v>
      </c>
    </row>
    <row r="4895" spans="1:5" x14ac:dyDescent="0.25">
      <c r="A4895" s="1">
        <v>43545</v>
      </c>
      <c r="B4895">
        <v>121649</v>
      </c>
      <c r="C4895" t="s">
        <v>352</v>
      </c>
      <c r="D4895" t="s">
        <v>4402</v>
      </c>
      <c r="E4895" s="2">
        <v>399</v>
      </c>
    </row>
    <row r="4896" spans="1:5" x14ac:dyDescent="0.25">
      <c r="A4896" s="1">
        <v>43545</v>
      </c>
      <c r="B4896">
        <v>121650</v>
      </c>
      <c r="C4896" t="s">
        <v>2173</v>
      </c>
      <c r="D4896" t="s">
        <v>4391</v>
      </c>
      <c r="E4896" s="2">
        <v>250</v>
      </c>
    </row>
    <row r="4897" spans="1:5" x14ac:dyDescent="0.25">
      <c r="A4897" s="1">
        <v>43545</v>
      </c>
      <c r="B4897">
        <v>121651</v>
      </c>
      <c r="C4897" t="s">
        <v>68</v>
      </c>
      <c r="D4897" t="s">
        <v>4403</v>
      </c>
      <c r="E4897" s="2">
        <v>455.97</v>
      </c>
    </row>
    <row r="4898" spans="1:5" x14ac:dyDescent="0.25">
      <c r="A4898" s="1">
        <v>43545</v>
      </c>
      <c r="B4898">
        <v>121651</v>
      </c>
      <c r="C4898" t="s">
        <v>68</v>
      </c>
      <c r="D4898" t="s">
        <v>4404</v>
      </c>
      <c r="E4898" s="2">
        <v>923</v>
      </c>
    </row>
    <row r="4899" spans="1:5" x14ac:dyDescent="0.25">
      <c r="A4899" s="1">
        <v>43545</v>
      </c>
      <c r="B4899">
        <v>121651</v>
      </c>
      <c r="C4899" t="s">
        <v>68</v>
      </c>
      <c r="D4899" t="s">
        <v>4405</v>
      </c>
      <c r="E4899" s="2">
        <v>21355.19</v>
      </c>
    </row>
    <row r="4900" spans="1:5" x14ac:dyDescent="0.25">
      <c r="A4900" s="1">
        <v>43545</v>
      </c>
      <c r="B4900">
        <v>121652</v>
      </c>
      <c r="C4900" t="s">
        <v>681</v>
      </c>
      <c r="D4900" t="s">
        <v>4406</v>
      </c>
      <c r="E4900" s="2">
        <v>126.8</v>
      </c>
    </row>
    <row r="4901" spans="1:5" x14ac:dyDescent="0.25">
      <c r="A4901" s="1">
        <v>43545</v>
      </c>
      <c r="B4901">
        <v>121653</v>
      </c>
      <c r="C4901" t="s">
        <v>4407</v>
      </c>
      <c r="D4901" t="s">
        <v>4351</v>
      </c>
      <c r="E4901" s="2">
        <v>250</v>
      </c>
    </row>
    <row r="4902" spans="1:5" x14ac:dyDescent="0.25">
      <c r="A4902" s="1">
        <v>43545</v>
      </c>
      <c r="B4902">
        <v>121654</v>
      </c>
      <c r="C4902" t="s">
        <v>355</v>
      </c>
      <c r="D4902" t="s">
        <v>3166</v>
      </c>
      <c r="E4902" s="2">
        <v>100.94</v>
      </c>
    </row>
    <row r="4903" spans="1:5" x14ac:dyDescent="0.25">
      <c r="A4903" s="1">
        <v>43545</v>
      </c>
      <c r="B4903">
        <v>121664</v>
      </c>
      <c r="C4903" t="s">
        <v>110</v>
      </c>
      <c r="D4903" t="s">
        <v>2010</v>
      </c>
      <c r="E4903" s="2">
        <f>8319.63+13453.87+6289.6+548.52+809.34+1555.95+181.5+90.16+1914.92+6926.21+9.5+8.29+24.68+858.1+2593.04+7518.23+8.97+2966.51+19.73+5991.79+4738.57+253.31+14.76+14.76+8.29+1170.36+624.26+529.48+131.5+252.86+966.14+475.25+19.72+24.45+149.4+1370.89+208.14+737.3+164.34+1779.89+356.75</f>
        <v>74078.959999999977</v>
      </c>
    </row>
    <row r="4904" spans="1:5" x14ac:dyDescent="0.25">
      <c r="A4904" s="1">
        <v>43545</v>
      </c>
      <c r="B4904">
        <v>121665</v>
      </c>
      <c r="C4904" t="s">
        <v>1180</v>
      </c>
      <c r="D4904" t="s">
        <v>1028</v>
      </c>
      <c r="E4904" s="2">
        <v>366.1</v>
      </c>
    </row>
    <row r="4905" spans="1:5" x14ac:dyDescent="0.25">
      <c r="A4905" s="1">
        <v>43545</v>
      </c>
      <c r="B4905">
        <v>121666</v>
      </c>
      <c r="C4905" t="s">
        <v>683</v>
      </c>
      <c r="D4905" t="s">
        <v>4408</v>
      </c>
      <c r="E4905" s="2">
        <v>305</v>
      </c>
    </row>
    <row r="4906" spans="1:5" x14ac:dyDescent="0.25">
      <c r="A4906" s="1">
        <v>43545</v>
      </c>
      <c r="B4906">
        <v>121666</v>
      </c>
      <c r="C4906" t="s">
        <v>683</v>
      </c>
      <c r="D4906" t="s">
        <v>4409</v>
      </c>
      <c r="E4906" s="2">
        <v>635</v>
      </c>
    </row>
    <row r="4907" spans="1:5" x14ac:dyDescent="0.25">
      <c r="A4907" s="1">
        <v>43545</v>
      </c>
      <c r="B4907">
        <v>121667</v>
      </c>
      <c r="C4907" t="s">
        <v>198</v>
      </c>
      <c r="D4907" t="s">
        <v>4410</v>
      </c>
      <c r="E4907" s="2">
        <v>95</v>
      </c>
    </row>
    <row r="4908" spans="1:5" x14ac:dyDescent="0.25">
      <c r="A4908" s="1">
        <v>43545</v>
      </c>
      <c r="B4908">
        <v>121668</v>
      </c>
      <c r="C4908" t="s">
        <v>4411</v>
      </c>
      <c r="D4908" t="s">
        <v>4412</v>
      </c>
      <c r="E4908" s="2">
        <v>563</v>
      </c>
    </row>
    <row r="4909" spans="1:5" x14ac:dyDescent="0.25">
      <c r="A4909" s="1">
        <v>43545</v>
      </c>
      <c r="B4909">
        <v>121669</v>
      </c>
      <c r="C4909" t="s">
        <v>2376</v>
      </c>
      <c r="D4909" t="s">
        <v>2377</v>
      </c>
      <c r="E4909" s="2">
        <f>7.5+4.25</f>
        <v>11.75</v>
      </c>
    </row>
    <row r="4910" spans="1:5" x14ac:dyDescent="0.25">
      <c r="A4910" s="1">
        <v>43545</v>
      </c>
      <c r="B4910">
        <v>121670</v>
      </c>
      <c r="C4910" t="s">
        <v>114</v>
      </c>
      <c r="D4910" t="s">
        <v>4413</v>
      </c>
      <c r="E4910" s="2">
        <v>600</v>
      </c>
    </row>
    <row r="4911" spans="1:5" x14ac:dyDescent="0.25">
      <c r="A4911" s="1">
        <v>43545</v>
      </c>
      <c r="B4911">
        <v>121671</v>
      </c>
      <c r="C4911" t="s">
        <v>4414</v>
      </c>
      <c r="D4911" t="s">
        <v>4415</v>
      </c>
      <c r="E4911" s="2">
        <v>4259.51</v>
      </c>
    </row>
    <row r="4912" spans="1:5" x14ac:dyDescent="0.25">
      <c r="A4912" s="1">
        <v>43545</v>
      </c>
      <c r="B4912">
        <v>121672</v>
      </c>
      <c r="C4912" t="s">
        <v>852</v>
      </c>
      <c r="D4912" t="s">
        <v>4360</v>
      </c>
      <c r="E4912" s="2">
        <v>500</v>
      </c>
    </row>
    <row r="4913" spans="1:5" x14ac:dyDescent="0.25">
      <c r="A4913" s="1">
        <v>43545</v>
      </c>
      <c r="B4913">
        <v>121673</v>
      </c>
      <c r="C4913" t="s">
        <v>3556</v>
      </c>
      <c r="D4913" t="s">
        <v>4416</v>
      </c>
      <c r="E4913" s="2">
        <v>500</v>
      </c>
    </row>
    <row r="4914" spans="1:5" x14ac:dyDescent="0.25">
      <c r="A4914" s="1">
        <v>43545</v>
      </c>
      <c r="B4914">
        <v>121674</v>
      </c>
      <c r="C4914" t="s">
        <v>56</v>
      </c>
      <c r="D4914" t="s">
        <v>4351</v>
      </c>
      <c r="E4914" s="2">
        <v>250</v>
      </c>
    </row>
    <row r="4915" spans="1:5" x14ac:dyDescent="0.25">
      <c r="A4915" s="1">
        <v>43545</v>
      </c>
      <c r="B4915">
        <v>121675</v>
      </c>
      <c r="C4915" t="s">
        <v>692</v>
      </c>
      <c r="D4915" t="s">
        <v>4417</v>
      </c>
      <c r="E4915" s="2">
        <v>122.97</v>
      </c>
    </row>
    <row r="4916" spans="1:5" x14ac:dyDescent="0.25">
      <c r="A4916" s="1">
        <v>43545</v>
      </c>
      <c r="B4916">
        <v>121675</v>
      </c>
      <c r="C4916" t="s">
        <v>692</v>
      </c>
      <c r="D4916" t="s">
        <v>3610</v>
      </c>
      <c r="E4916" s="2">
        <v>42.99</v>
      </c>
    </row>
    <row r="4917" spans="1:5" x14ac:dyDescent="0.25">
      <c r="A4917" s="1">
        <v>43545</v>
      </c>
      <c r="B4917">
        <v>121675</v>
      </c>
      <c r="C4917" t="s">
        <v>692</v>
      </c>
      <c r="D4917" t="s">
        <v>416</v>
      </c>
      <c r="E4917" s="3">
        <v>-186.99</v>
      </c>
    </row>
    <row r="4918" spans="1:5" x14ac:dyDescent="0.25">
      <c r="A4918" s="1">
        <v>43545</v>
      </c>
      <c r="B4918">
        <v>121675</v>
      </c>
      <c r="C4918" t="s">
        <v>692</v>
      </c>
      <c r="D4918" t="s">
        <v>4418</v>
      </c>
      <c r="E4918" s="2">
        <v>43.43</v>
      </c>
    </row>
    <row r="4919" spans="1:5" x14ac:dyDescent="0.25">
      <c r="A4919" s="1">
        <v>43545</v>
      </c>
      <c r="B4919">
        <v>121676</v>
      </c>
      <c r="C4919" t="s">
        <v>4419</v>
      </c>
      <c r="D4919" t="s">
        <v>4420</v>
      </c>
      <c r="E4919" s="2">
        <v>1146.95</v>
      </c>
    </row>
    <row r="4920" spans="1:5" x14ac:dyDescent="0.25">
      <c r="A4920" s="1">
        <v>43545</v>
      </c>
      <c r="B4920">
        <v>121676</v>
      </c>
      <c r="C4920" t="s">
        <v>4419</v>
      </c>
      <c r="D4920" t="s">
        <v>4421</v>
      </c>
      <c r="E4920" s="2">
        <v>1119.6099999999999</v>
      </c>
    </row>
    <row r="4921" spans="1:5" x14ac:dyDescent="0.25">
      <c r="A4921" s="1">
        <v>43545</v>
      </c>
      <c r="B4921">
        <v>121677</v>
      </c>
      <c r="C4921" t="s">
        <v>120</v>
      </c>
      <c r="D4921" t="s">
        <v>4351</v>
      </c>
      <c r="E4921" s="2">
        <v>250</v>
      </c>
    </row>
    <row r="4922" spans="1:5" x14ac:dyDescent="0.25">
      <c r="A4922" s="1">
        <v>43545</v>
      </c>
      <c r="B4922">
        <v>121683</v>
      </c>
      <c r="C4922" t="s">
        <v>123</v>
      </c>
      <c r="D4922" t="s">
        <v>1666</v>
      </c>
      <c r="E4922" s="2">
        <v>134997.01</v>
      </c>
    </row>
    <row r="4923" spans="1:5" x14ac:dyDescent="0.25">
      <c r="A4923" s="1">
        <v>43545</v>
      </c>
      <c r="B4923">
        <v>121683</v>
      </c>
      <c r="C4923" t="s">
        <v>123</v>
      </c>
      <c r="D4923" t="s">
        <v>4422</v>
      </c>
      <c r="E4923" s="2">
        <v>479.87</v>
      </c>
    </row>
    <row r="4924" spans="1:5" x14ac:dyDescent="0.25">
      <c r="A4924" s="1">
        <v>43545</v>
      </c>
      <c r="B4924">
        <v>121683</v>
      </c>
      <c r="C4924" t="s">
        <v>123</v>
      </c>
      <c r="D4924" t="s">
        <v>1665</v>
      </c>
      <c r="E4924" s="2">
        <f>324.1+97+586.59+10+10+556.91+30.71+643.23+100.88+36.84+73.49+321.14+47.23+80.37+91.41+97.9+97.9+25.5+27.55+47.14+495.79</f>
        <v>3801.68</v>
      </c>
    </row>
    <row r="4925" spans="1:5" x14ac:dyDescent="0.25">
      <c r="A4925" s="1">
        <v>43545</v>
      </c>
      <c r="B4925">
        <v>121684</v>
      </c>
      <c r="C4925" t="s">
        <v>855</v>
      </c>
      <c r="D4925" t="s">
        <v>4423</v>
      </c>
      <c r="E4925" s="2">
        <v>173.93</v>
      </c>
    </row>
    <row r="4926" spans="1:5" x14ac:dyDescent="0.25">
      <c r="A4926" s="1">
        <v>43545</v>
      </c>
      <c r="B4926">
        <v>121685</v>
      </c>
      <c r="C4926" t="s">
        <v>259</v>
      </c>
      <c r="D4926" t="s">
        <v>4424</v>
      </c>
      <c r="E4926" s="2">
        <v>201</v>
      </c>
    </row>
    <row r="4927" spans="1:5" x14ac:dyDescent="0.25">
      <c r="A4927" s="1">
        <v>43545</v>
      </c>
      <c r="B4927">
        <v>121685</v>
      </c>
      <c r="C4927" t="s">
        <v>259</v>
      </c>
      <c r="D4927" t="s">
        <v>4425</v>
      </c>
      <c r="E4927" s="2">
        <v>740.16</v>
      </c>
    </row>
    <row r="4928" spans="1:5" x14ac:dyDescent="0.25">
      <c r="A4928" s="1">
        <v>43545</v>
      </c>
      <c r="B4928">
        <v>121685</v>
      </c>
      <c r="C4928" t="s">
        <v>259</v>
      </c>
      <c r="D4928" t="s">
        <v>4426</v>
      </c>
      <c r="E4928" s="2">
        <v>817.93</v>
      </c>
    </row>
    <row r="4929" spans="1:5" x14ac:dyDescent="0.25">
      <c r="A4929" s="1">
        <v>43545</v>
      </c>
      <c r="B4929">
        <v>121686</v>
      </c>
      <c r="C4929" t="s">
        <v>4040</v>
      </c>
      <c r="D4929" t="s">
        <v>4427</v>
      </c>
      <c r="E4929" s="2">
        <v>28.05</v>
      </c>
    </row>
    <row r="4930" spans="1:5" x14ac:dyDescent="0.25">
      <c r="A4930" s="1">
        <v>43545</v>
      </c>
      <c r="B4930">
        <v>121687</v>
      </c>
      <c r="C4930" t="s">
        <v>4428</v>
      </c>
      <c r="D4930" t="s">
        <v>4429</v>
      </c>
      <c r="E4930" s="2">
        <v>37.75</v>
      </c>
    </row>
    <row r="4931" spans="1:5" x14ac:dyDescent="0.25">
      <c r="A4931" s="1">
        <v>43545</v>
      </c>
      <c r="B4931">
        <v>121688</v>
      </c>
      <c r="C4931" t="s">
        <v>124</v>
      </c>
      <c r="D4931" t="s">
        <v>4430</v>
      </c>
      <c r="E4931" s="2">
        <v>100</v>
      </c>
    </row>
    <row r="4932" spans="1:5" x14ac:dyDescent="0.25">
      <c r="A4932" s="1">
        <v>43545</v>
      </c>
      <c r="B4932">
        <v>121688</v>
      </c>
      <c r="C4932" t="s">
        <v>124</v>
      </c>
      <c r="D4932" t="s">
        <v>4431</v>
      </c>
      <c r="E4932" s="2">
        <v>50</v>
      </c>
    </row>
    <row r="4933" spans="1:5" x14ac:dyDescent="0.25">
      <c r="A4933" s="1">
        <v>43545</v>
      </c>
      <c r="B4933">
        <v>121688</v>
      </c>
      <c r="C4933" t="s">
        <v>124</v>
      </c>
      <c r="D4933" t="s">
        <v>4432</v>
      </c>
      <c r="E4933" s="2">
        <v>50</v>
      </c>
    </row>
    <row r="4934" spans="1:5" x14ac:dyDescent="0.25">
      <c r="A4934" s="1">
        <v>43545</v>
      </c>
      <c r="B4934">
        <v>121698</v>
      </c>
      <c r="C4934" t="s">
        <v>125</v>
      </c>
      <c r="D4934" t="s">
        <v>4433</v>
      </c>
      <c r="E4934" s="2">
        <f>121.44+17.54+7.43</f>
        <v>146.41</v>
      </c>
    </row>
    <row r="4935" spans="1:5" x14ac:dyDescent="0.25">
      <c r="A4935" s="1">
        <v>43545</v>
      </c>
      <c r="B4935">
        <v>121698</v>
      </c>
      <c r="C4935" t="s">
        <v>125</v>
      </c>
      <c r="D4935" t="s">
        <v>4434</v>
      </c>
      <c r="E4935" s="2">
        <f>30.03+14.24</f>
        <v>44.27</v>
      </c>
    </row>
    <row r="4936" spans="1:5" x14ac:dyDescent="0.25">
      <c r="A4936" s="1">
        <v>43545</v>
      </c>
      <c r="B4936">
        <v>121698</v>
      </c>
      <c r="C4936" t="s">
        <v>125</v>
      </c>
      <c r="D4936" t="s">
        <v>4435</v>
      </c>
      <c r="E4936" s="2">
        <v>74.77</v>
      </c>
    </row>
    <row r="4937" spans="1:5" x14ac:dyDescent="0.25">
      <c r="A4937" s="1">
        <v>43545</v>
      </c>
      <c r="B4937">
        <v>121698</v>
      </c>
      <c r="C4937" t="s">
        <v>125</v>
      </c>
      <c r="D4937" t="s">
        <v>4436</v>
      </c>
      <c r="E4937" s="2">
        <v>112.06</v>
      </c>
    </row>
    <row r="4938" spans="1:5" x14ac:dyDescent="0.25">
      <c r="A4938" s="1">
        <v>43545</v>
      </c>
      <c r="B4938">
        <v>121698</v>
      </c>
      <c r="C4938" t="s">
        <v>125</v>
      </c>
      <c r="D4938" t="s">
        <v>4433</v>
      </c>
      <c r="E4938" s="2">
        <v>18.97</v>
      </c>
    </row>
    <row r="4939" spans="1:5" x14ac:dyDescent="0.25">
      <c r="A4939" s="1">
        <v>43545</v>
      </c>
      <c r="B4939">
        <v>121698</v>
      </c>
      <c r="C4939" t="s">
        <v>125</v>
      </c>
      <c r="D4939" t="s">
        <v>4437</v>
      </c>
      <c r="E4939" s="2">
        <v>157.72999999999999</v>
      </c>
    </row>
    <row r="4940" spans="1:5" x14ac:dyDescent="0.25">
      <c r="A4940" s="1">
        <v>43545</v>
      </c>
      <c r="B4940">
        <v>121698</v>
      </c>
      <c r="C4940" t="s">
        <v>125</v>
      </c>
      <c r="D4940" t="s">
        <v>4437</v>
      </c>
      <c r="E4940" s="2">
        <v>145.65</v>
      </c>
    </row>
    <row r="4941" spans="1:5" x14ac:dyDescent="0.25">
      <c r="A4941" s="1">
        <v>43545</v>
      </c>
      <c r="B4941">
        <v>121698</v>
      </c>
      <c r="C4941" t="s">
        <v>125</v>
      </c>
      <c r="D4941" t="s">
        <v>4438</v>
      </c>
      <c r="E4941" s="2">
        <f>550.21+93.05+110.8</f>
        <v>754.06</v>
      </c>
    </row>
    <row r="4942" spans="1:5" x14ac:dyDescent="0.25">
      <c r="A4942" s="1">
        <v>43545</v>
      </c>
      <c r="B4942">
        <v>121698</v>
      </c>
      <c r="C4942" t="s">
        <v>125</v>
      </c>
      <c r="D4942" t="s">
        <v>4439</v>
      </c>
      <c r="E4942" s="2">
        <v>189.39</v>
      </c>
    </row>
    <row r="4943" spans="1:5" x14ac:dyDescent="0.25">
      <c r="A4943" s="1">
        <v>43545</v>
      </c>
      <c r="B4943">
        <v>121698</v>
      </c>
      <c r="C4943" t="s">
        <v>125</v>
      </c>
      <c r="D4943" t="s">
        <v>4440</v>
      </c>
      <c r="E4943" s="2">
        <v>204.84</v>
      </c>
    </row>
    <row r="4944" spans="1:5" x14ac:dyDescent="0.25">
      <c r="A4944" s="1">
        <v>43545</v>
      </c>
      <c r="B4944">
        <v>121698</v>
      </c>
      <c r="C4944" t="s">
        <v>125</v>
      </c>
      <c r="D4944" t="s">
        <v>4441</v>
      </c>
      <c r="E4944" s="2">
        <v>194.62</v>
      </c>
    </row>
    <row r="4945" spans="1:5" x14ac:dyDescent="0.25">
      <c r="A4945" s="1">
        <v>43545</v>
      </c>
      <c r="B4945">
        <v>121698</v>
      </c>
      <c r="C4945" t="s">
        <v>125</v>
      </c>
      <c r="D4945" t="s">
        <v>4442</v>
      </c>
      <c r="E4945" s="2">
        <v>84.31</v>
      </c>
    </row>
    <row r="4946" spans="1:5" x14ac:dyDescent="0.25">
      <c r="A4946" s="1">
        <v>43545</v>
      </c>
      <c r="B4946">
        <v>121698</v>
      </c>
      <c r="C4946" t="s">
        <v>125</v>
      </c>
      <c r="D4946" t="s">
        <v>3748</v>
      </c>
      <c r="E4946" s="2">
        <v>126.21</v>
      </c>
    </row>
    <row r="4947" spans="1:5" x14ac:dyDescent="0.25">
      <c r="A4947" s="1">
        <v>43545</v>
      </c>
      <c r="B4947">
        <v>121698</v>
      </c>
      <c r="C4947" t="s">
        <v>125</v>
      </c>
      <c r="D4947" t="s">
        <v>3748</v>
      </c>
      <c r="E4947" s="2">
        <v>12.71</v>
      </c>
    </row>
    <row r="4948" spans="1:5" x14ac:dyDescent="0.25">
      <c r="A4948" s="1">
        <v>43545</v>
      </c>
      <c r="B4948">
        <v>121698</v>
      </c>
      <c r="C4948" t="s">
        <v>125</v>
      </c>
      <c r="D4948" t="s">
        <v>4443</v>
      </c>
      <c r="E4948" s="2">
        <v>48.95</v>
      </c>
    </row>
    <row r="4949" spans="1:5" x14ac:dyDescent="0.25">
      <c r="A4949" s="1">
        <v>43545</v>
      </c>
      <c r="B4949">
        <v>121698</v>
      </c>
      <c r="C4949" t="s">
        <v>125</v>
      </c>
      <c r="D4949" t="s">
        <v>4444</v>
      </c>
      <c r="E4949" s="2">
        <v>64.64</v>
      </c>
    </row>
    <row r="4950" spans="1:5" x14ac:dyDescent="0.25">
      <c r="A4950" s="1">
        <v>43545</v>
      </c>
      <c r="B4950">
        <v>121698</v>
      </c>
      <c r="C4950" t="s">
        <v>125</v>
      </c>
      <c r="D4950" t="s">
        <v>4444</v>
      </c>
      <c r="E4950" s="2">
        <v>12.05</v>
      </c>
    </row>
    <row r="4951" spans="1:5" x14ac:dyDescent="0.25">
      <c r="A4951" s="1">
        <v>43545</v>
      </c>
      <c r="B4951">
        <v>121698</v>
      </c>
      <c r="C4951" t="s">
        <v>125</v>
      </c>
      <c r="D4951" t="s">
        <v>4445</v>
      </c>
      <c r="E4951" s="2">
        <v>53.73</v>
      </c>
    </row>
    <row r="4952" spans="1:5" x14ac:dyDescent="0.25">
      <c r="A4952" s="1">
        <v>43545</v>
      </c>
      <c r="B4952">
        <v>121698</v>
      </c>
      <c r="C4952" t="s">
        <v>125</v>
      </c>
      <c r="D4952" t="s">
        <v>4446</v>
      </c>
      <c r="E4952" s="2">
        <v>36.86</v>
      </c>
    </row>
    <row r="4953" spans="1:5" x14ac:dyDescent="0.25">
      <c r="A4953" s="1">
        <v>43545</v>
      </c>
      <c r="B4953">
        <v>121698</v>
      </c>
      <c r="C4953" t="s">
        <v>125</v>
      </c>
      <c r="D4953" t="s">
        <v>4447</v>
      </c>
      <c r="E4953" s="2">
        <v>190.04</v>
      </c>
    </row>
    <row r="4954" spans="1:5" x14ac:dyDescent="0.25">
      <c r="A4954" s="1">
        <v>43545</v>
      </c>
      <c r="B4954">
        <v>121698</v>
      </c>
      <c r="C4954" t="s">
        <v>125</v>
      </c>
      <c r="D4954" t="s">
        <v>4448</v>
      </c>
      <c r="E4954" s="2">
        <v>1893.6</v>
      </c>
    </row>
    <row r="4955" spans="1:5" x14ac:dyDescent="0.25">
      <c r="A4955" s="1">
        <v>43545</v>
      </c>
      <c r="B4955">
        <v>121698</v>
      </c>
      <c r="C4955" t="s">
        <v>125</v>
      </c>
      <c r="D4955" t="s">
        <v>4449</v>
      </c>
      <c r="E4955" s="2">
        <v>27.37</v>
      </c>
    </row>
    <row r="4956" spans="1:5" x14ac:dyDescent="0.25">
      <c r="A4956" s="1">
        <v>43545</v>
      </c>
      <c r="B4956">
        <v>121698</v>
      </c>
      <c r="C4956" t="s">
        <v>125</v>
      </c>
      <c r="D4956" t="s">
        <v>4450</v>
      </c>
      <c r="E4956" s="2">
        <v>82.07</v>
      </c>
    </row>
    <row r="4957" spans="1:5" x14ac:dyDescent="0.25">
      <c r="A4957" s="1">
        <v>43545</v>
      </c>
      <c r="B4957">
        <v>121698</v>
      </c>
      <c r="C4957" t="s">
        <v>125</v>
      </c>
      <c r="D4957" t="s">
        <v>4448</v>
      </c>
      <c r="E4957" s="2">
        <v>324.06</v>
      </c>
    </row>
    <row r="4958" spans="1:5" x14ac:dyDescent="0.25">
      <c r="A4958" s="1">
        <v>43545</v>
      </c>
      <c r="B4958">
        <v>121698</v>
      </c>
      <c r="C4958" t="s">
        <v>125</v>
      </c>
      <c r="D4958" t="s">
        <v>4451</v>
      </c>
      <c r="E4958" s="2">
        <v>182.36</v>
      </c>
    </row>
    <row r="4959" spans="1:5" x14ac:dyDescent="0.25">
      <c r="A4959" s="1">
        <v>43545</v>
      </c>
      <c r="B4959">
        <v>121698</v>
      </c>
      <c r="C4959" t="s">
        <v>125</v>
      </c>
      <c r="D4959" t="s">
        <v>4452</v>
      </c>
      <c r="E4959" s="2">
        <v>21.01</v>
      </c>
    </row>
    <row r="4960" spans="1:5" x14ac:dyDescent="0.25">
      <c r="A4960" s="1">
        <v>43545</v>
      </c>
      <c r="B4960">
        <v>121698</v>
      </c>
      <c r="C4960" t="s">
        <v>125</v>
      </c>
      <c r="D4960" t="s">
        <v>4448</v>
      </c>
      <c r="E4960" s="2">
        <v>155.15</v>
      </c>
    </row>
    <row r="4961" spans="1:5" x14ac:dyDescent="0.25">
      <c r="A4961" s="1">
        <v>43545</v>
      </c>
      <c r="B4961">
        <v>121698</v>
      </c>
      <c r="C4961" t="s">
        <v>125</v>
      </c>
      <c r="D4961" t="s">
        <v>416</v>
      </c>
      <c r="E4961" s="3">
        <v>-19.579999999999998</v>
      </c>
    </row>
    <row r="4962" spans="1:5" x14ac:dyDescent="0.25">
      <c r="A4962" s="1">
        <v>43545</v>
      </c>
      <c r="B4962">
        <v>121699</v>
      </c>
      <c r="C4962" t="s">
        <v>269</v>
      </c>
      <c r="D4962" t="s">
        <v>4453</v>
      </c>
      <c r="E4962" s="2">
        <v>133.5</v>
      </c>
    </row>
    <row r="4963" spans="1:5" x14ac:dyDescent="0.25">
      <c r="A4963" s="1">
        <v>43545</v>
      </c>
      <c r="B4963">
        <v>121699</v>
      </c>
      <c r="C4963" t="s">
        <v>269</v>
      </c>
      <c r="D4963" t="s">
        <v>4453</v>
      </c>
      <c r="E4963" s="2">
        <v>368</v>
      </c>
    </row>
    <row r="4964" spans="1:5" x14ac:dyDescent="0.25">
      <c r="A4964" s="1">
        <v>43545</v>
      </c>
      <c r="B4964">
        <v>121699</v>
      </c>
      <c r="C4964" t="s">
        <v>269</v>
      </c>
      <c r="D4964" t="s">
        <v>416</v>
      </c>
      <c r="E4964" s="3">
        <v>-368</v>
      </c>
    </row>
    <row r="4965" spans="1:5" x14ac:dyDescent="0.25">
      <c r="A4965" s="1">
        <v>43545</v>
      </c>
      <c r="B4965">
        <v>121699</v>
      </c>
      <c r="C4965" t="s">
        <v>269</v>
      </c>
      <c r="D4965" t="s">
        <v>4453</v>
      </c>
      <c r="E4965" s="2">
        <v>146.99</v>
      </c>
    </row>
    <row r="4966" spans="1:5" x14ac:dyDescent="0.25">
      <c r="A4966" s="1">
        <v>43545</v>
      </c>
      <c r="B4966">
        <v>121700</v>
      </c>
      <c r="C4966" t="s">
        <v>130</v>
      </c>
      <c r="D4966" t="s">
        <v>4351</v>
      </c>
      <c r="E4966" s="2">
        <v>250</v>
      </c>
    </row>
    <row r="4967" spans="1:5" x14ac:dyDescent="0.25">
      <c r="A4967" s="1">
        <v>43545</v>
      </c>
      <c r="B4967">
        <v>121701</v>
      </c>
      <c r="C4967" t="s">
        <v>4454</v>
      </c>
      <c r="D4967" t="s">
        <v>4455</v>
      </c>
      <c r="E4967" s="2">
        <v>720</v>
      </c>
    </row>
    <row r="4968" spans="1:5" x14ac:dyDescent="0.25">
      <c r="A4968" s="1">
        <v>43545</v>
      </c>
      <c r="B4968">
        <v>121703</v>
      </c>
      <c r="C4968" t="s">
        <v>274</v>
      </c>
      <c r="D4968" t="s">
        <v>4456</v>
      </c>
      <c r="E4968" s="2">
        <v>386.78</v>
      </c>
    </row>
    <row r="4969" spans="1:5" x14ac:dyDescent="0.25">
      <c r="A4969" s="1">
        <v>43545</v>
      </c>
      <c r="B4969">
        <v>121703</v>
      </c>
      <c r="C4969" t="s">
        <v>274</v>
      </c>
      <c r="D4969" t="s">
        <v>4457</v>
      </c>
      <c r="E4969" s="2">
        <v>491.16</v>
      </c>
    </row>
    <row r="4970" spans="1:5" x14ac:dyDescent="0.25">
      <c r="A4970" s="1">
        <v>43545</v>
      </c>
      <c r="B4970">
        <v>121703</v>
      </c>
      <c r="C4970" t="s">
        <v>274</v>
      </c>
      <c r="D4970" t="s">
        <v>4457</v>
      </c>
      <c r="E4970" s="2">
        <v>491.16</v>
      </c>
    </row>
    <row r="4971" spans="1:5" x14ac:dyDescent="0.25">
      <c r="A4971" s="1">
        <v>43545</v>
      </c>
      <c r="B4971">
        <v>121703</v>
      </c>
      <c r="C4971" t="s">
        <v>274</v>
      </c>
      <c r="D4971" t="s">
        <v>4458</v>
      </c>
      <c r="E4971" s="2">
        <v>491.16</v>
      </c>
    </row>
    <row r="4972" spans="1:5" x14ac:dyDescent="0.25">
      <c r="A4972" s="1">
        <v>43545</v>
      </c>
      <c r="B4972">
        <v>121703</v>
      </c>
      <c r="C4972" t="s">
        <v>274</v>
      </c>
      <c r="D4972" t="s">
        <v>4459</v>
      </c>
      <c r="E4972" s="2">
        <v>778.04</v>
      </c>
    </row>
    <row r="4973" spans="1:5" x14ac:dyDescent="0.25">
      <c r="A4973" s="1">
        <v>43545</v>
      </c>
      <c r="B4973">
        <v>121703</v>
      </c>
      <c r="C4973" t="s">
        <v>274</v>
      </c>
      <c r="D4973" t="s">
        <v>4460</v>
      </c>
      <c r="E4973" s="2">
        <v>778.04</v>
      </c>
    </row>
    <row r="4974" spans="1:5" x14ac:dyDescent="0.25">
      <c r="A4974" s="1">
        <v>43545</v>
      </c>
      <c r="B4974">
        <v>121704</v>
      </c>
      <c r="C4974" t="s">
        <v>275</v>
      </c>
      <c r="D4974" t="s">
        <v>4461</v>
      </c>
      <c r="E4974" s="2">
        <v>455</v>
      </c>
    </row>
    <row r="4975" spans="1:5" x14ac:dyDescent="0.25">
      <c r="A4975" s="1">
        <v>43545</v>
      </c>
      <c r="B4975">
        <v>121705</v>
      </c>
      <c r="C4975" t="s">
        <v>3158</v>
      </c>
      <c r="D4975" t="s">
        <v>4462</v>
      </c>
      <c r="E4975" s="2">
        <v>750</v>
      </c>
    </row>
    <row r="4976" spans="1:5" x14ac:dyDescent="0.25">
      <c r="A4976" s="1">
        <v>43545</v>
      </c>
      <c r="B4976">
        <v>121706</v>
      </c>
      <c r="C4976" t="s">
        <v>4463</v>
      </c>
      <c r="D4976" t="s">
        <v>4464</v>
      </c>
      <c r="E4976" s="2">
        <v>300</v>
      </c>
    </row>
    <row r="4977" spans="1:5" x14ac:dyDescent="0.25">
      <c r="A4977" s="1">
        <v>43545</v>
      </c>
      <c r="B4977">
        <v>121707</v>
      </c>
      <c r="C4977" t="s">
        <v>4465</v>
      </c>
      <c r="D4977" t="s">
        <v>4466</v>
      </c>
      <c r="E4977" s="2">
        <v>170.5</v>
      </c>
    </row>
    <row r="4978" spans="1:5" x14ac:dyDescent="0.25">
      <c r="A4978" s="1">
        <v>43545</v>
      </c>
      <c r="B4978">
        <v>121708</v>
      </c>
      <c r="C4978" t="s">
        <v>714</v>
      </c>
      <c r="D4978" t="s">
        <v>4467</v>
      </c>
      <c r="E4978" s="2">
        <v>1598.65</v>
      </c>
    </row>
    <row r="4979" spans="1:5" x14ac:dyDescent="0.25">
      <c r="A4979" s="1">
        <v>43545</v>
      </c>
      <c r="B4979">
        <v>121709</v>
      </c>
      <c r="C4979" t="s">
        <v>869</v>
      </c>
      <c r="D4979" t="s">
        <v>4468</v>
      </c>
      <c r="E4979" s="2">
        <v>89.77</v>
      </c>
    </row>
    <row r="4980" spans="1:5" x14ac:dyDescent="0.25">
      <c r="A4980" s="1">
        <v>43545</v>
      </c>
      <c r="B4980">
        <v>121709</v>
      </c>
      <c r="C4980" t="s">
        <v>869</v>
      </c>
      <c r="D4980" t="s">
        <v>4469</v>
      </c>
      <c r="E4980" s="2">
        <v>2325.2800000000002</v>
      </c>
    </row>
    <row r="4981" spans="1:5" x14ac:dyDescent="0.25">
      <c r="A4981" s="1">
        <v>43545</v>
      </c>
      <c r="B4981">
        <v>121709</v>
      </c>
      <c r="C4981" t="s">
        <v>869</v>
      </c>
      <c r="D4981" t="s">
        <v>4470</v>
      </c>
      <c r="E4981" s="2">
        <v>63.2</v>
      </c>
    </row>
    <row r="4982" spans="1:5" x14ac:dyDescent="0.25">
      <c r="A4982" s="1">
        <v>43545</v>
      </c>
      <c r="B4982">
        <v>121711</v>
      </c>
      <c r="C4982" t="s">
        <v>1823</v>
      </c>
      <c r="D4982" t="s">
        <v>4471</v>
      </c>
      <c r="E4982" s="2">
        <v>1254.25</v>
      </c>
    </row>
    <row r="4983" spans="1:5" x14ac:dyDescent="0.25">
      <c r="A4983" s="1">
        <v>43545</v>
      </c>
      <c r="B4983">
        <v>121711</v>
      </c>
      <c r="C4983" t="s">
        <v>1823</v>
      </c>
      <c r="D4983" t="s">
        <v>4472</v>
      </c>
      <c r="E4983" s="2">
        <v>64.260000000000005</v>
      </c>
    </row>
    <row r="4984" spans="1:5" x14ac:dyDescent="0.25">
      <c r="A4984" s="1">
        <v>43545</v>
      </c>
      <c r="B4984">
        <v>121711</v>
      </c>
      <c r="C4984" t="s">
        <v>1823</v>
      </c>
      <c r="D4984" t="s">
        <v>4473</v>
      </c>
      <c r="E4984" s="2">
        <v>67.489999999999995</v>
      </c>
    </row>
    <row r="4985" spans="1:5" x14ac:dyDescent="0.25">
      <c r="A4985" s="1">
        <v>43545</v>
      </c>
      <c r="B4985">
        <v>121711</v>
      </c>
      <c r="C4985" t="s">
        <v>1823</v>
      </c>
      <c r="D4985" t="s">
        <v>4474</v>
      </c>
      <c r="E4985" s="2">
        <v>12</v>
      </c>
    </row>
    <row r="4986" spans="1:5" x14ac:dyDescent="0.25">
      <c r="A4986" s="1">
        <v>43545</v>
      </c>
      <c r="B4986">
        <v>121711</v>
      </c>
      <c r="C4986" t="s">
        <v>1823</v>
      </c>
      <c r="D4986" t="s">
        <v>4475</v>
      </c>
      <c r="E4986" s="2">
        <v>64.260000000000005</v>
      </c>
    </row>
    <row r="4987" spans="1:5" x14ac:dyDescent="0.25">
      <c r="A4987" s="1">
        <v>43545</v>
      </c>
      <c r="B4987">
        <v>121711</v>
      </c>
      <c r="C4987" t="s">
        <v>1823</v>
      </c>
      <c r="D4987" t="s">
        <v>4476</v>
      </c>
      <c r="E4987" s="2">
        <v>77.989999999999995</v>
      </c>
    </row>
    <row r="4988" spans="1:5" x14ac:dyDescent="0.25">
      <c r="A4988" s="1">
        <v>43545</v>
      </c>
      <c r="B4988">
        <v>121712</v>
      </c>
      <c r="C4988" t="s">
        <v>47</v>
      </c>
      <c r="D4988" t="s">
        <v>4477</v>
      </c>
      <c r="E4988" s="2">
        <v>514.67999999999995</v>
      </c>
    </row>
    <row r="4989" spans="1:5" x14ac:dyDescent="0.25">
      <c r="A4989" s="1">
        <v>43545</v>
      </c>
      <c r="B4989">
        <v>121712</v>
      </c>
      <c r="C4989" t="s">
        <v>47</v>
      </c>
      <c r="D4989" t="s">
        <v>4478</v>
      </c>
      <c r="E4989" s="2">
        <v>3282.58</v>
      </c>
    </row>
    <row r="4990" spans="1:5" x14ac:dyDescent="0.25">
      <c r="A4990" s="1">
        <v>43545</v>
      </c>
      <c r="B4990">
        <v>121712</v>
      </c>
      <c r="C4990" t="s">
        <v>47</v>
      </c>
      <c r="D4990" t="s">
        <v>4479</v>
      </c>
      <c r="E4990" s="2">
        <v>72.5</v>
      </c>
    </row>
    <row r="4991" spans="1:5" x14ac:dyDescent="0.25">
      <c r="A4991" s="1">
        <v>43545</v>
      </c>
      <c r="B4991">
        <v>121713</v>
      </c>
      <c r="C4991" t="s">
        <v>48</v>
      </c>
      <c r="D4991" t="s">
        <v>4480</v>
      </c>
      <c r="E4991" s="2">
        <f>8031.55+943.16+12092.76</f>
        <v>21067.47</v>
      </c>
    </row>
    <row r="4992" spans="1:5" x14ac:dyDescent="0.25">
      <c r="A4992" s="1">
        <v>43545</v>
      </c>
      <c r="B4992">
        <v>121716</v>
      </c>
      <c r="C4992" t="s">
        <v>74</v>
      </c>
      <c r="D4992" t="s">
        <v>4080</v>
      </c>
      <c r="E4992" s="2">
        <v>168.99</v>
      </c>
    </row>
    <row r="4993" spans="1:5" x14ac:dyDescent="0.25">
      <c r="A4993" s="1">
        <v>43545</v>
      </c>
      <c r="B4993">
        <v>121716</v>
      </c>
      <c r="C4993" t="s">
        <v>74</v>
      </c>
      <c r="D4993" t="s">
        <v>4481</v>
      </c>
      <c r="E4993" s="2">
        <v>222.19</v>
      </c>
    </row>
    <row r="4994" spans="1:5" x14ac:dyDescent="0.25">
      <c r="A4994" s="1">
        <v>43545</v>
      </c>
      <c r="B4994">
        <v>121716</v>
      </c>
      <c r="C4994" t="s">
        <v>74</v>
      </c>
      <c r="D4994" t="s">
        <v>4482</v>
      </c>
      <c r="E4994" s="2">
        <v>220.62</v>
      </c>
    </row>
    <row r="4995" spans="1:5" x14ac:dyDescent="0.25">
      <c r="A4995" s="1">
        <v>43545</v>
      </c>
      <c r="B4995">
        <v>121716</v>
      </c>
      <c r="C4995" t="s">
        <v>74</v>
      </c>
      <c r="D4995" t="s">
        <v>4483</v>
      </c>
      <c r="E4995" s="2">
        <v>43.86</v>
      </c>
    </row>
    <row r="4996" spans="1:5" x14ac:dyDescent="0.25">
      <c r="A4996" s="1">
        <v>43545</v>
      </c>
      <c r="B4996">
        <v>121716</v>
      </c>
      <c r="C4996" t="s">
        <v>74</v>
      </c>
      <c r="D4996" t="s">
        <v>4484</v>
      </c>
      <c r="E4996" s="2">
        <v>1046.5</v>
      </c>
    </row>
    <row r="4997" spans="1:5" x14ac:dyDescent="0.25">
      <c r="A4997" s="1">
        <v>43545</v>
      </c>
      <c r="B4997">
        <v>121716</v>
      </c>
      <c r="C4997" t="s">
        <v>74</v>
      </c>
      <c r="D4997" t="s">
        <v>4485</v>
      </c>
      <c r="E4997" s="2">
        <v>1817.6</v>
      </c>
    </row>
    <row r="4998" spans="1:5" x14ac:dyDescent="0.25">
      <c r="A4998" s="1">
        <v>43545</v>
      </c>
      <c r="B4998">
        <v>121716</v>
      </c>
      <c r="C4998" t="s">
        <v>74</v>
      </c>
      <c r="D4998" t="s">
        <v>4486</v>
      </c>
      <c r="E4998" s="2">
        <v>34.979999999999997</v>
      </c>
    </row>
    <row r="4999" spans="1:5" x14ac:dyDescent="0.25">
      <c r="A4999" s="1">
        <v>43545</v>
      </c>
      <c r="B4999">
        <v>121716</v>
      </c>
      <c r="C4999" t="s">
        <v>74</v>
      </c>
      <c r="D4999" t="s">
        <v>4487</v>
      </c>
      <c r="E4999" s="2">
        <v>538.20000000000005</v>
      </c>
    </row>
    <row r="5000" spans="1:5" x14ac:dyDescent="0.25">
      <c r="A5000" s="1">
        <v>43545</v>
      </c>
      <c r="B5000">
        <v>121716</v>
      </c>
      <c r="C5000" t="s">
        <v>74</v>
      </c>
      <c r="D5000" t="s">
        <v>1695</v>
      </c>
      <c r="E5000" s="2">
        <v>160.79</v>
      </c>
    </row>
    <row r="5001" spans="1:5" x14ac:dyDescent="0.25">
      <c r="A5001" s="1">
        <v>43545</v>
      </c>
      <c r="B5001">
        <v>121716</v>
      </c>
      <c r="C5001" t="s">
        <v>74</v>
      </c>
      <c r="D5001" t="s">
        <v>4488</v>
      </c>
      <c r="E5001" s="2">
        <v>79.900000000000006</v>
      </c>
    </row>
    <row r="5002" spans="1:5" x14ac:dyDescent="0.25">
      <c r="A5002" s="1">
        <v>43545</v>
      </c>
      <c r="B5002">
        <v>121716</v>
      </c>
      <c r="C5002" t="s">
        <v>74</v>
      </c>
      <c r="D5002" t="s">
        <v>4489</v>
      </c>
      <c r="E5002" s="2">
        <v>614.04</v>
      </c>
    </row>
    <row r="5003" spans="1:5" x14ac:dyDescent="0.25">
      <c r="A5003" s="1">
        <v>43545</v>
      </c>
      <c r="B5003">
        <v>121716</v>
      </c>
      <c r="C5003" t="s">
        <v>74</v>
      </c>
      <c r="D5003" t="s">
        <v>278</v>
      </c>
      <c r="E5003" s="2">
        <v>2212.6</v>
      </c>
    </row>
    <row r="5004" spans="1:5" x14ac:dyDescent="0.25">
      <c r="A5004" s="1">
        <v>43545</v>
      </c>
      <c r="B5004">
        <v>121716</v>
      </c>
      <c r="C5004" t="s">
        <v>74</v>
      </c>
      <c r="D5004" t="s">
        <v>4490</v>
      </c>
      <c r="E5004" s="2">
        <v>119.85</v>
      </c>
    </row>
    <row r="5005" spans="1:5" x14ac:dyDescent="0.25">
      <c r="A5005" s="1">
        <v>43545</v>
      </c>
      <c r="B5005">
        <v>121716</v>
      </c>
      <c r="C5005" t="s">
        <v>74</v>
      </c>
      <c r="D5005" t="s">
        <v>4491</v>
      </c>
      <c r="E5005" s="2">
        <v>299</v>
      </c>
    </row>
    <row r="5006" spans="1:5" x14ac:dyDescent="0.25">
      <c r="A5006" s="1">
        <v>43545</v>
      </c>
      <c r="B5006">
        <v>121717</v>
      </c>
      <c r="C5006" t="s">
        <v>142</v>
      </c>
      <c r="D5006" t="s">
        <v>4492</v>
      </c>
      <c r="E5006" s="2">
        <v>25.5</v>
      </c>
    </row>
    <row r="5007" spans="1:5" x14ac:dyDescent="0.25">
      <c r="A5007" s="1">
        <v>43545</v>
      </c>
      <c r="B5007">
        <v>121717</v>
      </c>
      <c r="C5007" t="s">
        <v>142</v>
      </c>
      <c r="D5007" t="s">
        <v>4492</v>
      </c>
      <c r="E5007" s="2">
        <v>25.5</v>
      </c>
    </row>
    <row r="5008" spans="1:5" x14ac:dyDescent="0.25">
      <c r="A5008" s="1">
        <v>43545</v>
      </c>
      <c r="B5008">
        <v>121717</v>
      </c>
      <c r="C5008" t="s">
        <v>142</v>
      </c>
      <c r="D5008" t="s">
        <v>4492</v>
      </c>
      <c r="E5008" s="2">
        <v>25.5</v>
      </c>
    </row>
    <row r="5009" spans="1:5" x14ac:dyDescent="0.25">
      <c r="A5009" s="1">
        <v>43545</v>
      </c>
      <c r="B5009">
        <v>121718</v>
      </c>
      <c r="C5009" t="s">
        <v>730</v>
      </c>
      <c r="D5009" t="s">
        <v>4493</v>
      </c>
      <c r="E5009" s="2">
        <v>765</v>
      </c>
    </row>
    <row r="5010" spans="1:5" x14ac:dyDescent="0.25">
      <c r="A5010" s="1">
        <v>43545</v>
      </c>
      <c r="B5010">
        <v>121719</v>
      </c>
      <c r="C5010" t="s">
        <v>145</v>
      </c>
      <c r="D5010" t="s">
        <v>4351</v>
      </c>
      <c r="E5010" s="2">
        <v>250</v>
      </c>
    </row>
    <row r="5011" spans="1:5" x14ac:dyDescent="0.25">
      <c r="A5011" s="1">
        <v>43545</v>
      </c>
      <c r="B5011">
        <v>121720</v>
      </c>
      <c r="C5011" t="s">
        <v>283</v>
      </c>
      <c r="D5011" t="s">
        <v>441</v>
      </c>
      <c r="E5011" s="2">
        <v>1029.54</v>
      </c>
    </row>
    <row r="5012" spans="1:5" x14ac:dyDescent="0.25">
      <c r="A5012" s="1">
        <v>43545</v>
      </c>
      <c r="B5012">
        <v>121721</v>
      </c>
      <c r="C5012" t="s">
        <v>4494</v>
      </c>
      <c r="D5012" t="s">
        <v>4495</v>
      </c>
      <c r="E5012" s="2">
        <v>8033.92</v>
      </c>
    </row>
    <row r="5013" spans="1:5" x14ac:dyDescent="0.25">
      <c r="A5013" s="1">
        <v>43545</v>
      </c>
      <c r="B5013">
        <v>121722</v>
      </c>
      <c r="C5013" t="s">
        <v>3488</v>
      </c>
      <c r="D5013" t="s">
        <v>4496</v>
      </c>
      <c r="E5013" s="2">
        <v>140</v>
      </c>
    </row>
    <row r="5014" spans="1:5" x14ac:dyDescent="0.25">
      <c r="A5014" s="1">
        <v>43545</v>
      </c>
      <c r="B5014">
        <v>121723</v>
      </c>
      <c r="C5014" t="s">
        <v>4497</v>
      </c>
      <c r="D5014" t="s">
        <v>4498</v>
      </c>
      <c r="E5014" s="2">
        <v>160</v>
      </c>
    </row>
    <row r="5015" spans="1:5" x14ac:dyDescent="0.25">
      <c r="A5015" s="1">
        <v>43545</v>
      </c>
      <c r="B5015">
        <v>121724</v>
      </c>
      <c r="C5015" t="s">
        <v>734</v>
      </c>
      <c r="D5015" t="s">
        <v>2763</v>
      </c>
      <c r="E5015" s="2">
        <v>303.7</v>
      </c>
    </row>
    <row r="5016" spans="1:5" x14ac:dyDescent="0.25">
      <c r="A5016" s="1">
        <v>43545</v>
      </c>
      <c r="B5016">
        <v>121725</v>
      </c>
      <c r="C5016" t="s">
        <v>75</v>
      </c>
      <c r="D5016" t="s">
        <v>4499</v>
      </c>
      <c r="E5016" s="2">
        <v>6.08</v>
      </c>
    </row>
    <row r="5017" spans="1:5" x14ac:dyDescent="0.25">
      <c r="A5017" s="1">
        <v>43545</v>
      </c>
      <c r="B5017">
        <v>121725</v>
      </c>
      <c r="C5017" t="s">
        <v>75</v>
      </c>
      <c r="D5017" t="s">
        <v>4500</v>
      </c>
      <c r="E5017" s="2">
        <v>3.34</v>
      </c>
    </row>
    <row r="5018" spans="1:5" x14ac:dyDescent="0.25">
      <c r="A5018" s="1">
        <v>43545</v>
      </c>
      <c r="B5018">
        <v>121725</v>
      </c>
      <c r="C5018" t="s">
        <v>75</v>
      </c>
      <c r="D5018" t="s">
        <v>4501</v>
      </c>
      <c r="E5018" s="2">
        <v>3.69</v>
      </c>
    </row>
    <row r="5019" spans="1:5" x14ac:dyDescent="0.25">
      <c r="A5019" s="1">
        <v>43545</v>
      </c>
      <c r="B5019">
        <v>121725</v>
      </c>
      <c r="C5019" t="s">
        <v>75</v>
      </c>
      <c r="D5019" t="s">
        <v>376</v>
      </c>
      <c r="E5019" s="2">
        <v>21.23</v>
      </c>
    </row>
    <row r="5020" spans="1:5" x14ac:dyDescent="0.25">
      <c r="A5020" s="1">
        <v>43545</v>
      </c>
      <c r="B5020">
        <v>121726</v>
      </c>
      <c r="C5020" t="s">
        <v>1026</v>
      </c>
      <c r="D5020" t="s">
        <v>4502</v>
      </c>
      <c r="E5020" s="2">
        <v>133.12</v>
      </c>
    </row>
    <row r="5021" spans="1:5" x14ac:dyDescent="0.25">
      <c r="A5021" s="1">
        <v>43545</v>
      </c>
      <c r="B5021">
        <v>121727</v>
      </c>
      <c r="C5021" t="s">
        <v>739</v>
      </c>
      <c r="D5021" t="s">
        <v>4503</v>
      </c>
      <c r="E5021" s="2">
        <v>22093.35</v>
      </c>
    </row>
    <row r="5022" spans="1:5" x14ac:dyDescent="0.25">
      <c r="A5022" s="1">
        <v>43545</v>
      </c>
      <c r="B5022">
        <v>121729</v>
      </c>
      <c r="C5022" t="s">
        <v>11</v>
      </c>
      <c r="D5022" t="s">
        <v>3166</v>
      </c>
      <c r="E5022" s="2">
        <v>13.95</v>
      </c>
    </row>
    <row r="5023" spans="1:5" x14ac:dyDescent="0.25">
      <c r="A5023" s="1">
        <v>43545</v>
      </c>
      <c r="B5023">
        <v>121729</v>
      </c>
      <c r="C5023" t="s">
        <v>11</v>
      </c>
      <c r="D5023" t="s">
        <v>4504</v>
      </c>
      <c r="E5023" s="2">
        <v>796.8</v>
      </c>
    </row>
    <row r="5024" spans="1:5" x14ac:dyDescent="0.25">
      <c r="A5024" s="1">
        <v>43545</v>
      </c>
      <c r="B5024">
        <v>121729</v>
      </c>
      <c r="C5024" t="s">
        <v>11</v>
      </c>
      <c r="D5024" t="s">
        <v>1486</v>
      </c>
      <c r="E5024" s="2">
        <v>254.67</v>
      </c>
    </row>
    <row r="5025" spans="1:5" x14ac:dyDescent="0.25">
      <c r="A5025" s="1">
        <v>43545</v>
      </c>
      <c r="B5025">
        <v>121729</v>
      </c>
      <c r="C5025" t="s">
        <v>11</v>
      </c>
      <c r="D5025" t="s">
        <v>4505</v>
      </c>
      <c r="E5025" s="2">
        <v>27.27</v>
      </c>
    </row>
    <row r="5026" spans="1:5" x14ac:dyDescent="0.25">
      <c r="A5026" s="1">
        <v>43545</v>
      </c>
      <c r="B5026">
        <v>121729</v>
      </c>
      <c r="C5026" t="s">
        <v>11</v>
      </c>
      <c r="D5026" t="s">
        <v>4505</v>
      </c>
      <c r="E5026" s="2">
        <v>1.0900000000000001</v>
      </c>
    </row>
    <row r="5027" spans="1:5" x14ac:dyDescent="0.25">
      <c r="A5027" s="1">
        <v>43545</v>
      </c>
      <c r="B5027">
        <v>121729</v>
      </c>
      <c r="C5027" t="s">
        <v>11</v>
      </c>
      <c r="D5027" t="s">
        <v>4506</v>
      </c>
      <c r="E5027" s="2">
        <v>279.60000000000002</v>
      </c>
    </row>
    <row r="5028" spans="1:5" x14ac:dyDescent="0.25">
      <c r="A5028" s="1">
        <v>43545</v>
      </c>
      <c r="B5028">
        <v>121729</v>
      </c>
      <c r="C5028" t="s">
        <v>11</v>
      </c>
      <c r="D5028" t="s">
        <v>4505</v>
      </c>
      <c r="E5028" s="2">
        <v>185.38</v>
      </c>
    </row>
    <row r="5029" spans="1:5" x14ac:dyDescent="0.25">
      <c r="A5029" s="1">
        <v>43545</v>
      </c>
      <c r="B5029">
        <v>121729</v>
      </c>
      <c r="C5029" t="s">
        <v>11</v>
      </c>
      <c r="D5029" t="s">
        <v>4505</v>
      </c>
      <c r="E5029" s="2">
        <v>1031.04</v>
      </c>
    </row>
    <row r="5030" spans="1:5" x14ac:dyDescent="0.25">
      <c r="A5030" s="1">
        <v>43545</v>
      </c>
      <c r="B5030">
        <v>121729</v>
      </c>
      <c r="C5030" t="s">
        <v>11</v>
      </c>
      <c r="D5030" t="s">
        <v>416</v>
      </c>
      <c r="E5030" s="3">
        <v>-124.88</v>
      </c>
    </row>
    <row r="5031" spans="1:5" x14ac:dyDescent="0.25">
      <c r="A5031" s="1">
        <v>43545</v>
      </c>
      <c r="B5031">
        <v>121729</v>
      </c>
      <c r="C5031" t="s">
        <v>11</v>
      </c>
      <c r="D5031" t="s">
        <v>4098</v>
      </c>
      <c r="E5031" s="2">
        <v>125.46</v>
      </c>
    </row>
    <row r="5032" spans="1:5" x14ac:dyDescent="0.25">
      <c r="A5032" s="1">
        <v>43545</v>
      </c>
      <c r="B5032">
        <v>121730</v>
      </c>
      <c r="C5032" t="s">
        <v>12</v>
      </c>
      <c r="D5032" t="s">
        <v>4507</v>
      </c>
      <c r="E5032" s="2">
        <v>224.69</v>
      </c>
    </row>
    <row r="5033" spans="1:5" x14ac:dyDescent="0.25">
      <c r="A5033" s="1">
        <v>43545</v>
      </c>
      <c r="B5033">
        <v>121730</v>
      </c>
      <c r="C5033" t="s">
        <v>12</v>
      </c>
      <c r="D5033" t="s">
        <v>4508</v>
      </c>
      <c r="E5033" s="2">
        <v>96.04</v>
      </c>
    </row>
    <row r="5034" spans="1:5" x14ac:dyDescent="0.25">
      <c r="A5034" s="1">
        <v>43545</v>
      </c>
      <c r="B5034">
        <v>121730</v>
      </c>
      <c r="C5034" t="s">
        <v>12</v>
      </c>
      <c r="D5034" t="s">
        <v>4507</v>
      </c>
      <c r="E5034" s="2">
        <v>199.1</v>
      </c>
    </row>
    <row r="5035" spans="1:5" x14ac:dyDescent="0.25">
      <c r="A5035" s="1">
        <v>43545</v>
      </c>
      <c r="B5035">
        <v>121731</v>
      </c>
      <c r="C5035" t="s">
        <v>2945</v>
      </c>
      <c r="D5035" t="s">
        <v>4509</v>
      </c>
      <c r="E5035" s="2">
        <v>16252.66</v>
      </c>
    </row>
    <row r="5036" spans="1:5" x14ac:dyDescent="0.25">
      <c r="A5036" s="1">
        <v>43545</v>
      </c>
      <c r="B5036">
        <v>121732</v>
      </c>
      <c r="C5036" t="s">
        <v>4510</v>
      </c>
      <c r="D5036" t="s">
        <v>4511</v>
      </c>
      <c r="E5036" s="2">
        <v>87.57</v>
      </c>
    </row>
    <row r="5037" spans="1:5" x14ac:dyDescent="0.25">
      <c r="A5037" s="1">
        <v>43545</v>
      </c>
      <c r="B5037">
        <v>121733</v>
      </c>
      <c r="C5037" t="s">
        <v>205</v>
      </c>
      <c r="D5037" t="s">
        <v>4512</v>
      </c>
      <c r="E5037" s="2">
        <v>83.86</v>
      </c>
    </row>
    <row r="5038" spans="1:5" x14ac:dyDescent="0.25">
      <c r="A5038" s="1">
        <v>43545</v>
      </c>
      <c r="B5038">
        <v>121733</v>
      </c>
      <c r="C5038" t="s">
        <v>205</v>
      </c>
      <c r="D5038" t="s">
        <v>4512</v>
      </c>
      <c r="E5038" s="2">
        <v>64.14</v>
      </c>
    </row>
    <row r="5039" spans="1:5" x14ac:dyDescent="0.25">
      <c r="A5039" s="1">
        <v>43545</v>
      </c>
      <c r="B5039">
        <v>121734</v>
      </c>
      <c r="C5039" t="s">
        <v>295</v>
      </c>
      <c r="D5039" t="s">
        <v>4513</v>
      </c>
      <c r="E5039" s="2">
        <v>1235.5</v>
      </c>
    </row>
    <row r="5040" spans="1:5" x14ac:dyDescent="0.25">
      <c r="A5040" s="1">
        <v>43545</v>
      </c>
      <c r="B5040">
        <v>121735</v>
      </c>
      <c r="C5040" t="s">
        <v>744</v>
      </c>
      <c r="D5040" t="s">
        <v>4514</v>
      </c>
      <c r="E5040" s="2">
        <v>3000</v>
      </c>
    </row>
    <row r="5041" spans="1:5" x14ac:dyDescent="0.25">
      <c r="A5041" s="1">
        <v>43545</v>
      </c>
      <c r="B5041">
        <v>121736</v>
      </c>
      <c r="C5041" t="s">
        <v>50</v>
      </c>
      <c r="D5041" t="s">
        <v>2047</v>
      </c>
      <c r="E5041" s="2">
        <v>5585</v>
      </c>
    </row>
    <row r="5042" spans="1:5" x14ac:dyDescent="0.25">
      <c r="A5042" s="1">
        <v>43545</v>
      </c>
      <c r="B5042">
        <v>121737</v>
      </c>
      <c r="C5042" t="s">
        <v>151</v>
      </c>
      <c r="D5042" t="s">
        <v>4351</v>
      </c>
      <c r="E5042" s="2">
        <v>250</v>
      </c>
    </row>
    <row r="5043" spans="1:5" x14ac:dyDescent="0.25">
      <c r="A5043" s="1">
        <v>43545</v>
      </c>
      <c r="B5043">
        <v>121738</v>
      </c>
      <c r="C5043" t="s">
        <v>152</v>
      </c>
      <c r="D5043" t="s">
        <v>4351</v>
      </c>
      <c r="E5043" s="2">
        <v>250</v>
      </c>
    </row>
    <row r="5044" spans="1:5" x14ac:dyDescent="0.25">
      <c r="A5044" s="1">
        <v>43545</v>
      </c>
      <c r="B5044">
        <v>121740</v>
      </c>
      <c r="C5044" t="s">
        <v>80</v>
      </c>
      <c r="D5044" t="s">
        <v>1039</v>
      </c>
      <c r="E5044" s="2">
        <v>34.909999999999997</v>
      </c>
    </row>
    <row r="5045" spans="1:5" x14ac:dyDescent="0.25">
      <c r="A5045" s="1">
        <v>43545</v>
      </c>
      <c r="B5045">
        <v>121740</v>
      </c>
      <c r="C5045" t="s">
        <v>80</v>
      </c>
      <c r="D5045" t="s">
        <v>153</v>
      </c>
      <c r="E5045" s="2">
        <v>66.89</v>
      </c>
    </row>
    <row r="5046" spans="1:5" x14ac:dyDescent="0.25">
      <c r="A5046" s="1">
        <v>43545</v>
      </c>
      <c r="B5046">
        <v>121740</v>
      </c>
      <c r="C5046" t="s">
        <v>80</v>
      </c>
      <c r="D5046" t="s">
        <v>1039</v>
      </c>
      <c r="E5046" s="2">
        <v>8.49</v>
      </c>
    </row>
    <row r="5047" spans="1:5" x14ac:dyDescent="0.25">
      <c r="A5047" s="1">
        <v>43545</v>
      </c>
      <c r="B5047">
        <v>121740</v>
      </c>
      <c r="C5047" t="s">
        <v>80</v>
      </c>
      <c r="D5047" t="s">
        <v>1039</v>
      </c>
      <c r="E5047" s="2">
        <v>68.02</v>
      </c>
    </row>
    <row r="5048" spans="1:5" x14ac:dyDescent="0.25">
      <c r="A5048" s="1">
        <v>43545</v>
      </c>
      <c r="B5048">
        <v>121740</v>
      </c>
      <c r="C5048" t="s">
        <v>80</v>
      </c>
      <c r="D5048" t="s">
        <v>1039</v>
      </c>
      <c r="E5048" s="2">
        <v>28.42</v>
      </c>
    </row>
    <row r="5049" spans="1:5" x14ac:dyDescent="0.25">
      <c r="A5049" s="1">
        <v>43545</v>
      </c>
      <c r="B5049">
        <v>121741</v>
      </c>
      <c r="C5049" t="s">
        <v>4515</v>
      </c>
      <c r="D5049" t="s">
        <v>4516</v>
      </c>
      <c r="E5049" s="2">
        <v>70</v>
      </c>
    </row>
    <row r="5050" spans="1:5" x14ac:dyDescent="0.25">
      <c r="A5050" s="1">
        <v>43545</v>
      </c>
      <c r="B5050">
        <v>121742</v>
      </c>
      <c r="C5050" t="s">
        <v>877</v>
      </c>
      <c r="D5050" t="s">
        <v>4517</v>
      </c>
      <c r="E5050" s="2">
        <v>127.5</v>
      </c>
    </row>
    <row r="5051" spans="1:5" x14ac:dyDescent="0.25">
      <c r="A5051" s="1">
        <v>43545</v>
      </c>
      <c r="B5051">
        <v>121743</v>
      </c>
      <c r="C5051" t="s">
        <v>302</v>
      </c>
      <c r="D5051" t="s">
        <v>4518</v>
      </c>
      <c r="E5051" s="2">
        <v>194</v>
      </c>
    </row>
    <row r="5052" spans="1:5" x14ac:dyDescent="0.25">
      <c r="A5052" s="1">
        <v>43545</v>
      </c>
      <c r="B5052">
        <v>121745</v>
      </c>
      <c r="C5052" t="s">
        <v>14</v>
      </c>
      <c r="D5052" t="s">
        <v>4519</v>
      </c>
      <c r="E5052" s="2">
        <v>152</v>
      </c>
    </row>
    <row r="5053" spans="1:5" x14ac:dyDescent="0.25">
      <c r="A5053" s="1">
        <v>43545</v>
      </c>
      <c r="B5053">
        <v>121745</v>
      </c>
      <c r="C5053" t="s">
        <v>14</v>
      </c>
      <c r="D5053" t="s">
        <v>4520</v>
      </c>
      <c r="E5053" s="2">
        <v>49</v>
      </c>
    </row>
    <row r="5054" spans="1:5" x14ac:dyDescent="0.25">
      <c r="A5054" s="1">
        <v>43545</v>
      </c>
      <c r="B5054">
        <v>121745</v>
      </c>
      <c r="C5054" t="s">
        <v>14</v>
      </c>
      <c r="D5054" t="s">
        <v>4521</v>
      </c>
      <c r="E5054" s="2">
        <v>1214.4000000000001</v>
      </c>
    </row>
    <row r="5055" spans="1:5" x14ac:dyDescent="0.25">
      <c r="A5055" s="1">
        <v>43545</v>
      </c>
      <c r="B5055">
        <v>121745</v>
      </c>
      <c r="C5055" t="s">
        <v>14</v>
      </c>
      <c r="D5055" t="s">
        <v>4521</v>
      </c>
      <c r="E5055" s="2">
        <v>519.59</v>
      </c>
    </row>
    <row r="5056" spans="1:5" x14ac:dyDescent="0.25">
      <c r="A5056" s="1">
        <v>43545</v>
      </c>
      <c r="B5056">
        <v>121746</v>
      </c>
      <c r="C5056" t="s">
        <v>750</v>
      </c>
      <c r="D5056" t="s">
        <v>4522</v>
      </c>
      <c r="E5056" s="2">
        <v>3990</v>
      </c>
    </row>
    <row r="5057" spans="1:5" x14ac:dyDescent="0.25">
      <c r="A5057" s="1">
        <v>43545</v>
      </c>
      <c r="B5057">
        <v>121747</v>
      </c>
      <c r="C5057" t="s">
        <v>382</v>
      </c>
      <c r="D5057" t="s">
        <v>4523</v>
      </c>
      <c r="E5057" s="2">
        <v>15</v>
      </c>
    </row>
    <row r="5058" spans="1:5" x14ac:dyDescent="0.25">
      <c r="A5058" s="1">
        <v>43545</v>
      </c>
      <c r="B5058">
        <v>121747</v>
      </c>
      <c r="C5058" t="s">
        <v>382</v>
      </c>
      <c r="D5058" t="s">
        <v>4523</v>
      </c>
      <c r="E5058" s="2">
        <v>10</v>
      </c>
    </row>
    <row r="5059" spans="1:5" x14ac:dyDescent="0.25">
      <c r="A5059" s="1">
        <v>43545</v>
      </c>
      <c r="B5059">
        <v>121747</v>
      </c>
      <c r="C5059" t="s">
        <v>382</v>
      </c>
      <c r="D5059" t="s">
        <v>4523</v>
      </c>
      <c r="E5059" s="2">
        <v>40</v>
      </c>
    </row>
    <row r="5060" spans="1:5" x14ac:dyDescent="0.25">
      <c r="A5060" s="1">
        <v>43545</v>
      </c>
      <c r="B5060">
        <v>121749</v>
      </c>
      <c r="C5060" t="s">
        <v>16</v>
      </c>
      <c r="D5060" t="s">
        <v>4116</v>
      </c>
      <c r="E5060" s="2">
        <f>1.09+1.09+40+39+48+40+32+4</f>
        <v>205.18</v>
      </c>
    </row>
    <row r="5061" spans="1:5" x14ac:dyDescent="0.25">
      <c r="A5061" s="1">
        <v>43545</v>
      </c>
      <c r="B5061">
        <v>121750</v>
      </c>
      <c r="C5061" t="s">
        <v>4524</v>
      </c>
      <c r="D5061" t="s">
        <v>4525</v>
      </c>
      <c r="E5061" s="2">
        <v>815</v>
      </c>
    </row>
    <row r="5062" spans="1:5" x14ac:dyDescent="0.25">
      <c r="A5062" s="1">
        <v>43545</v>
      </c>
      <c r="B5062">
        <v>121751</v>
      </c>
      <c r="C5062" t="s">
        <v>760</v>
      </c>
      <c r="D5062" t="s">
        <v>4526</v>
      </c>
      <c r="E5062" s="2">
        <v>1494.99</v>
      </c>
    </row>
    <row r="5063" spans="1:5" x14ac:dyDescent="0.25">
      <c r="A5063" s="1">
        <v>43545</v>
      </c>
      <c r="B5063">
        <v>121751</v>
      </c>
      <c r="C5063" t="s">
        <v>760</v>
      </c>
      <c r="D5063" t="s">
        <v>4527</v>
      </c>
      <c r="E5063" s="2">
        <v>384.89</v>
      </c>
    </row>
    <row r="5064" spans="1:5" x14ac:dyDescent="0.25">
      <c r="A5064" s="1">
        <v>43545</v>
      </c>
      <c r="B5064">
        <v>121751</v>
      </c>
      <c r="C5064" t="s">
        <v>760</v>
      </c>
      <c r="D5064" t="s">
        <v>4528</v>
      </c>
      <c r="E5064" s="2">
        <v>104.61</v>
      </c>
    </row>
    <row r="5065" spans="1:5" x14ac:dyDescent="0.25">
      <c r="A5065" s="1">
        <v>43545</v>
      </c>
      <c r="B5065">
        <v>121751</v>
      </c>
      <c r="C5065" t="s">
        <v>760</v>
      </c>
      <c r="D5065" t="s">
        <v>4529</v>
      </c>
      <c r="E5065" s="2">
        <v>147.69999999999999</v>
      </c>
    </row>
    <row r="5066" spans="1:5" x14ac:dyDescent="0.25">
      <c r="A5066" s="1">
        <v>43545</v>
      </c>
      <c r="B5066">
        <v>121752</v>
      </c>
      <c r="C5066" t="s">
        <v>156</v>
      </c>
      <c r="D5066" t="s">
        <v>4530</v>
      </c>
      <c r="E5066" s="2">
        <v>140</v>
      </c>
    </row>
    <row r="5067" spans="1:5" x14ac:dyDescent="0.25">
      <c r="A5067" s="1">
        <v>43545</v>
      </c>
      <c r="B5067">
        <v>121753</v>
      </c>
      <c r="C5067" t="s">
        <v>2591</v>
      </c>
      <c r="D5067" t="s">
        <v>4531</v>
      </c>
      <c r="E5067" s="2">
        <f>921.05+1710.85+945.12</f>
        <v>3577.0199999999995</v>
      </c>
    </row>
    <row r="5068" spans="1:5" x14ac:dyDescent="0.25">
      <c r="A5068" s="1">
        <v>43545</v>
      </c>
      <c r="B5068">
        <v>121754</v>
      </c>
      <c r="C5068" t="s">
        <v>3669</v>
      </c>
      <c r="D5068" t="s">
        <v>4532</v>
      </c>
      <c r="E5068" s="2">
        <v>13680</v>
      </c>
    </row>
    <row r="5069" spans="1:5" x14ac:dyDescent="0.25">
      <c r="A5069" s="1">
        <v>43545</v>
      </c>
      <c r="B5069">
        <v>121754</v>
      </c>
      <c r="C5069" t="s">
        <v>3669</v>
      </c>
      <c r="D5069" t="s">
        <v>4533</v>
      </c>
      <c r="E5069" s="2">
        <v>570</v>
      </c>
    </row>
    <row r="5070" spans="1:5" x14ac:dyDescent="0.25">
      <c r="A5070" s="1">
        <v>43545</v>
      </c>
      <c r="B5070">
        <v>121754</v>
      </c>
      <c r="C5070" t="s">
        <v>3669</v>
      </c>
      <c r="D5070" t="s">
        <v>4534</v>
      </c>
      <c r="E5070" s="2">
        <v>270</v>
      </c>
    </row>
    <row r="5071" spans="1:5" x14ac:dyDescent="0.25">
      <c r="A5071" s="1">
        <v>43545</v>
      </c>
      <c r="B5071">
        <v>121755</v>
      </c>
      <c r="C5071" t="s">
        <v>161</v>
      </c>
      <c r="D5071" t="s">
        <v>4535</v>
      </c>
      <c r="E5071" s="2">
        <v>4014</v>
      </c>
    </row>
    <row r="5072" spans="1:5" x14ac:dyDescent="0.25">
      <c r="A5072" s="1">
        <v>43545</v>
      </c>
      <c r="B5072">
        <v>121756</v>
      </c>
      <c r="C5072" t="s">
        <v>4536</v>
      </c>
      <c r="D5072" t="s">
        <v>4537</v>
      </c>
      <c r="E5072" s="2">
        <v>2080</v>
      </c>
    </row>
    <row r="5073" spans="1:5" x14ac:dyDescent="0.25">
      <c r="A5073" s="1">
        <v>43545</v>
      </c>
      <c r="B5073">
        <v>121757</v>
      </c>
      <c r="C5073" t="s">
        <v>4538</v>
      </c>
      <c r="D5073" t="s">
        <v>4539</v>
      </c>
      <c r="E5073" s="2">
        <v>250</v>
      </c>
    </row>
    <row r="5074" spans="1:5" x14ac:dyDescent="0.25">
      <c r="A5074" s="1">
        <v>43545</v>
      </c>
      <c r="B5074">
        <v>121758</v>
      </c>
      <c r="C5074" t="s">
        <v>1516</v>
      </c>
      <c r="D5074" t="s">
        <v>4540</v>
      </c>
      <c r="E5074" s="2">
        <v>144</v>
      </c>
    </row>
    <row r="5075" spans="1:5" x14ac:dyDescent="0.25">
      <c r="A5075" s="1">
        <v>43545</v>
      </c>
      <c r="B5075">
        <v>121759</v>
      </c>
      <c r="C5075" t="s">
        <v>314</v>
      </c>
      <c r="D5075" t="s">
        <v>4541</v>
      </c>
      <c r="E5075" s="2">
        <v>252</v>
      </c>
    </row>
    <row r="5076" spans="1:5" x14ac:dyDescent="0.25">
      <c r="A5076" s="1">
        <v>43545</v>
      </c>
      <c r="B5076">
        <v>121760</v>
      </c>
      <c r="C5076" t="s">
        <v>317</v>
      </c>
      <c r="D5076" t="s">
        <v>4542</v>
      </c>
      <c r="E5076" s="2">
        <v>3500</v>
      </c>
    </row>
    <row r="5077" spans="1:5" x14ac:dyDescent="0.25">
      <c r="A5077" s="1">
        <v>43545</v>
      </c>
      <c r="B5077">
        <v>121762</v>
      </c>
      <c r="C5077" t="s">
        <v>318</v>
      </c>
      <c r="D5077" t="s">
        <v>4543</v>
      </c>
      <c r="E5077" s="2">
        <v>3762.07</v>
      </c>
    </row>
    <row r="5078" spans="1:5" x14ac:dyDescent="0.25">
      <c r="A5078" s="1">
        <v>43545</v>
      </c>
      <c r="B5078">
        <v>121762</v>
      </c>
      <c r="C5078" t="s">
        <v>318</v>
      </c>
      <c r="D5078" t="s">
        <v>4544</v>
      </c>
      <c r="E5078" s="2">
        <v>15654.97</v>
      </c>
    </row>
    <row r="5079" spans="1:5" x14ac:dyDescent="0.25">
      <c r="A5079" s="1">
        <v>43545</v>
      </c>
      <c r="B5079">
        <v>121762</v>
      </c>
      <c r="C5079" t="s">
        <v>318</v>
      </c>
      <c r="D5079" t="s">
        <v>4545</v>
      </c>
      <c r="E5079" s="2">
        <v>114077.57</v>
      </c>
    </row>
    <row r="5080" spans="1:5" x14ac:dyDescent="0.25">
      <c r="A5080" s="1">
        <v>43545</v>
      </c>
      <c r="B5080">
        <v>121763</v>
      </c>
      <c r="C5080" t="s">
        <v>4546</v>
      </c>
      <c r="D5080" t="s">
        <v>4547</v>
      </c>
      <c r="E5080" s="2">
        <v>75</v>
      </c>
    </row>
    <row r="5081" spans="1:5" x14ac:dyDescent="0.25">
      <c r="A5081" s="1">
        <v>43545</v>
      </c>
      <c r="B5081">
        <v>121764</v>
      </c>
      <c r="C5081" t="s">
        <v>2252</v>
      </c>
      <c r="D5081" t="s">
        <v>4548</v>
      </c>
      <c r="E5081" s="2">
        <v>381.88</v>
      </c>
    </row>
    <row r="5082" spans="1:5" x14ac:dyDescent="0.25">
      <c r="A5082" s="1">
        <v>43545</v>
      </c>
      <c r="B5082">
        <v>121765</v>
      </c>
      <c r="C5082" t="s">
        <v>1270</v>
      </c>
      <c r="D5082" t="s">
        <v>234</v>
      </c>
      <c r="E5082" s="2">
        <f>433.6+12.36</f>
        <v>445.96000000000004</v>
      </c>
    </row>
    <row r="5083" spans="1:5" x14ac:dyDescent="0.25">
      <c r="A5083" s="1">
        <v>43545</v>
      </c>
      <c r="B5083">
        <v>121766</v>
      </c>
      <c r="C5083" t="s">
        <v>174</v>
      </c>
      <c r="D5083" t="s">
        <v>3202</v>
      </c>
      <c r="E5083" s="2">
        <v>1941.06</v>
      </c>
    </row>
    <row r="5084" spans="1:5" x14ac:dyDescent="0.25">
      <c r="A5084" s="1">
        <v>43545</v>
      </c>
      <c r="B5084">
        <v>121767</v>
      </c>
      <c r="C5084" t="s">
        <v>4549</v>
      </c>
      <c r="D5084" t="s">
        <v>4550</v>
      </c>
      <c r="E5084" s="2">
        <v>5192.5</v>
      </c>
    </row>
    <row r="5085" spans="1:5" x14ac:dyDescent="0.25">
      <c r="A5085" s="1">
        <v>43545</v>
      </c>
      <c r="B5085">
        <v>121768</v>
      </c>
      <c r="C5085" t="s">
        <v>1729</v>
      </c>
      <c r="D5085" t="s">
        <v>4551</v>
      </c>
      <c r="E5085" s="2">
        <v>23.18</v>
      </c>
    </row>
    <row r="5086" spans="1:5" x14ac:dyDescent="0.25">
      <c r="A5086" s="1">
        <v>43545</v>
      </c>
      <c r="B5086">
        <v>121768</v>
      </c>
      <c r="C5086" t="s">
        <v>1729</v>
      </c>
      <c r="D5086" t="s">
        <v>4552</v>
      </c>
      <c r="E5086" s="2">
        <v>40.86</v>
      </c>
    </row>
    <row r="5087" spans="1:5" x14ac:dyDescent="0.25">
      <c r="A5087" s="1">
        <v>43545</v>
      </c>
      <c r="B5087">
        <v>121769</v>
      </c>
      <c r="C5087" t="s">
        <v>3543</v>
      </c>
      <c r="D5087" t="s">
        <v>4553</v>
      </c>
      <c r="E5087" s="2">
        <v>377.13</v>
      </c>
    </row>
    <row r="5088" spans="1:5" x14ac:dyDescent="0.25">
      <c r="A5088" s="1">
        <v>43545</v>
      </c>
      <c r="B5088">
        <v>121770</v>
      </c>
      <c r="C5088" t="s">
        <v>176</v>
      </c>
      <c r="D5088" t="s">
        <v>775</v>
      </c>
      <c r="E5088" s="2">
        <f>365+365</f>
        <v>730</v>
      </c>
    </row>
    <row r="5089" spans="1:5" x14ac:dyDescent="0.25">
      <c r="A5089" s="1">
        <v>43545</v>
      </c>
      <c r="B5089">
        <v>121771</v>
      </c>
      <c r="C5089" t="s">
        <v>1273</v>
      </c>
      <c r="D5089" t="s">
        <v>4554</v>
      </c>
      <c r="E5089" s="2">
        <v>642.25</v>
      </c>
    </row>
    <row r="5090" spans="1:5" x14ac:dyDescent="0.25">
      <c r="A5090" s="1">
        <v>43545</v>
      </c>
      <c r="B5090">
        <v>121772</v>
      </c>
      <c r="C5090" t="s">
        <v>181</v>
      </c>
      <c r="D5090" t="s">
        <v>182</v>
      </c>
      <c r="E5090" s="2">
        <v>1709.55</v>
      </c>
    </row>
    <row r="5091" spans="1:5" x14ac:dyDescent="0.25">
      <c r="A5091" s="1">
        <v>43545</v>
      </c>
      <c r="B5091">
        <v>121780</v>
      </c>
      <c r="C5091" t="s">
        <v>222</v>
      </c>
      <c r="D5091" t="s">
        <v>4555</v>
      </c>
      <c r="E5091" s="2">
        <v>67.069999999999993</v>
      </c>
    </row>
    <row r="5092" spans="1:5" x14ac:dyDescent="0.25">
      <c r="A5092" s="1">
        <v>43545</v>
      </c>
      <c r="B5092">
        <v>121780</v>
      </c>
      <c r="C5092" t="s">
        <v>222</v>
      </c>
      <c r="D5092" t="s">
        <v>4556</v>
      </c>
      <c r="E5092" s="2">
        <v>99.22</v>
      </c>
    </row>
    <row r="5093" spans="1:5" x14ac:dyDescent="0.25">
      <c r="A5093" s="1">
        <v>43545</v>
      </c>
      <c r="B5093">
        <v>121780</v>
      </c>
      <c r="C5093" t="s">
        <v>222</v>
      </c>
      <c r="D5093" t="s">
        <v>4557</v>
      </c>
      <c r="E5093" s="2">
        <f>35.85+37.73+14.97+78.36</f>
        <v>166.91</v>
      </c>
    </row>
    <row r="5094" spans="1:5" x14ac:dyDescent="0.25">
      <c r="A5094" s="1">
        <v>43545</v>
      </c>
      <c r="B5094">
        <v>121780</v>
      </c>
      <c r="C5094" t="s">
        <v>222</v>
      </c>
      <c r="D5094" t="s">
        <v>4558</v>
      </c>
      <c r="E5094" s="2">
        <v>112.04</v>
      </c>
    </row>
    <row r="5095" spans="1:5" x14ac:dyDescent="0.25">
      <c r="A5095" s="1">
        <v>43545</v>
      </c>
      <c r="B5095">
        <v>121780</v>
      </c>
      <c r="C5095" t="s">
        <v>222</v>
      </c>
      <c r="D5095" t="s">
        <v>1224</v>
      </c>
      <c r="E5095" s="2">
        <f>54.35+143.93+30.81</f>
        <v>229.09</v>
      </c>
    </row>
    <row r="5096" spans="1:5" x14ac:dyDescent="0.25">
      <c r="A5096" s="1">
        <v>43545</v>
      </c>
      <c r="B5096">
        <v>121780</v>
      </c>
      <c r="C5096" t="s">
        <v>222</v>
      </c>
      <c r="D5096" t="s">
        <v>4559</v>
      </c>
      <c r="E5096" s="2">
        <v>35</v>
      </c>
    </row>
    <row r="5097" spans="1:5" x14ac:dyDescent="0.25">
      <c r="A5097" s="1">
        <v>43545</v>
      </c>
      <c r="B5097">
        <v>121780</v>
      </c>
      <c r="C5097" t="s">
        <v>222</v>
      </c>
      <c r="D5097" t="s">
        <v>4018</v>
      </c>
      <c r="E5097" s="2">
        <f>63.57+72.19+92.94</f>
        <v>228.7</v>
      </c>
    </row>
    <row r="5098" spans="1:5" x14ac:dyDescent="0.25">
      <c r="A5098" s="1">
        <v>43545</v>
      </c>
      <c r="B5098">
        <v>121780</v>
      </c>
      <c r="C5098" t="s">
        <v>222</v>
      </c>
      <c r="D5098" t="s">
        <v>4560</v>
      </c>
      <c r="E5098" s="2">
        <v>82.36</v>
      </c>
    </row>
    <row r="5099" spans="1:5" x14ac:dyDescent="0.25">
      <c r="A5099" s="1">
        <v>43545</v>
      </c>
      <c r="B5099">
        <v>121780</v>
      </c>
      <c r="C5099" t="s">
        <v>222</v>
      </c>
      <c r="D5099" t="s">
        <v>4561</v>
      </c>
      <c r="E5099" s="2">
        <v>139.26</v>
      </c>
    </row>
    <row r="5100" spans="1:5" x14ac:dyDescent="0.25">
      <c r="A5100" s="1">
        <v>43545</v>
      </c>
      <c r="B5100">
        <v>121780</v>
      </c>
      <c r="C5100" t="s">
        <v>222</v>
      </c>
      <c r="D5100" t="s">
        <v>4562</v>
      </c>
      <c r="E5100" s="2">
        <v>117.89</v>
      </c>
    </row>
    <row r="5101" spans="1:5" x14ac:dyDescent="0.25">
      <c r="A5101" s="1">
        <v>43545</v>
      </c>
      <c r="B5101">
        <v>121780</v>
      </c>
      <c r="C5101" t="s">
        <v>222</v>
      </c>
      <c r="D5101" t="s">
        <v>4563</v>
      </c>
      <c r="E5101" s="2">
        <v>94.62</v>
      </c>
    </row>
    <row r="5102" spans="1:5" x14ac:dyDescent="0.25">
      <c r="A5102" s="1">
        <v>43545</v>
      </c>
      <c r="B5102">
        <v>121780</v>
      </c>
      <c r="C5102" t="s">
        <v>222</v>
      </c>
      <c r="D5102" t="s">
        <v>4564</v>
      </c>
      <c r="E5102" s="2">
        <v>25.76</v>
      </c>
    </row>
    <row r="5103" spans="1:5" x14ac:dyDescent="0.25">
      <c r="A5103" s="1">
        <v>43545</v>
      </c>
      <c r="B5103">
        <v>121780</v>
      </c>
      <c r="C5103" t="s">
        <v>222</v>
      </c>
      <c r="D5103" t="s">
        <v>4564</v>
      </c>
      <c r="E5103" s="2">
        <v>82.73</v>
      </c>
    </row>
    <row r="5104" spans="1:5" x14ac:dyDescent="0.25">
      <c r="A5104" s="1">
        <v>43545</v>
      </c>
      <c r="B5104">
        <v>121780</v>
      </c>
      <c r="C5104" t="s">
        <v>222</v>
      </c>
      <c r="D5104" t="s">
        <v>4565</v>
      </c>
      <c r="E5104" s="2">
        <v>483.37</v>
      </c>
    </row>
    <row r="5105" spans="1:5" x14ac:dyDescent="0.25">
      <c r="A5105" s="1">
        <v>43545</v>
      </c>
      <c r="B5105">
        <v>121780</v>
      </c>
      <c r="C5105" t="s">
        <v>222</v>
      </c>
      <c r="D5105" t="s">
        <v>4566</v>
      </c>
      <c r="E5105" s="2">
        <v>76.400000000000006</v>
      </c>
    </row>
    <row r="5106" spans="1:5" x14ac:dyDescent="0.25">
      <c r="A5106" s="1">
        <v>43545</v>
      </c>
      <c r="B5106">
        <v>121780</v>
      </c>
      <c r="C5106" t="s">
        <v>222</v>
      </c>
      <c r="D5106" t="s">
        <v>4567</v>
      </c>
      <c r="E5106" s="2">
        <v>151.54</v>
      </c>
    </row>
    <row r="5107" spans="1:5" x14ac:dyDescent="0.25">
      <c r="A5107" s="1">
        <v>43545</v>
      </c>
      <c r="B5107">
        <v>121780</v>
      </c>
      <c r="C5107" t="s">
        <v>222</v>
      </c>
      <c r="D5107" t="s">
        <v>4568</v>
      </c>
      <c r="E5107" s="2">
        <v>103.76</v>
      </c>
    </row>
    <row r="5108" spans="1:5" x14ac:dyDescent="0.25">
      <c r="A5108" s="1">
        <v>43545</v>
      </c>
      <c r="B5108">
        <v>121780</v>
      </c>
      <c r="C5108" t="s">
        <v>222</v>
      </c>
      <c r="D5108" t="s">
        <v>4569</v>
      </c>
      <c r="E5108" s="2">
        <v>109.35</v>
      </c>
    </row>
    <row r="5109" spans="1:5" x14ac:dyDescent="0.25">
      <c r="A5109" s="1">
        <v>43545</v>
      </c>
      <c r="B5109">
        <v>121780</v>
      </c>
      <c r="C5109" t="s">
        <v>222</v>
      </c>
      <c r="D5109" t="s">
        <v>4570</v>
      </c>
      <c r="E5109" s="2">
        <v>82.56</v>
      </c>
    </row>
    <row r="5110" spans="1:5" x14ac:dyDescent="0.25">
      <c r="A5110" s="1">
        <v>43545</v>
      </c>
      <c r="B5110">
        <v>121780</v>
      </c>
      <c r="C5110" t="s">
        <v>222</v>
      </c>
      <c r="D5110" t="s">
        <v>1483</v>
      </c>
      <c r="E5110" s="2">
        <v>47.12</v>
      </c>
    </row>
    <row r="5111" spans="1:5" x14ac:dyDescent="0.25">
      <c r="A5111" s="1">
        <v>43545</v>
      </c>
      <c r="B5111">
        <v>121780</v>
      </c>
      <c r="C5111" t="s">
        <v>222</v>
      </c>
      <c r="D5111" t="s">
        <v>4571</v>
      </c>
      <c r="E5111" s="2">
        <f>85.91+56+83.49</f>
        <v>225.39999999999998</v>
      </c>
    </row>
    <row r="5112" spans="1:5" x14ac:dyDescent="0.25">
      <c r="A5112" s="1">
        <v>43545</v>
      </c>
      <c r="B5112">
        <v>121780</v>
      </c>
      <c r="C5112" t="s">
        <v>222</v>
      </c>
      <c r="D5112" t="s">
        <v>2624</v>
      </c>
      <c r="E5112" s="2">
        <v>49.06</v>
      </c>
    </row>
    <row r="5113" spans="1:5" x14ac:dyDescent="0.25">
      <c r="A5113" s="1">
        <v>43545</v>
      </c>
      <c r="B5113">
        <v>121780</v>
      </c>
      <c r="C5113" t="s">
        <v>222</v>
      </c>
      <c r="D5113" t="s">
        <v>4572</v>
      </c>
      <c r="E5113" s="2">
        <v>97.81</v>
      </c>
    </row>
    <row r="5114" spans="1:5" x14ac:dyDescent="0.25">
      <c r="A5114" s="1">
        <v>43545</v>
      </c>
      <c r="B5114">
        <v>121780</v>
      </c>
      <c r="C5114" t="s">
        <v>222</v>
      </c>
      <c r="D5114" t="s">
        <v>4573</v>
      </c>
      <c r="E5114" s="2">
        <v>65.599999999999994</v>
      </c>
    </row>
    <row r="5115" spans="1:5" x14ac:dyDescent="0.25">
      <c r="A5115" s="1">
        <v>43545</v>
      </c>
      <c r="B5115">
        <v>121780</v>
      </c>
      <c r="C5115" t="s">
        <v>222</v>
      </c>
      <c r="D5115" t="s">
        <v>2624</v>
      </c>
      <c r="E5115" s="2">
        <v>56.65</v>
      </c>
    </row>
    <row r="5116" spans="1:5" x14ac:dyDescent="0.25">
      <c r="A5116" s="1">
        <v>43545</v>
      </c>
      <c r="B5116">
        <v>121782</v>
      </c>
      <c r="C5116" t="s">
        <v>388</v>
      </c>
      <c r="D5116" t="s">
        <v>4574</v>
      </c>
      <c r="E5116" s="2">
        <f>4542.36+568.75+1145.45+1785.74+1777.14</f>
        <v>9819.4399999999987</v>
      </c>
    </row>
    <row r="5117" spans="1:5" x14ac:dyDescent="0.25">
      <c r="A5117" s="1">
        <v>43545</v>
      </c>
      <c r="B5117">
        <v>121783</v>
      </c>
      <c r="C5117" t="s">
        <v>183</v>
      </c>
      <c r="D5117" t="s">
        <v>4464</v>
      </c>
      <c r="E5117" s="2">
        <v>250</v>
      </c>
    </row>
    <row r="5118" spans="1:5" x14ac:dyDescent="0.25">
      <c r="A5118" s="1">
        <v>43545</v>
      </c>
      <c r="B5118">
        <v>121784</v>
      </c>
      <c r="C5118" t="s">
        <v>329</v>
      </c>
      <c r="D5118" t="s">
        <v>4464</v>
      </c>
      <c r="E5118" s="2">
        <v>300</v>
      </c>
    </row>
    <row r="5119" spans="1:5" x14ac:dyDescent="0.25">
      <c r="A5119" s="1">
        <v>43545</v>
      </c>
      <c r="B5119">
        <v>121786</v>
      </c>
      <c r="C5119" t="s">
        <v>644</v>
      </c>
      <c r="D5119" t="s">
        <v>4575</v>
      </c>
      <c r="E5119" s="2">
        <v>37.049999999999997</v>
      </c>
    </row>
    <row r="5120" spans="1:5" x14ac:dyDescent="0.25">
      <c r="A5120" s="1">
        <v>43545</v>
      </c>
      <c r="B5120">
        <v>121786</v>
      </c>
      <c r="C5120" t="s">
        <v>644</v>
      </c>
      <c r="D5120" t="s">
        <v>4575</v>
      </c>
      <c r="E5120" s="2">
        <v>66</v>
      </c>
    </row>
    <row r="5121" spans="1:5" x14ac:dyDescent="0.25">
      <c r="A5121" s="1">
        <v>43545</v>
      </c>
      <c r="B5121">
        <v>121786</v>
      </c>
      <c r="C5121" t="s">
        <v>644</v>
      </c>
      <c r="D5121" t="s">
        <v>4576</v>
      </c>
      <c r="E5121" s="2">
        <v>54.93</v>
      </c>
    </row>
    <row r="5122" spans="1:5" x14ac:dyDescent="0.25">
      <c r="A5122" s="1">
        <v>43545</v>
      </c>
      <c r="B5122">
        <v>121786</v>
      </c>
      <c r="C5122" t="s">
        <v>644</v>
      </c>
      <c r="D5122" t="s">
        <v>4577</v>
      </c>
      <c r="E5122" s="2">
        <v>65.760000000000005</v>
      </c>
    </row>
    <row r="5123" spans="1:5" x14ac:dyDescent="0.25">
      <c r="A5123" s="1">
        <v>43545</v>
      </c>
      <c r="B5123">
        <v>121787</v>
      </c>
      <c r="C5123" t="s">
        <v>1436</v>
      </c>
      <c r="D5123" t="s">
        <v>4578</v>
      </c>
      <c r="E5123" s="2">
        <v>80</v>
      </c>
    </row>
    <row r="5124" spans="1:5" x14ac:dyDescent="0.25">
      <c r="A5124" s="1">
        <v>43545</v>
      </c>
      <c r="B5124">
        <v>121787</v>
      </c>
      <c r="C5124" t="s">
        <v>1436</v>
      </c>
      <c r="D5124" t="s">
        <v>4578</v>
      </c>
      <c r="E5124" s="2">
        <v>80</v>
      </c>
    </row>
    <row r="5125" spans="1:5" x14ac:dyDescent="0.25">
      <c r="A5125" s="1">
        <v>43545</v>
      </c>
      <c r="B5125">
        <v>181900239</v>
      </c>
      <c r="C5125" t="s">
        <v>4860</v>
      </c>
      <c r="D5125" t="s">
        <v>880</v>
      </c>
      <c r="E5125" s="2">
        <v>66.73</v>
      </c>
    </row>
    <row r="5126" spans="1:5" x14ac:dyDescent="0.25">
      <c r="A5126" s="1">
        <v>43545</v>
      </c>
      <c r="B5126">
        <v>181900240</v>
      </c>
      <c r="C5126" t="s">
        <v>3992</v>
      </c>
      <c r="D5126" t="s">
        <v>880</v>
      </c>
      <c r="E5126" s="2">
        <v>26.27</v>
      </c>
    </row>
    <row r="5127" spans="1:5" x14ac:dyDescent="0.25">
      <c r="A5127" s="1">
        <v>43545</v>
      </c>
      <c r="B5127">
        <v>181900241</v>
      </c>
      <c r="C5127" t="s">
        <v>1058</v>
      </c>
      <c r="D5127" t="s">
        <v>880</v>
      </c>
      <c r="E5127" s="2">
        <v>89.13</v>
      </c>
    </row>
    <row r="5128" spans="1:5" x14ac:dyDescent="0.25">
      <c r="A5128" s="1">
        <v>43545</v>
      </c>
      <c r="B5128">
        <v>181900242</v>
      </c>
      <c r="C5128" t="s">
        <v>4861</v>
      </c>
      <c r="D5128" t="s">
        <v>880</v>
      </c>
      <c r="E5128" s="2">
        <v>100</v>
      </c>
    </row>
    <row r="5129" spans="1:5" x14ac:dyDescent="0.25">
      <c r="A5129" s="1">
        <v>43545</v>
      </c>
      <c r="B5129">
        <v>181900243</v>
      </c>
      <c r="C5129" t="s">
        <v>1060</v>
      </c>
      <c r="D5129" t="s">
        <v>880</v>
      </c>
      <c r="E5129" s="2">
        <v>92.46</v>
      </c>
    </row>
    <row r="5130" spans="1:5" x14ac:dyDescent="0.25">
      <c r="A5130" s="1">
        <v>43545</v>
      </c>
      <c r="B5130">
        <v>181900244</v>
      </c>
      <c r="C5130" t="s">
        <v>1061</v>
      </c>
      <c r="D5130" t="s">
        <v>880</v>
      </c>
      <c r="E5130" s="2">
        <v>145.31</v>
      </c>
    </row>
    <row r="5131" spans="1:5" x14ac:dyDescent="0.25">
      <c r="A5131" s="1">
        <v>43545</v>
      </c>
      <c r="B5131">
        <v>181900245</v>
      </c>
      <c r="C5131" t="s">
        <v>4205</v>
      </c>
      <c r="D5131" t="s">
        <v>880</v>
      </c>
      <c r="E5131" s="2">
        <v>113.13</v>
      </c>
    </row>
    <row r="5132" spans="1:5" x14ac:dyDescent="0.25">
      <c r="A5132" s="1">
        <v>43545</v>
      </c>
      <c r="B5132">
        <v>181900246</v>
      </c>
      <c r="C5132" t="s">
        <v>398</v>
      </c>
      <c r="D5132" t="s">
        <v>2463</v>
      </c>
      <c r="E5132" s="2">
        <v>132424.97</v>
      </c>
    </row>
    <row r="5133" spans="1:5" x14ac:dyDescent="0.25">
      <c r="A5133" s="1">
        <v>43545</v>
      </c>
      <c r="B5133">
        <v>181900246</v>
      </c>
      <c r="C5133" t="s">
        <v>398</v>
      </c>
      <c r="D5133" t="s">
        <v>2463</v>
      </c>
      <c r="E5133" s="2">
        <v>142024.97</v>
      </c>
    </row>
    <row r="5134" spans="1:5" x14ac:dyDescent="0.25">
      <c r="A5134" s="1">
        <v>43545</v>
      </c>
      <c r="B5134">
        <v>181900246</v>
      </c>
      <c r="C5134" t="s">
        <v>398</v>
      </c>
      <c r="D5134" t="s">
        <v>4862</v>
      </c>
      <c r="E5134" s="2">
        <v>550.5</v>
      </c>
    </row>
    <row r="5135" spans="1:5" x14ac:dyDescent="0.25">
      <c r="A5135" s="1">
        <v>43545</v>
      </c>
      <c r="B5135">
        <v>181900246</v>
      </c>
      <c r="C5135" t="s">
        <v>398</v>
      </c>
      <c r="D5135" t="s">
        <v>4863</v>
      </c>
      <c r="E5135" s="2">
        <v>1036.32</v>
      </c>
    </row>
    <row r="5136" spans="1:5" x14ac:dyDescent="0.25">
      <c r="A5136" s="1">
        <v>43545</v>
      </c>
      <c r="B5136">
        <v>181900247</v>
      </c>
      <c r="C5136" t="s">
        <v>1062</v>
      </c>
      <c r="D5136" t="s">
        <v>880</v>
      </c>
      <c r="E5136" s="2">
        <v>49.33</v>
      </c>
    </row>
    <row r="5137" spans="1:5" x14ac:dyDescent="0.25">
      <c r="A5137" s="1">
        <v>43545</v>
      </c>
      <c r="B5137">
        <v>181900248</v>
      </c>
      <c r="C5137" t="s">
        <v>4864</v>
      </c>
      <c r="D5137" t="s">
        <v>880</v>
      </c>
      <c r="E5137" s="2">
        <v>15</v>
      </c>
    </row>
    <row r="5138" spans="1:5" x14ac:dyDescent="0.25">
      <c r="A5138" s="1">
        <v>43545</v>
      </c>
      <c r="B5138">
        <v>181900249</v>
      </c>
      <c r="C5138" t="s">
        <v>1294</v>
      </c>
      <c r="D5138" t="s">
        <v>880</v>
      </c>
      <c r="E5138" s="2">
        <v>70.47</v>
      </c>
    </row>
    <row r="5139" spans="1:5" x14ac:dyDescent="0.25">
      <c r="A5139" s="1">
        <v>43545</v>
      </c>
      <c r="B5139">
        <v>181900250</v>
      </c>
      <c r="C5139" t="s">
        <v>4865</v>
      </c>
      <c r="D5139" t="s">
        <v>880</v>
      </c>
      <c r="E5139" s="2">
        <v>38.1</v>
      </c>
    </row>
    <row r="5140" spans="1:5" x14ac:dyDescent="0.25">
      <c r="A5140" s="1">
        <v>43545</v>
      </c>
      <c r="B5140">
        <v>181900251</v>
      </c>
      <c r="C5140" t="s">
        <v>1063</v>
      </c>
      <c r="D5140" t="s">
        <v>880</v>
      </c>
      <c r="E5140" s="2">
        <v>81.19</v>
      </c>
    </row>
    <row r="5141" spans="1:5" x14ac:dyDescent="0.25">
      <c r="A5141" s="1">
        <v>43545</v>
      </c>
      <c r="B5141">
        <v>181900252</v>
      </c>
      <c r="C5141" t="s">
        <v>650</v>
      </c>
      <c r="D5141" t="s">
        <v>880</v>
      </c>
      <c r="E5141" s="2">
        <v>77.98</v>
      </c>
    </row>
    <row r="5142" spans="1:5" x14ac:dyDescent="0.25">
      <c r="A5142" s="1">
        <v>43545</v>
      </c>
      <c r="B5142">
        <v>181900253</v>
      </c>
      <c r="C5142" t="s">
        <v>911</v>
      </c>
      <c r="D5142" t="s">
        <v>880</v>
      </c>
      <c r="E5142" s="2">
        <v>61.12</v>
      </c>
    </row>
    <row r="5143" spans="1:5" x14ac:dyDescent="0.25">
      <c r="A5143" s="1">
        <v>43545</v>
      </c>
      <c r="B5143">
        <v>181900254</v>
      </c>
      <c r="C5143" t="s">
        <v>4157</v>
      </c>
      <c r="D5143" t="s">
        <v>880</v>
      </c>
      <c r="E5143" s="2">
        <v>63.01</v>
      </c>
    </row>
    <row r="5144" spans="1:5" x14ac:dyDescent="0.25">
      <c r="A5144" s="1">
        <v>43545</v>
      </c>
      <c r="B5144">
        <v>181900255</v>
      </c>
      <c r="C5144" t="s">
        <v>4207</v>
      </c>
      <c r="D5144" t="s">
        <v>880</v>
      </c>
      <c r="E5144" s="2">
        <v>100.48</v>
      </c>
    </row>
    <row r="5145" spans="1:5" x14ac:dyDescent="0.25">
      <c r="A5145" s="1">
        <v>43545</v>
      </c>
      <c r="B5145">
        <v>181900256</v>
      </c>
      <c r="C5145" t="s">
        <v>916</v>
      </c>
      <c r="D5145" t="s">
        <v>880</v>
      </c>
      <c r="E5145" s="2">
        <v>58.5</v>
      </c>
    </row>
    <row r="5146" spans="1:5" x14ac:dyDescent="0.25">
      <c r="A5146" s="1">
        <v>43545</v>
      </c>
      <c r="B5146">
        <v>181900257</v>
      </c>
      <c r="C5146" t="s">
        <v>1734</v>
      </c>
      <c r="D5146" t="s">
        <v>880</v>
      </c>
      <c r="E5146" s="2">
        <v>351.48</v>
      </c>
    </row>
    <row r="5147" spans="1:5" x14ac:dyDescent="0.25">
      <c r="A5147" s="1">
        <v>43545</v>
      </c>
      <c r="B5147">
        <v>181900258</v>
      </c>
      <c r="C5147" t="s">
        <v>1067</v>
      </c>
      <c r="D5147" t="s">
        <v>880</v>
      </c>
      <c r="E5147" s="2">
        <v>82</v>
      </c>
    </row>
    <row r="5148" spans="1:5" x14ac:dyDescent="0.25">
      <c r="A5148" s="1">
        <v>43545</v>
      </c>
      <c r="B5148">
        <v>181900259</v>
      </c>
      <c r="C5148" t="s">
        <v>4866</v>
      </c>
      <c r="D5148" t="s">
        <v>880</v>
      </c>
      <c r="E5148" s="2">
        <v>250</v>
      </c>
    </row>
    <row r="5149" spans="1:5" x14ac:dyDescent="0.25">
      <c r="A5149" s="1">
        <v>43545</v>
      </c>
      <c r="B5149">
        <v>181900260</v>
      </c>
      <c r="C5149" t="s">
        <v>4867</v>
      </c>
      <c r="D5149" t="s">
        <v>880</v>
      </c>
      <c r="E5149" s="2">
        <v>108.12</v>
      </c>
    </row>
    <row r="5150" spans="1:5" x14ac:dyDescent="0.25">
      <c r="A5150" s="1">
        <v>43549</v>
      </c>
      <c r="B5150">
        <v>121788</v>
      </c>
      <c r="C5150" t="s">
        <v>1168</v>
      </c>
      <c r="D5150" t="s">
        <v>4579</v>
      </c>
      <c r="E5150" s="2">
        <v>700</v>
      </c>
    </row>
    <row r="5151" spans="1:5" x14ac:dyDescent="0.25">
      <c r="A5151" s="1">
        <v>43549</v>
      </c>
      <c r="B5151">
        <v>121790</v>
      </c>
      <c r="C5151" t="s">
        <v>274</v>
      </c>
      <c r="D5151" t="s">
        <v>4580</v>
      </c>
      <c r="E5151" s="2">
        <v>5459.48</v>
      </c>
    </row>
    <row r="5152" spans="1:5" x14ac:dyDescent="0.25">
      <c r="A5152" s="1">
        <v>43549</v>
      </c>
      <c r="B5152">
        <v>121790</v>
      </c>
      <c r="C5152" t="s">
        <v>274</v>
      </c>
      <c r="D5152" t="s">
        <v>4581</v>
      </c>
      <c r="E5152" s="2">
        <v>778.04</v>
      </c>
    </row>
    <row r="5153" spans="1:5" x14ac:dyDescent="0.25">
      <c r="A5153" s="1">
        <v>43549</v>
      </c>
      <c r="B5153">
        <v>121790</v>
      </c>
      <c r="C5153" t="s">
        <v>274</v>
      </c>
      <c r="D5153" t="s">
        <v>4581</v>
      </c>
      <c r="E5153" s="2">
        <v>778.04</v>
      </c>
    </row>
    <row r="5154" spans="1:5" x14ac:dyDescent="0.25">
      <c r="A5154" s="1">
        <v>43549</v>
      </c>
      <c r="B5154">
        <v>121790</v>
      </c>
      <c r="C5154" t="s">
        <v>274</v>
      </c>
      <c r="D5154" t="s">
        <v>4582</v>
      </c>
      <c r="E5154" s="2">
        <v>386.78</v>
      </c>
    </row>
    <row r="5155" spans="1:5" x14ac:dyDescent="0.25">
      <c r="A5155" s="1">
        <v>43549</v>
      </c>
      <c r="B5155">
        <v>121791</v>
      </c>
      <c r="C5155" t="s">
        <v>2570</v>
      </c>
      <c r="D5155" t="s">
        <v>4583</v>
      </c>
      <c r="E5155" s="2">
        <v>10300</v>
      </c>
    </row>
    <row r="5156" spans="1:5" x14ac:dyDescent="0.25">
      <c r="A5156" s="1">
        <v>43549</v>
      </c>
      <c r="B5156">
        <v>201800175</v>
      </c>
      <c r="C5156" t="s">
        <v>4880</v>
      </c>
      <c r="D5156" t="s">
        <v>4881</v>
      </c>
      <c r="E5156" s="2">
        <v>171.03</v>
      </c>
    </row>
    <row r="5157" spans="1:5" x14ac:dyDescent="0.25">
      <c r="A5157" s="1">
        <v>43549</v>
      </c>
      <c r="B5157">
        <v>201800176</v>
      </c>
      <c r="C5157" t="s">
        <v>4882</v>
      </c>
      <c r="D5157" t="s">
        <v>4881</v>
      </c>
      <c r="E5157" s="2">
        <v>214.5</v>
      </c>
    </row>
    <row r="5158" spans="1:5" x14ac:dyDescent="0.25">
      <c r="A5158" s="1">
        <v>43549</v>
      </c>
      <c r="B5158">
        <v>201800177</v>
      </c>
      <c r="C5158" t="s">
        <v>4883</v>
      </c>
      <c r="D5158" t="s">
        <v>4884</v>
      </c>
      <c r="E5158" s="2">
        <v>90</v>
      </c>
    </row>
    <row r="5159" spans="1:5" x14ac:dyDescent="0.25">
      <c r="A5159" s="1">
        <v>43551</v>
      </c>
      <c r="B5159">
        <v>121792</v>
      </c>
      <c r="C5159" t="s">
        <v>1200</v>
      </c>
      <c r="D5159" t="s">
        <v>4584</v>
      </c>
      <c r="E5159" s="2">
        <v>225.75</v>
      </c>
    </row>
    <row r="5160" spans="1:5" x14ac:dyDescent="0.25">
      <c r="A5160" s="1">
        <v>43551</v>
      </c>
      <c r="B5160">
        <v>121793</v>
      </c>
      <c r="C5160" t="s">
        <v>793</v>
      </c>
      <c r="D5160" t="s">
        <v>4585</v>
      </c>
      <c r="E5160" s="2">
        <v>420</v>
      </c>
    </row>
    <row r="5161" spans="1:5" x14ac:dyDescent="0.25">
      <c r="A5161" s="1">
        <v>43551</v>
      </c>
      <c r="B5161">
        <v>121796</v>
      </c>
      <c r="C5161" t="s">
        <v>189</v>
      </c>
      <c r="D5161" t="s">
        <v>3790</v>
      </c>
      <c r="E5161" s="2">
        <v>50.67</v>
      </c>
    </row>
    <row r="5162" spans="1:5" x14ac:dyDescent="0.25">
      <c r="A5162" s="1">
        <v>43551</v>
      </c>
      <c r="B5162">
        <v>121796</v>
      </c>
      <c r="C5162" t="s">
        <v>189</v>
      </c>
      <c r="D5162" t="s">
        <v>3790</v>
      </c>
      <c r="E5162" s="2">
        <v>18.920000000000002</v>
      </c>
    </row>
    <row r="5163" spans="1:5" x14ac:dyDescent="0.25">
      <c r="A5163" s="1">
        <v>43551</v>
      </c>
      <c r="B5163">
        <v>121796</v>
      </c>
      <c r="C5163" t="s">
        <v>189</v>
      </c>
      <c r="D5163" t="s">
        <v>4586</v>
      </c>
      <c r="E5163" s="2">
        <v>74.87</v>
      </c>
    </row>
    <row r="5164" spans="1:5" x14ac:dyDescent="0.25">
      <c r="A5164" s="1">
        <v>43551</v>
      </c>
      <c r="B5164">
        <v>121796</v>
      </c>
      <c r="C5164" t="s">
        <v>189</v>
      </c>
      <c r="D5164" t="s">
        <v>4587</v>
      </c>
      <c r="E5164" s="2">
        <v>496.9</v>
      </c>
    </row>
    <row r="5165" spans="1:5" x14ac:dyDescent="0.25">
      <c r="A5165" s="1">
        <v>43551</v>
      </c>
      <c r="B5165">
        <v>121796</v>
      </c>
      <c r="C5165" t="s">
        <v>189</v>
      </c>
      <c r="D5165" t="s">
        <v>4588</v>
      </c>
      <c r="E5165" s="2">
        <v>56.77</v>
      </c>
    </row>
    <row r="5166" spans="1:5" x14ac:dyDescent="0.25">
      <c r="A5166" s="1">
        <v>43551</v>
      </c>
      <c r="B5166">
        <v>121796</v>
      </c>
      <c r="C5166" t="s">
        <v>189</v>
      </c>
      <c r="D5166" t="s">
        <v>4589</v>
      </c>
      <c r="E5166" s="2">
        <v>29.95</v>
      </c>
    </row>
    <row r="5167" spans="1:5" x14ac:dyDescent="0.25">
      <c r="A5167" s="1">
        <v>43551</v>
      </c>
      <c r="B5167">
        <v>121796</v>
      </c>
      <c r="C5167" t="s">
        <v>189</v>
      </c>
      <c r="D5167" t="s">
        <v>4590</v>
      </c>
      <c r="E5167" s="2">
        <f>29.99+405.42+144+733.16+18.43+43.1+39.84</f>
        <v>1413.94</v>
      </c>
    </row>
    <row r="5168" spans="1:5" x14ac:dyDescent="0.25">
      <c r="A5168" s="1">
        <v>43551</v>
      </c>
      <c r="B5168">
        <v>121796</v>
      </c>
      <c r="C5168" t="s">
        <v>189</v>
      </c>
      <c r="D5168" t="s">
        <v>4591</v>
      </c>
      <c r="E5168" s="2">
        <v>126</v>
      </c>
    </row>
    <row r="5169" spans="1:5" x14ac:dyDescent="0.25">
      <c r="A5169" s="1">
        <v>43551</v>
      </c>
      <c r="B5169">
        <v>121796</v>
      </c>
      <c r="C5169" t="s">
        <v>189</v>
      </c>
      <c r="D5169" t="s">
        <v>2576</v>
      </c>
      <c r="E5169" s="2">
        <v>733.16</v>
      </c>
    </row>
    <row r="5170" spans="1:5" x14ac:dyDescent="0.25">
      <c r="A5170" s="1">
        <v>43551</v>
      </c>
      <c r="B5170">
        <v>121796</v>
      </c>
      <c r="C5170" t="s">
        <v>189</v>
      </c>
      <c r="D5170" t="s">
        <v>2459</v>
      </c>
      <c r="E5170" s="2">
        <v>16.510000000000002</v>
      </c>
    </row>
    <row r="5171" spans="1:5" x14ac:dyDescent="0.25">
      <c r="A5171" s="1">
        <v>43551</v>
      </c>
      <c r="B5171">
        <v>121796</v>
      </c>
      <c r="C5171" t="s">
        <v>189</v>
      </c>
      <c r="D5171" t="s">
        <v>2459</v>
      </c>
      <c r="E5171" s="2">
        <v>10.98</v>
      </c>
    </row>
    <row r="5172" spans="1:5" x14ac:dyDescent="0.25">
      <c r="A5172" s="1">
        <v>43551</v>
      </c>
      <c r="B5172">
        <v>121797</v>
      </c>
      <c r="C5172" t="s">
        <v>4592</v>
      </c>
      <c r="D5172" t="s">
        <v>4593</v>
      </c>
      <c r="E5172" s="2">
        <v>15</v>
      </c>
    </row>
    <row r="5173" spans="1:5" x14ac:dyDescent="0.25">
      <c r="A5173" s="1">
        <v>43551</v>
      </c>
      <c r="B5173">
        <v>121798</v>
      </c>
      <c r="C5173" t="s">
        <v>4594</v>
      </c>
      <c r="D5173" t="s">
        <v>4595</v>
      </c>
      <c r="E5173" s="2">
        <v>2000</v>
      </c>
    </row>
    <row r="5174" spans="1:5" x14ac:dyDescent="0.25">
      <c r="A5174" s="1">
        <v>43551</v>
      </c>
      <c r="B5174">
        <v>121800</v>
      </c>
      <c r="C5174" t="s">
        <v>67</v>
      </c>
      <c r="D5174" t="s">
        <v>4596</v>
      </c>
      <c r="E5174" s="2">
        <v>513.6</v>
      </c>
    </row>
    <row r="5175" spans="1:5" x14ac:dyDescent="0.25">
      <c r="A5175" s="1">
        <v>43551</v>
      </c>
      <c r="B5175">
        <v>121800</v>
      </c>
      <c r="C5175" t="s">
        <v>67</v>
      </c>
      <c r="D5175" t="s">
        <v>4597</v>
      </c>
      <c r="E5175" s="2">
        <v>898.26</v>
      </c>
    </row>
    <row r="5176" spans="1:5" x14ac:dyDescent="0.25">
      <c r="A5176" s="1">
        <v>43551</v>
      </c>
      <c r="B5176">
        <v>121800</v>
      </c>
      <c r="C5176" t="s">
        <v>67</v>
      </c>
      <c r="D5176" t="s">
        <v>4598</v>
      </c>
      <c r="E5176" s="2">
        <v>431.04</v>
      </c>
    </row>
    <row r="5177" spans="1:5" x14ac:dyDescent="0.25">
      <c r="A5177" s="1">
        <v>43551</v>
      </c>
      <c r="B5177">
        <v>121800</v>
      </c>
      <c r="C5177" t="s">
        <v>67</v>
      </c>
      <c r="D5177" t="s">
        <v>4599</v>
      </c>
      <c r="E5177" s="2">
        <v>1626.4</v>
      </c>
    </row>
    <row r="5178" spans="1:5" x14ac:dyDescent="0.25">
      <c r="A5178" s="1">
        <v>43551</v>
      </c>
      <c r="B5178">
        <v>121800</v>
      </c>
      <c r="C5178" t="s">
        <v>67</v>
      </c>
      <c r="D5178" t="s">
        <v>4600</v>
      </c>
      <c r="E5178" s="2">
        <v>375.75</v>
      </c>
    </row>
    <row r="5179" spans="1:5" x14ac:dyDescent="0.25">
      <c r="A5179" s="1">
        <v>43551</v>
      </c>
      <c r="B5179">
        <v>121800</v>
      </c>
      <c r="C5179" t="s">
        <v>67</v>
      </c>
      <c r="D5179" t="s">
        <v>4601</v>
      </c>
      <c r="E5179" s="2">
        <v>385.2</v>
      </c>
    </row>
    <row r="5180" spans="1:5" x14ac:dyDescent="0.25">
      <c r="A5180" s="1">
        <v>43551</v>
      </c>
      <c r="B5180">
        <v>121800</v>
      </c>
      <c r="C5180" t="s">
        <v>67</v>
      </c>
      <c r="D5180" t="s">
        <v>4602</v>
      </c>
      <c r="E5180" s="2">
        <v>1760</v>
      </c>
    </row>
    <row r="5181" spans="1:5" x14ac:dyDescent="0.25">
      <c r="A5181" s="1">
        <v>43551</v>
      </c>
      <c r="B5181">
        <v>121801</v>
      </c>
      <c r="C5181" t="s">
        <v>4603</v>
      </c>
      <c r="D5181" t="s">
        <v>4604</v>
      </c>
      <c r="E5181" s="2">
        <v>3237.8</v>
      </c>
    </row>
    <row r="5182" spans="1:5" x14ac:dyDescent="0.25">
      <c r="A5182" s="1">
        <v>43551</v>
      </c>
      <c r="B5182">
        <v>121802</v>
      </c>
      <c r="C5182" t="s">
        <v>405</v>
      </c>
      <c r="D5182" t="s">
        <v>4605</v>
      </c>
      <c r="E5182" s="2">
        <v>308.85000000000002</v>
      </c>
    </row>
    <row r="5183" spans="1:5" x14ac:dyDescent="0.25">
      <c r="A5183" s="1">
        <v>43551</v>
      </c>
      <c r="B5183">
        <v>121803</v>
      </c>
      <c r="C5183" t="s">
        <v>7</v>
      </c>
      <c r="D5183" t="s">
        <v>4606</v>
      </c>
      <c r="E5183" s="2">
        <v>22.04</v>
      </c>
    </row>
    <row r="5184" spans="1:5" x14ac:dyDescent="0.25">
      <c r="A5184" s="1">
        <v>43551</v>
      </c>
      <c r="B5184">
        <v>121804</v>
      </c>
      <c r="C5184" t="s">
        <v>1436</v>
      </c>
      <c r="D5184" t="s">
        <v>4607</v>
      </c>
      <c r="E5184" s="2">
        <v>80</v>
      </c>
    </row>
    <row r="5185" spans="1:5" x14ac:dyDescent="0.25">
      <c r="A5185" s="1">
        <v>43551</v>
      </c>
      <c r="B5185">
        <v>121805</v>
      </c>
      <c r="C5185" t="s">
        <v>1324</v>
      </c>
      <c r="D5185" t="s">
        <v>4608</v>
      </c>
      <c r="E5185" s="2">
        <v>64</v>
      </c>
    </row>
    <row r="5186" spans="1:5" x14ac:dyDescent="0.25">
      <c r="A5186" s="1">
        <v>43551</v>
      </c>
      <c r="B5186">
        <v>121806</v>
      </c>
      <c r="C5186" t="s">
        <v>4609</v>
      </c>
      <c r="D5186" t="s">
        <v>4610</v>
      </c>
      <c r="E5186" s="2">
        <v>2450</v>
      </c>
    </row>
    <row r="5187" spans="1:5" x14ac:dyDescent="0.25">
      <c r="A5187" s="1">
        <v>43551</v>
      </c>
      <c r="B5187">
        <v>121807</v>
      </c>
      <c r="C5187" t="s">
        <v>4611</v>
      </c>
      <c r="D5187" t="s">
        <v>4612</v>
      </c>
      <c r="E5187" s="2">
        <v>4962.3999999999996</v>
      </c>
    </row>
    <row r="5188" spans="1:5" x14ac:dyDescent="0.25">
      <c r="A5188" s="1">
        <v>43551</v>
      </c>
      <c r="B5188">
        <v>121808</v>
      </c>
      <c r="C5188" t="s">
        <v>4613</v>
      </c>
      <c r="D5188" t="s">
        <v>3352</v>
      </c>
      <c r="E5188" s="2">
        <v>90</v>
      </c>
    </row>
    <row r="5189" spans="1:5" x14ac:dyDescent="0.25">
      <c r="A5189" s="1">
        <v>43551</v>
      </c>
      <c r="B5189">
        <v>121809</v>
      </c>
      <c r="C5189" t="s">
        <v>123</v>
      </c>
      <c r="D5189" t="s">
        <v>4614</v>
      </c>
      <c r="E5189" s="2">
        <v>81.680000000000007</v>
      </c>
    </row>
    <row r="5190" spans="1:5" x14ac:dyDescent="0.25">
      <c r="A5190" s="1">
        <v>43551</v>
      </c>
      <c r="B5190">
        <v>121809</v>
      </c>
      <c r="C5190" t="s">
        <v>123</v>
      </c>
      <c r="D5190" t="s">
        <v>4614</v>
      </c>
      <c r="E5190" s="2">
        <v>142.94</v>
      </c>
    </row>
    <row r="5191" spans="1:5" x14ac:dyDescent="0.25">
      <c r="A5191" s="1">
        <v>43551</v>
      </c>
      <c r="B5191">
        <v>121810</v>
      </c>
      <c r="C5191" t="s">
        <v>4615</v>
      </c>
      <c r="D5191" t="s">
        <v>3352</v>
      </c>
      <c r="E5191" s="2">
        <v>90</v>
      </c>
    </row>
    <row r="5192" spans="1:5" x14ac:dyDescent="0.25">
      <c r="A5192" s="1">
        <v>43551</v>
      </c>
      <c r="B5192">
        <v>121811</v>
      </c>
      <c r="C5192" t="s">
        <v>4616</v>
      </c>
      <c r="D5192" t="s">
        <v>4617</v>
      </c>
      <c r="E5192" s="2">
        <v>90</v>
      </c>
    </row>
    <row r="5193" spans="1:5" x14ac:dyDescent="0.25">
      <c r="A5193" s="1">
        <v>43551</v>
      </c>
      <c r="B5193">
        <v>121812</v>
      </c>
      <c r="C5193" t="s">
        <v>4618</v>
      </c>
      <c r="D5193" t="s">
        <v>4619</v>
      </c>
      <c r="E5193" s="2">
        <v>345.4</v>
      </c>
    </row>
    <row r="5194" spans="1:5" x14ac:dyDescent="0.25">
      <c r="A5194" s="1">
        <v>43551</v>
      </c>
      <c r="B5194">
        <v>121813</v>
      </c>
      <c r="C5194" t="s">
        <v>74</v>
      </c>
      <c r="D5194" t="s">
        <v>4620</v>
      </c>
      <c r="E5194" s="2">
        <v>62.96</v>
      </c>
    </row>
    <row r="5195" spans="1:5" x14ac:dyDescent="0.25">
      <c r="A5195" s="1">
        <v>43551</v>
      </c>
      <c r="B5195">
        <v>121814</v>
      </c>
      <c r="C5195" t="s">
        <v>4621</v>
      </c>
      <c r="D5195" t="s">
        <v>4622</v>
      </c>
      <c r="E5195" s="2">
        <v>593.20000000000005</v>
      </c>
    </row>
    <row r="5196" spans="1:5" x14ac:dyDescent="0.25">
      <c r="A5196" s="1">
        <v>43551</v>
      </c>
      <c r="B5196">
        <v>121815</v>
      </c>
      <c r="C5196" t="s">
        <v>205</v>
      </c>
      <c r="D5196" t="s">
        <v>4623</v>
      </c>
      <c r="E5196" s="2">
        <v>97</v>
      </c>
    </row>
    <row r="5197" spans="1:5" x14ac:dyDescent="0.25">
      <c r="A5197" s="1">
        <v>43551</v>
      </c>
      <c r="B5197">
        <v>121815</v>
      </c>
      <c r="C5197" t="s">
        <v>205</v>
      </c>
      <c r="D5197" t="s">
        <v>4624</v>
      </c>
      <c r="E5197" s="2">
        <v>1165</v>
      </c>
    </row>
    <row r="5198" spans="1:5" x14ac:dyDescent="0.25">
      <c r="A5198" s="1">
        <v>43551</v>
      </c>
      <c r="B5198">
        <v>121816</v>
      </c>
      <c r="C5198" t="s">
        <v>77</v>
      </c>
      <c r="D5198" t="s">
        <v>4625</v>
      </c>
      <c r="E5198" s="2">
        <v>15</v>
      </c>
    </row>
    <row r="5199" spans="1:5" x14ac:dyDescent="0.25">
      <c r="A5199" s="1">
        <v>43551</v>
      </c>
      <c r="B5199">
        <v>121817</v>
      </c>
      <c r="C5199" t="s">
        <v>77</v>
      </c>
      <c r="D5199" t="s">
        <v>973</v>
      </c>
      <c r="E5199" s="2">
        <v>48.22</v>
      </c>
    </row>
    <row r="5200" spans="1:5" x14ac:dyDescent="0.25">
      <c r="A5200" s="1">
        <v>43551</v>
      </c>
      <c r="B5200">
        <v>121818</v>
      </c>
      <c r="C5200" t="s">
        <v>296</v>
      </c>
      <c r="D5200" t="s">
        <v>4626</v>
      </c>
      <c r="E5200" s="2">
        <v>185.95</v>
      </c>
    </row>
    <row r="5201" spans="1:5" x14ac:dyDescent="0.25">
      <c r="A5201" s="1">
        <v>43551</v>
      </c>
      <c r="B5201">
        <v>121819</v>
      </c>
      <c r="C5201" t="s">
        <v>1108</v>
      </c>
      <c r="D5201" t="s">
        <v>4627</v>
      </c>
      <c r="E5201" s="2">
        <v>4648</v>
      </c>
    </row>
    <row r="5202" spans="1:5" x14ac:dyDescent="0.25">
      <c r="A5202" s="1">
        <v>43551</v>
      </c>
      <c r="B5202">
        <v>121820</v>
      </c>
      <c r="C5202" t="s">
        <v>4628</v>
      </c>
      <c r="D5202" t="s">
        <v>4629</v>
      </c>
      <c r="E5202" s="2">
        <f>495*3</f>
        <v>1485</v>
      </c>
    </row>
    <row r="5203" spans="1:5" x14ac:dyDescent="0.25">
      <c r="A5203" s="1">
        <v>43551</v>
      </c>
      <c r="B5203">
        <v>121825</v>
      </c>
      <c r="C5203" t="s">
        <v>631</v>
      </c>
      <c r="D5203" t="s">
        <v>4630</v>
      </c>
      <c r="E5203" s="2">
        <v>174.6</v>
      </c>
    </row>
    <row r="5204" spans="1:5" x14ac:dyDescent="0.25">
      <c r="A5204" s="1">
        <v>43551</v>
      </c>
      <c r="B5204">
        <v>121825</v>
      </c>
      <c r="C5204" t="s">
        <v>631</v>
      </c>
      <c r="D5204" t="s">
        <v>4631</v>
      </c>
      <c r="E5204" s="2">
        <v>249.81</v>
      </c>
    </row>
    <row r="5205" spans="1:5" x14ac:dyDescent="0.25">
      <c r="A5205" s="1">
        <v>43551</v>
      </c>
      <c r="B5205">
        <v>121825</v>
      </c>
      <c r="C5205" t="s">
        <v>631</v>
      </c>
      <c r="D5205" t="s">
        <v>4632</v>
      </c>
      <c r="E5205" s="2">
        <v>74.48</v>
      </c>
    </row>
    <row r="5206" spans="1:5" x14ac:dyDescent="0.25">
      <c r="A5206" s="1">
        <v>43551</v>
      </c>
      <c r="B5206">
        <v>121825</v>
      </c>
      <c r="C5206" t="s">
        <v>631</v>
      </c>
      <c r="D5206" t="s">
        <v>4633</v>
      </c>
      <c r="E5206" s="2">
        <v>825.98</v>
      </c>
    </row>
    <row r="5207" spans="1:5" x14ac:dyDescent="0.25">
      <c r="A5207" s="1">
        <v>43551</v>
      </c>
      <c r="B5207">
        <v>121825</v>
      </c>
      <c r="C5207" t="s">
        <v>631</v>
      </c>
      <c r="D5207" t="s">
        <v>4634</v>
      </c>
      <c r="E5207" s="2">
        <v>743.3</v>
      </c>
    </row>
    <row r="5208" spans="1:5" x14ac:dyDescent="0.25">
      <c r="A5208" s="1">
        <v>43551</v>
      </c>
      <c r="B5208">
        <v>121825</v>
      </c>
      <c r="C5208" t="s">
        <v>631</v>
      </c>
      <c r="D5208" t="s">
        <v>4635</v>
      </c>
      <c r="E5208" s="2">
        <v>22.86</v>
      </c>
    </row>
    <row r="5209" spans="1:5" x14ac:dyDescent="0.25">
      <c r="A5209" s="1">
        <v>43551</v>
      </c>
      <c r="B5209">
        <v>121825</v>
      </c>
      <c r="C5209" t="s">
        <v>631</v>
      </c>
      <c r="D5209" t="s">
        <v>4636</v>
      </c>
      <c r="E5209" s="2">
        <v>681.4</v>
      </c>
    </row>
    <row r="5210" spans="1:5" x14ac:dyDescent="0.25">
      <c r="A5210" s="1">
        <v>43551</v>
      </c>
      <c r="B5210">
        <v>121825</v>
      </c>
      <c r="C5210" t="s">
        <v>631</v>
      </c>
      <c r="D5210" t="s">
        <v>4637</v>
      </c>
      <c r="E5210" s="2">
        <v>111.76</v>
      </c>
    </row>
    <row r="5211" spans="1:5" x14ac:dyDescent="0.25">
      <c r="A5211" s="1">
        <v>43551</v>
      </c>
      <c r="B5211">
        <v>121825</v>
      </c>
      <c r="C5211" t="s">
        <v>631</v>
      </c>
      <c r="D5211" t="s">
        <v>4638</v>
      </c>
      <c r="E5211" s="2">
        <v>129.56</v>
      </c>
    </row>
    <row r="5212" spans="1:5" x14ac:dyDescent="0.25">
      <c r="A5212" s="1">
        <v>43551</v>
      </c>
      <c r="B5212">
        <v>121825</v>
      </c>
      <c r="C5212" t="s">
        <v>631</v>
      </c>
      <c r="D5212" t="s">
        <v>4639</v>
      </c>
      <c r="E5212" s="2">
        <v>160.13999999999999</v>
      </c>
    </row>
    <row r="5213" spans="1:5" x14ac:dyDescent="0.25">
      <c r="A5213" s="1">
        <v>43551</v>
      </c>
      <c r="B5213">
        <v>121825</v>
      </c>
      <c r="C5213" t="s">
        <v>631</v>
      </c>
      <c r="D5213" t="s">
        <v>4640</v>
      </c>
      <c r="E5213" s="2">
        <v>181.18</v>
      </c>
    </row>
    <row r="5214" spans="1:5" x14ac:dyDescent="0.25">
      <c r="A5214" s="1">
        <v>43551</v>
      </c>
      <c r="B5214">
        <v>121825</v>
      </c>
      <c r="C5214" t="s">
        <v>631</v>
      </c>
      <c r="D5214" t="s">
        <v>4641</v>
      </c>
      <c r="E5214" s="2">
        <v>125.92</v>
      </c>
    </row>
    <row r="5215" spans="1:5" x14ac:dyDescent="0.25">
      <c r="A5215" s="1">
        <v>43551</v>
      </c>
      <c r="B5215">
        <v>121825</v>
      </c>
      <c r="C5215" t="s">
        <v>631</v>
      </c>
      <c r="D5215" t="s">
        <v>4642</v>
      </c>
      <c r="E5215" s="2">
        <v>86.36</v>
      </c>
    </row>
    <row r="5216" spans="1:5" x14ac:dyDescent="0.25">
      <c r="A5216" s="1">
        <v>43551</v>
      </c>
      <c r="B5216">
        <v>121825</v>
      </c>
      <c r="C5216" t="s">
        <v>631</v>
      </c>
      <c r="D5216" t="s">
        <v>4643</v>
      </c>
      <c r="E5216" s="2">
        <v>189.62</v>
      </c>
    </row>
    <row r="5217" spans="1:5" x14ac:dyDescent="0.25">
      <c r="A5217" s="1">
        <v>43551</v>
      </c>
      <c r="B5217">
        <v>121825</v>
      </c>
      <c r="C5217" t="s">
        <v>631</v>
      </c>
      <c r="D5217" t="s">
        <v>4644</v>
      </c>
      <c r="E5217" s="2">
        <v>74.86</v>
      </c>
    </row>
    <row r="5218" spans="1:5" x14ac:dyDescent="0.25">
      <c r="A5218" s="1">
        <v>43551</v>
      </c>
      <c r="B5218">
        <v>121825</v>
      </c>
      <c r="C5218" t="s">
        <v>631</v>
      </c>
      <c r="D5218" t="s">
        <v>4645</v>
      </c>
      <c r="E5218" s="2">
        <v>199.2</v>
      </c>
    </row>
    <row r="5219" spans="1:5" x14ac:dyDescent="0.25">
      <c r="A5219" s="1">
        <v>43551</v>
      </c>
      <c r="B5219">
        <v>121825</v>
      </c>
      <c r="C5219" t="s">
        <v>631</v>
      </c>
      <c r="D5219" t="s">
        <v>2459</v>
      </c>
      <c r="E5219" s="2">
        <v>71.040000000000006</v>
      </c>
    </row>
    <row r="5220" spans="1:5" x14ac:dyDescent="0.25">
      <c r="A5220" s="1">
        <v>43551</v>
      </c>
      <c r="B5220">
        <v>121825</v>
      </c>
      <c r="C5220" t="s">
        <v>631</v>
      </c>
      <c r="D5220" t="s">
        <v>4646</v>
      </c>
      <c r="E5220" s="2">
        <v>440.18</v>
      </c>
    </row>
    <row r="5221" spans="1:5" x14ac:dyDescent="0.25">
      <c r="A5221" s="1">
        <v>43551</v>
      </c>
      <c r="B5221">
        <v>121825</v>
      </c>
      <c r="C5221" t="s">
        <v>631</v>
      </c>
      <c r="D5221" t="s">
        <v>4647</v>
      </c>
      <c r="E5221" s="2">
        <v>127.6</v>
      </c>
    </row>
    <row r="5222" spans="1:5" x14ac:dyDescent="0.25">
      <c r="A5222" s="1">
        <v>43551</v>
      </c>
      <c r="B5222">
        <v>121826</v>
      </c>
      <c r="C5222" t="s">
        <v>4648</v>
      </c>
      <c r="D5222" t="s">
        <v>4649</v>
      </c>
      <c r="E5222" s="2">
        <v>1140</v>
      </c>
    </row>
    <row r="5223" spans="1:5" x14ac:dyDescent="0.25">
      <c r="A5223" s="1">
        <v>43551</v>
      </c>
      <c r="B5223">
        <v>121827</v>
      </c>
      <c r="C5223" t="s">
        <v>639</v>
      </c>
      <c r="D5223" t="s">
        <v>4650</v>
      </c>
      <c r="E5223" s="2">
        <v>723.32</v>
      </c>
    </row>
    <row r="5224" spans="1:5" x14ac:dyDescent="0.25">
      <c r="A5224" s="1">
        <v>43551</v>
      </c>
      <c r="B5224">
        <v>121828</v>
      </c>
      <c r="C5224" t="s">
        <v>1359</v>
      </c>
      <c r="D5224" t="s">
        <v>4651</v>
      </c>
      <c r="E5224" s="2">
        <v>79.8</v>
      </c>
    </row>
    <row r="5225" spans="1:5" x14ac:dyDescent="0.25">
      <c r="A5225" s="1">
        <v>43551</v>
      </c>
      <c r="B5225">
        <v>121829</v>
      </c>
      <c r="C5225" t="s">
        <v>2248</v>
      </c>
      <c r="D5225" t="s">
        <v>4652</v>
      </c>
      <c r="E5225" s="2">
        <v>1293.9000000000001</v>
      </c>
    </row>
    <row r="5226" spans="1:5" x14ac:dyDescent="0.25">
      <c r="A5226" s="1">
        <v>43551</v>
      </c>
      <c r="B5226">
        <v>121830</v>
      </c>
      <c r="C5226" t="s">
        <v>94</v>
      </c>
      <c r="D5226" t="s">
        <v>3250</v>
      </c>
      <c r="E5226" s="2">
        <v>792.76</v>
      </c>
    </row>
    <row r="5227" spans="1:5" x14ac:dyDescent="0.25">
      <c r="A5227" s="1">
        <v>43551</v>
      </c>
      <c r="B5227">
        <v>121831</v>
      </c>
      <c r="C5227" t="s">
        <v>19</v>
      </c>
      <c r="D5227" t="s">
        <v>4653</v>
      </c>
      <c r="E5227" s="2">
        <v>1299</v>
      </c>
    </row>
    <row r="5228" spans="1:5" x14ac:dyDescent="0.25">
      <c r="A5228" s="1">
        <v>43551</v>
      </c>
      <c r="B5228">
        <v>121831</v>
      </c>
      <c r="C5228" t="s">
        <v>19</v>
      </c>
      <c r="D5228" t="s">
        <v>4654</v>
      </c>
      <c r="E5228" s="2">
        <v>294.5</v>
      </c>
    </row>
    <row r="5229" spans="1:5" x14ac:dyDescent="0.25">
      <c r="A5229" s="1">
        <v>43551</v>
      </c>
      <c r="B5229">
        <v>121832</v>
      </c>
      <c r="C5229" t="s">
        <v>4603</v>
      </c>
      <c r="D5229" t="s">
        <v>4655</v>
      </c>
      <c r="E5229" s="2">
        <v>2401.4</v>
      </c>
    </row>
    <row r="5230" spans="1:5" x14ac:dyDescent="0.25">
      <c r="A5230" s="1">
        <v>43551</v>
      </c>
      <c r="B5230">
        <v>121833</v>
      </c>
      <c r="C5230" t="s">
        <v>222</v>
      </c>
      <c r="D5230" t="s">
        <v>4656</v>
      </c>
      <c r="E5230" s="2">
        <v>369.75</v>
      </c>
    </row>
    <row r="5231" spans="1:5" x14ac:dyDescent="0.25">
      <c r="A5231" s="1">
        <v>43551</v>
      </c>
      <c r="B5231">
        <v>181900275</v>
      </c>
      <c r="C5231" t="s">
        <v>394</v>
      </c>
      <c r="D5231" t="s">
        <v>4868</v>
      </c>
      <c r="E5231" s="2">
        <v>900</v>
      </c>
    </row>
    <row r="5232" spans="1:5" x14ac:dyDescent="0.25">
      <c r="A5232" s="1">
        <v>43552</v>
      </c>
      <c r="B5232">
        <v>121834</v>
      </c>
      <c r="C5232" t="s">
        <v>2278</v>
      </c>
      <c r="D5232" t="s">
        <v>4657</v>
      </c>
      <c r="E5232" s="2">
        <v>139.88999999999999</v>
      </c>
    </row>
    <row r="5233" spans="1:5" x14ac:dyDescent="0.25">
      <c r="A5233" s="1">
        <v>43552</v>
      </c>
      <c r="B5233">
        <v>121835</v>
      </c>
      <c r="C5233" t="s">
        <v>64</v>
      </c>
      <c r="D5233" t="s">
        <v>4658</v>
      </c>
      <c r="E5233" s="2">
        <v>275</v>
      </c>
    </row>
    <row r="5234" spans="1:5" x14ac:dyDescent="0.25">
      <c r="A5234" s="1">
        <v>43552</v>
      </c>
      <c r="B5234">
        <v>121835</v>
      </c>
      <c r="C5234" t="s">
        <v>64</v>
      </c>
      <c r="D5234" t="s">
        <v>4659</v>
      </c>
      <c r="E5234" s="2">
        <v>1748</v>
      </c>
    </row>
    <row r="5235" spans="1:5" x14ac:dyDescent="0.25">
      <c r="A5235" s="1">
        <v>43552</v>
      </c>
      <c r="B5235">
        <v>121836</v>
      </c>
      <c r="C5235" t="s">
        <v>226</v>
      </c>
      <c r="D5235" t="s">
        <v>4660</v>
      </c>
      <c r="E5235" s="2">
        <v>154.19999999999999</v>
      </c>
    </row>
    <row r="5236" spans="1:5" x14ac:dyDescent="0.25">
      <c r="A5236" s="1">
        <v>43552</v>
      </c>
      <c r="B5236">
        <v>121836</v>
      </c>
      <c r="C5236" t="s">
        <v>226</v>
      </c>
      <c r="D5236" t="s">
        <v>4661</v>
      </c>
      <c r="E5236" s="2">
        <v>316.2</v>
      </c>
    </row>
    <row r="5237" spans="1:5" x14ac:dyDescent="0.25">
      <c r="A5237" s="1">
        <v>43552</v>
      </c>
      <c r="B5237">
        <v>121837</v>
      </c>
      <c r="C5237" t="s">
        <v>4662</v>
      </c>
      <c r="D5237" t="s">
        <v>4663</v>
      </c>
      <c r="E5237" s="2">
        <v>975</v>
      </c>
    </row>
    <row r="5238" spans="1:5" x14ac:dyDescent="0.25">
      <c r="A5238" s="1">
        <v>43552</v>
      </c>
      <c r="B5238">
        <v>121838</v>
      </c>
      <c r="C5238" t="s">
        <v>4664</v>
      </c>
      <c r="D5238" t="s">
        <v>4665</v>
      </c>
      <c r="E5238" s="2">
        <v>100</v>
      </c>
    </row>
    <row r="5239" spans="1:5" x14ac:dyDescent="0.25">
      <c r="A5239" s="1">
        <v>43552</v>
      </c>
      <c r="B5239">
        <v>121858</v>
      </c>
      <c r="C5239" t="s">
        <v>189</v>
      </c>
      <c r="D5239" t="s">
        <v>4666</v>
      </c>
      <c r="E5239" s="2">
        <f>49.96+27+59.98</f>
        <v>136.94</v>
      </c>
    </row>
    <row r="5240" spans="1:5" x14ac:dyDescent="0.25">
      <c r="A5240" s="1">
        <v>43552</v>
      </c>
      <c r="B5240">
        <v>121858</v>
      </c>
      <c r="C5240" t="s">
        <v>189</v>
      </c>
      <c r="D5240" t="s">
        <v>2334</v>
      </c>
      <c r="E5240" s="2">
        <f>30.42+14.98+268.6</f>
        <v>314</v>
      </c>
    </row>
    <row r="5241" spans="1:5" x14ac:dyDescent="0.25">
      <c r="A5241" s="1">
        <v>43552</v>
      </c>
      <c r="B5241">
        <v>121858</v>
      </c>
      <c r="C5241" t="s">
        <v>189</v>
      </c>
      <c r="D5241" t="s">
        <v>4667</v>
      </c>
      <c r="E5241" s="2">
        <v>59.98</v>
      </c>
    </row>
    <row r="5242" spans="1:5" x14ac:dyDescent="0.25">
      <c r="A5242" s="1">
        <v>43552</v>
      </c>
      <c r="B5242">
        <v>121858</v>
      </c>
      <c r="C5242" t="s">
        <v>189</v>
      </c>
      <c r="D5242" t="s">
        <v>4668</v>
      </c>
      <c r="E5242" s="2">
        <v>59.4</v>
      </c>
    </row>
    <row r="5243" spans="1:5" x14ac:dyDescent="0.25">
      <c r="A5243" s="1">
        <v>43552</v>
      </c>
      <c r="B5243">
        <v>121858</v>
      </c>
      <c r="C5243" t="s">
        <v>189</v>
      </c>
      <c r="D5243" t="s">
        <v>2318</v>
      </c>
      <c r="E5243" s="2">
        <f>8.97+36.76+24.96</f>
        <v>70.69</v>
      </c>
    </row>
    <row r="5244" spans="1:5" x14ac:dyDescent="0.25">
      <c r="A5244" s="1">
        <v>43552</v>
      </c>
      <c r="B5244">
        <v>121858</v>
      </c>
      <c r="C5244" t="s">
        <v>189</v>
      </c>
      <c r="D5244" t="s">
        <v>4669</v>
      </c>
      <c r="E5244" s="2">
        <v>54.55</v>
      </c>
    </row>
    <row r="5245" spans="1:5" x14ac:dyDescent="0.25">
      <c r="A5245" s="1">
        <v>43552</v>
      </c>
      <c r="B5245">
        <v>121858</v>
      </c>
      <c r="C5245" t="s">
        <v>189</v>
      </c>
      <c r="D5245" t="s">
        <v>4670</v>
      </c>
      <c r="E5245" s="2">
        <v>160.82</v>
      </c>
    </row>
    <row r="5246" spans="1:5" x14ac:dyDescent="0.25">
      <c r="A5246" s="1">
        <v>43552</v>
      </c>
      <c r="B5246">
        <v>121858</v>
      </c>
      <c r="C5246" t="s">
        <v>189</v>
      </c>
      <c r="D5246" t="s">
        <v>415</v>
      </c>
      <c r="E5246" s="2">
        <v>114.91</v>
      </c>
    </row>
    <row r="5247" spans="1:5" x14ac:dyDescent="0.25">
      <c r="A5247" s="1">
        <v>43552</v>
      </c>
      <c r="B5247">
        <v>121858</v>
      </c>
      <c r="C5247" t="s">
        <v>189</v>
      </c>
      <c r="D5247" t="s">
        <v>4671</v>
      </c>
      <c r="E5247" s="2">
        <v>38.97</v>
      </c>
    </row>
    <row r="5248" spans="1:5" x14ac:dyDescent="0.25">
      <c r="A5248" s="1">
        <v>43552</v>
      </c>
      <c r="B5248">
        <v>121858</v>
      </c>
      <c r="C5248" t="s">
        <v>189</v>
      </c>
      <c r="D5248" t="s">
        <v>4671</v>
      </c>
      <c r="E5248" s="2">
        <v>9.9</v>
      </c>
    </row>
    <row r="5249" spans="1:5" x14ac:dyDescent="0.25">
      <c r="A5249" s="1">
        <v>43552</v>
      </c>
      <c r="B5249">
        <v>121858</v>
      </c>
      <c r="C5249" t="s">
        <v>189</v>
      </c>
      <c r="D5249" t="s">
        <v>4672</v>
      </c>
      <c r="E5249" s="2">
        <v>64.819999999999993</v>
      </c>
    </row>
    <row r="5250" spans="1:5" x14ac:dyDescent="0.25">
      <c r="A5250" s="1">
        <v>43552</v>
      </c>
      <c r="B5250">
        <v>121858</v>
      </c>
      <c r="C5250" t="s">
        <v>189</v>
      </c>
      <c r="D5250" t="s">
        <v>4673</v>
      </c>
      <c r="E5250" s="2">
        <v>100.08</v>
      </c>
    </row>
    <row r="5251" spans="1:5" x14ac:dyDescent="0.25">
      <c r="A5251" s="1">
        <v>43552</v>
      </c>
      <c r="B5251">
        <v>121858</v>
      </c>
      <c r="C5251" t="s">
        <v>189</v>
      </c>
      <c r="D5251" t="s">
        <v>4674</v>
      </c>
      <c r="E5251" s="2">
        <f>113.18+72+10.5+380.19</f>
        <v>575.87</v>
      </c>
    </row>
    <row r="5252" spans="1:5" x14ac:dyDescent="0.25">
      <c r="A5252" s="1">
        <v>43552</v>
      </c>
      <c r="B5252">
        <v>121858</v>
      </c>
      <c r="C5252" t="s">
        <v>189</v>
      </c>
      <c r="D5252" t="s">
        <v>4675</v>
      </c>
      <c r="E5252" s="2">
        <v>99</v>
      </c>
    </row>
    <row r="5253" spans="1:5" x14ac:dyDescent="0.25">
      <c r="A5253" s="1">
        <v>43552</v>
      </c>
      <c r="B5253">
        <v>121858</v>
      </c>
      <c r="C5253" t="s">
        <v>189</v>
      </c>
      <c r="D5253" t="s">
        <v>4676</v>
      </c>
      <c r="E5253" s="2">
        <v>32.99</v>
      </c>
    </row>
    <row r="5254" spans="1:5" x14ac:dyDescent="0.25">
      <c r="A5254" s="1">
        <v>43552</v>
      </c>
      <c r="B5254">
        <v>121858</v>
      </c>
      <c r="C5254" t="s">
        <v>189</v>
      </c>
      <c r="D5254" t="s">
        <v>4677</v>
      </c>
      <c r="E5254" s="2">
        <v>130.4</v>
      </c>
    </row>
    <row r="5255" spans="1:5" x14ac:dyDescent="0.25">
      <c r="A5255" s="1">
        <v>43552</v>
      </c>
      <c r="B5255">
        <v>121858</v>
      </c>
      <c r="C5255" t="s">
        <v>189</v>
      </c>
      <c r="D5255" t="s">
        <v>4678</v>
      </c>
      <c r="E5255" s="2">
        <v>275.64999999999998</v>
      </c>
    </row>
    <row r="5256" spans="1:5" x14ac:dyDescent="0.25">
      <c r="A5256" s="1">
        <v>43552</v>
      </c>
      <c r="B5256">
        <v>121858</v>
      </c>
      <c r="C5256" t="s">
        <v>189</v>
      </c>
      <c r="D5256" t="s">
        <v>3166</v>
      </c>
      <c r="E5256" s="2">
        <v>283.32</v>
      </c>
    </row>
    <row r="5257" spans="1:5" x14ac:dyDescent="0.25">
      <c r="A5257" s="1">
        <v>43552</v>
      </c>
      <c r="B5257">
        <v>121858</v>
      </c>
      <c r="C5257" t="s">
        <v>189</v>
      </c>
      <c r="D5257" t="s">
        <v>4679</v>
      </c>
      <c r="E5257" s="2">
        <v>71.819999999999993</v>
      </c>
    </row>
    <row r="5258" spans="1:5" x14ac:dyDescent="0.25">
      <c r="A5258" s="1">
        <v>43552</v>
      </c>
      <c r="B5258">
        <v>121858</v>
      </c>
      <c r="C5258" t="s">
        <v>189</v>
      </c>
      <c r="D5258" t="s">
        <v>759</v>
      </c>
      <c r="E5258" s="2">
        <v>51.19</v>
      </c>
    </row>
    <row r="5259" spans="1:5" x14ac:dyDescent="0.25">
      <c r="A5259" s="1">
        <v>43552</v>
      </c>
      <c r="B5259">
        <v>121858</v>
      </c>
      <c r="C5259" t="s">
        <v>189</v>
      </c>
      <c r="D5259" t="s">
        <v>4680</v>
      </c>
      <c r="E5259" s="2">
        <v>129.9</v>
      </c>
    </row>
    <row r="5260" spans="1:5" x14ac:dyDescent="0.25">
      <c r="A5260" s="1">
        <v>43552</v>
      </c>
      <c r="B5260">
        <v>121858</v>
      </c>
      <c r="C5260" t="s">
        <v>189</v>
      </c>
      <c r="D5260" t="s">
        <v>3894</v>
      </c>
      <c r="E5260" s="2">
        <v>461.61</v>
      </c>
    </row>
    <row r="5261" spans="1:5" x14ac:dyDescent="0.25">
      <c r="A5261" s="1">
        <v>43552</v>
      </c>
      <c r="B5261">
        <v>121858</v>
      </c>
      <c r="C5261" t="s">
        <v>189</v>
      </c>
      <c r="D5261" t="s">
        <v>3894</v>
      </c>
      <c r="E5261" s="2">
        <v>32.97</v>
      </c>
    </row>
    <row r="5262" spans="1:5" x14ac:dyDescent="0.25">
      <c r="A5262" s="1">
        <v>43552</v>
      </c>
      <c r="B5262">
        <v>121858</v>
      </c>
      <c r="C5262" t="s">
        <v>189</v>
      </c>
      <c r="D5262" t="s">
        <v>4677</v>
      </c>
      <c r="E5262" s="2">
        <v>294.05</v>
      </c>
    </row>
    <row r="5263" spans="1:5" x14ac:dyDescent="0.25">
      <c r="A5263" s="1">
        <v>43552</v>
      </c>
      <c r="B5263">
        <v>121858</v>
      </c>
      <c r="C5263" t="s">
        <v>189</v>
      </c>
      <c r="D5263" t="s">
        <v>416</v>
      </c>
      <c r="E5263" s="3">
        <v>-129.9</v>
      </c>
    </row>
    <row r="5264" spans="1:5" x14ac:dyDescent="0.25">
      <c r="A5264" s="1">
        <v>43552</v>
      </c>
      <c r="B5264">
        <v>121858</v>
      </c>
      <c r="C5264" t="s">
        <v>189</v>
      </c>
      <c r="D5264" t="s">
        <v>2334</v>
      </c>
      <c r="E5264" s="2">
        <f>7.94+16.14</f>
        <v>24.080000000000002</v>
      </c>
    </row>
    <row r="5265" spans="1:5" x14ac:dyDescent="0.25">
      <c r="A5265" s="1">
        <v>43552</v>
      </c>
      <c r="B5265">
        <v>121858</v>
      </c>
      <c r="C5265" t="s">
        <v>189</v>
      </c>
      <c r="D5265" t="s">
        <v>4681</v>
      </c>
      <c r="E5265" s="2">
        <v>78.7</v>
      </c>
    </row>
    <row r="5266" spans="1:5" x14ac:dyDescent="0.25">
      <c r="A5266" s="1">
        <v>43552</v>
      </c>
      <c r="B5266">
        <v>121858</v>
      </c>
      <c r="C5266" t="s">
        <v>189</v>
      </c>
      <c r="D5266" t="s">
        <v>4682</v>
      </c>
      <c r="E5266" s="2">
        <f>13.99+93.98</f>
        <v>107.97</v>
      </c>
    </row>
    <row r="5267" spans="1:5" x14ac:dyDescent="0.25">
      <c r="A5267" s="1">
        <v>43552</v>
      </c>
      <c r="B5267">
        <v>121858</v>
      </c>
      <c r="C5267" t="s">
        <v>189</v>
      </c>
      <c r="D5267" t="s">
        <v>2373</v>
      </c>
      <c r="E5267" s="2">
        <f>37.15+2.38</f>
        <v>39.53</v>
      </c>
    </row>
    <row r="5268" spans="1:5" x14ac:dyDescent="0.25">
      <c r="A5268" s="1">
        <v>43552</v>
      </c>
      <c r="B5268">
        <v>121858</v>
      </c>
      <c r="C5268" t="s">
        <v>189</v>
      </c>
      <c r="D5268" t="s">
        <v>4683</v>
      </c>
      <c r="E5268" s="2">
        <v>84.04</v>
      </c>
    </row>
    <row r="5269" spans="1:5" x14ac:dyDescent="0.25">
      <c r="A5269" s="1">
        <v>43552</v>
      </c>
      <c r="B5269">
        <v>121858</v>
      </c>
      <c r="C5269" t="s">
        <v>189</v>
      </c>
      <c r="D5269" t="s">
        <v>4684</v>
      </c>
      <c r="E5269" s="2">
        <v>387.45</v>
      </c>
    </row>
    <row r="5270" spans="1:5" x14ac:dyDescent="0.25">
      <c r="A5270" s="1">
        <v>43552</v>
      </c>
      <c r="B5270">
        <v>121858</v>
      </c>
      <c r="C5270" t="s">
        <v>189</v>
      </c>
      <c r="D5270" t="s">
        <v>4685</v>
      </c>
      <c r="E5270" s="2">
        <f>49.96+18.49</f>
        <v>68.45</v>
      </c>
    </row>
    <row r="5271" spans="1:5" x14ac:dyDescent="0.25">
      <c r="A5271" s="1">
        <v>43552</v>
      </c>
      <c r="B5271">
        <v>121858</v>
      </c>
      <c r="C5271" t="s">
        <v>189</v>
      </c>
      <c r="D5271" t="s">
        <v>4686</v>
      </c>
      <c r="E5271" s="2">
        <v>241.23</v>
      </c>
    </row>
    <row r="5272" spans="1:5" x14ac:dyDescent="0.25">
      <c r="A5272" s="1">
        <v>43552</v>
      </c>
      <c r="B5272">
        <v>121858</v>
      </c>
      <c r="C5272" t="s">
        <v>189</v>
      </c>
      <c r="D5272" t="s">
        <v>4687</v>
      </c>
      <c r="E5272" s="2">
        <v>512.67999999999995</v>
      </c>
    </row>
    <row r="5273" spans="1:5" x14ac:dyDescent="0.25">
      <c r="A5273" s="1">
        <v>43552</v>
      </c>
      <c r="B5273">
        <v>121858</v>
      </c>
      <c r="C5273" t="s">
        <v>189</v>
      </c>
      <c r="D5273" t="s">
        <v>3093</v>
      </c>
      <c r="E5273" s="2">
        <f>70.99+25.8</f>
        <v>96.789999999999992</v>
      </c>
    </row>
    <row r="5274" spans="1:5" x14ac:dyDescent="0.25">
      <c r="A5274" s="1">
        <v>43552</v>
      </c>
      <c r="B5274">
        <v>121858</v>
      </c>
      <c r="C5274" t="s">
        <v>189</v>
      </c>
      <c r="D5274" t="s">
        <v>4688</v>
      </c>
      <c r="E5274" s="2">
        <f>112+33.658</f>
        <v>145.65800000000002</v>
      </c>
    </row>
    <row r="5275" spans="1:5" x14ac:dyDescent="0.25">
      <c r="A5275" s="1">
        <v>43552</v>
      </c>
      <c r="B5275">
        <v>121858</v>
      </c>
      <c r="C5275" t="s">
        <v>189</v>
      </c>
      <c r="D5275" t="s">
        <v>4689</v>
      </c>
      <c r="E5275" s="2">
        <f>189.98+250.64+31.46</f>
        <v>472.08</v>
      </c>
    </row>
    <row r="5276" spans="1:5" x14ac:dyDescent="0.25">
      <c r="A5276" s="1">
        <v>43552</v>
      </c>
      <c r="B5276">
        <v>121858</v>
      </c>
      <c r="C5276" t="s">
        <v>189</v>
      </c>
      <c r="D5276" t="s">
        <v>3062</v>
      </c>
      <c r="E5276" s="2">
        <f>11.27+50.69+16+11.27+4.48+102.45</f>
        <v>196.16</v>
      </c>
    </row>
    <row r="5277" spans="1:5" x14ac:dyDescent="0.25">
      <c r="A5277" s="1">
        <v>43552</v>
      </c>
      <c r="B5277">
        <v>121858</v>
      </c>
      <c r="C5277" t="s">
        <v>189</v>
      </c>
      <c r="D5277" t="s">
        <v>4690</v>
      </c>
      <c r="E5277" s="2">
        <v>4349.3999999999996</v>
      </c>
    </row>
    <row r="5278" spans="1:5" x14ac:dyDescent="0.25">
      <c r="A5278" s="1">
        <v>43552</v>
      </c>
      <c r="B5278">
        <v>121858</v>
      </c>
      <c r="C5278" t="s">
        <v>189</v>
      </c>
      <c r="D5278" t="s">
        <v>3062</v>
      </c>
      <c r="E5278" s="2">
        <v>22.98</v>
      </c>
    </row>
    <row r="5279" spans="1:5" x14ac:dyDescent="0.25">
      <c r="A5279" s="1">
        <v>43552</v>
      </c>
      <c r="B5279">
        <v>121858</v>
      </c>
      <c r="C5279" t="s">
        <v>189</v>
      </c>
      <c r="D5279" t="s">
        <v>4691</v>
      </c>
      <c r="E5279" s="2">
        <v>72.53</v>
      </c>
    </row>
    <row r="5280" spans="1:5" x14ac:dyDescent="0.25">
      <c r="A5280" s="1">
        <v>43552</v>
      </c>
      <c r="B5280">
        <v>121858</v>
      </c>
      <c r="C5280" t="s">
        <v>189</v>
      </c>
      <c r="D5280" t="s">
        <v>4692</v>
      </c>
      <c r="E5280" s="2">
        <v>179.8</v>
      </c>
    </row>
    <row r="5281" spans="1:5" x14ac:dyDescent="0.25">
      <c r="A5281" s="1">
        <v>43552</v>
      </c>
      <c r="B5281">
        <v>121858</v>
      </c>
      <c r="C5281" t="s">
        <v>189</v>
      </c>
      <c r="D5281" t="s">
        <v>4247</v>
      </c>
      <c r="E5281" s="2">
        <f>47.72+41.9</f>
        <v>89.62</v>
      </c>
    </row>
    <row r="5282" spans="1:5" x14ac:dyDescent="0.25">
      <c r="A5282" s="1">
        <v>43552</v>
      </c>
      <c r="B5282">
        <v>121858</v>
      </c>
      <c r="C5282" t="s">
        <v>189</v>
      </c>
      <c r="D5282" t="s">
        <v>2334</v>
      </c>
      <c r="E5282" s="2">
        <f>5.97+5.98+450.19+72.98</f>
        <v>535.12</v>
      </c>
    </row>
    <row r="5283" spans="1:5" x14ac:dyDescent="0.25">
      <c r="A5283" s="1">
        <v>43552</v>
      </c>
      <c r="B5283">
        <v>121858</v>
      </c>
      <c r="C5283" t="s">
        <v>189</v>
      </c>
      <c r="D5283" t="s">
        <v>4693</v>
      </c>
      <c r="E5283" s="2">
        <v>60.98</v>
      </c>
    </row>
    <row r="5284" spans="1:5" x14ac:dyDescent="0.25">
      <c r="A5284" s="1">
        <v>43552</v>
      </c>
      <c r="B5284">
        <v>121858</v>
      </c>
      <c r="C5284" t="s">
        <v>189</v>
      </c>
      <c r="D5284" t="s">
        <v>4694</v>
      </c>
      <c r="E5284" s="2">
        <f>129.98+86.65</f>
        <v>216.63</v>
      </c>
    </row>
    <row r="5285" spans="1:5" x14ac:dyDescent="0.25">
      <c r="A5285" s="1">
        <v>43552</v>
      </c>
      <c r="B5285">
        <v>121858</v>
      </c>
      <c r="C5285" t="s">
        <v>189</v>
      </c>
      <c r="D5285" t="s">
        <v>4695</v>
      </c>
      <c r="E5285" s="2">
        <v>531.82000000000005</v>
      </c>
    </row>
    <row r="5286" spans="1:5" x14ac:dyDescent="0.25">
      <c r="A5286" s="1">
        <v>43552</v>
      </c>
      <c r="B5286">
        <v>121858</v>
      </c>
      <c r="C5286" t="s">
        <v>189</v>
      </c>
      <c r="D5286" t="s">
        <v>4696</v>
      </c>
      <c r="E5286" s="2">
        <v>46.04</v>
      </c>
    </row>
    <row r="5287" spans="1:5" x14ac:dyDescent="0.25">
      <c r="A5287" s="1">
        <v>43552</v>
      </c>
      <c r="B5287">
        <v>121858</v>
      </c>
      <c r="C5287" t="s">
        <v>189</v>
      </c>
      <c r="D5287" t="s">
        <v>4697</v>
      </c>
      <c r="E5287" s="2">
        <v>156.25</v>
      </c>
    </row>
    <row r="5288" spans="1:5" x14ac:dyDescent="0.25">
      <c r="A5288" s="1">
        <v>43552</v>
      </c>
      <c r="B5288">
        <v>121858</v>
      </c>
      <c r="C5288" t="s">
        <v>189</v>
      </c>
      <c r="D5288" t="s">
        <v>3945</v>
      </c>
      <c r="E5288" s="2">
        <f>26.98+28.55</f>
        <v>55.53</v>
      </c>
    </row>
    <row r="5289" spans="1:5" x14ac:dyDescent="0.25">
      <c r="A5289" s="1">
        <v>43552</v>
      </c>
      <c r="B5289">
        <v>121858</v>
      </c>
      <c r="C5289" t="s">
        <v>189</v>
      </c>
      <c r="D5289" t="s">
        <v>4698</v>
      </c>
      <c r="E5289" s="2">
        <v>765.3</v>
      </c>
    </row>
    <row r="5290" spans="1:5" x14ac:dyDescent="0.25">
      <c r="A5290" s="1">
        <v>43552</v>
      </c>
      <c r="B5290">
        <v>121858</v>
      </c>
      <c r="C5290" t="s">
        <v>189</v>
      </c>
      <c r="D5290" t="s">
        <v>3166</v>
      </c>
      <c r="E5290" s="2">
        <v>49.04</v>
      </c>
    </row>
    <row r="5291" spans="1:5" x14ac:dyDescent="0.25">
      <c r="A5291" s="1">
        <v>43552</v>
      </c>
      <c r="B5291">
        <v>121858</v>
      </c>
      <c r="C5291" t="s">
        <v>189</v>
      </c>
      <c r="D5291" t="s">
        <v>4699</v>
      </c>
      <c r="E5291" s="2">
        <f>46.18+48.95</f>
        <v>95.13</v>
      </c>
    </row>
    <row r="5292" spans="1:5" x14ac:dyDescent="0.25">
      <c r="A5292" s="1">
        <v>43552</v>
      </c>
      <c r="B5292">
        <v>121858</v>
      </c>
      <c r="C5292" t="s">
        <v>189</v>
      </c>
      <c r="D5292" t="s">
        <v>4700</v>
      </c>
      <c r="E5292" s="2">
        <v>53.97</v>
      </c>
    </row>
    <row r="5293" spans="1:5" x14ac:dyDescent="0.25">
      <c r="A5293" s="1">
        <v>43552</v>
      </c>
      <c r="B5293">
        <v>121858</v>
      </c>
      <c r="C5293" t="s">
        <v>189</v>
      </c>
      <c r="D5293" t="s">
        <v>4701</v>
      </c>
      <c r="E5293" s="2">
        <v>132.35</v>
      </c>
    </row>
    <row r="5294" spans="1:5" x14ac:dyDescent="0.25">
      <c r="A5294" s="1">
        <v>43552</v>
      </c>
      <c r="B5294">
        <v>121858</v>
      </c>
      <c r="C5294" t="s">
        <v>189</v>
      </c>
      <c r="D5294" t="s">
        <v>4702</v>
      </c>
      <c r="E5294" s="2">
        <v>126</v>
      </c>
    </row>
    <row r="5295" spans="1:5" x14ac:dyDescent="0.25">
      <c r="A5295" s="1">
        <v>43552</v>
      </c>
      <c r="B5295">
        <v>121858</v>
      </c>
      <c r="C5295" t="s">
        <v>189</v>
      </c>
      <c r="D5295" t="s">
        <v>1028</v>
      </c>
      <c r="E5295" s="2">
        <v>233.16</v>
      </c>
    </row>
    <row r="5296" spans="1:5" x14ac:dyDescent="0.25">
      <c r="A5296" s="1">
        <v>43552</v>
      </c>
      <c r="B5296">
        <v>121858</v>
      </c>
      <c r="C5296" t="s">
        <v>189</v>
      </c>
      <c r="D5296" t="s">
        <v>4703</v>
      </c>
      <c r="E5296" s="2">
        <v>471.71</v>
      </c>
    </row>
    <row r="5297" spans="1:5" x14ac:dyDescent="0.25">
      <c r="A5297" s="1">
        <v>43552</v>
      </c>
      <c r="B5297">
        <v>121858</v>
      </c>
      <c r="C5297" t="s">
        <v>189</v>
      </c>
      <c r="D5297" t="s">
        <v>1028</v>
      </c>
      <c r="E5297" s="2">
        <v>306.20999999999998</v>
      </c>
    </row>
    <row r="5298" spans="1:5" x14ac:dyDescent="0.25">
      <c r="A5298" s="1">
        <v>43552</v>
      </c>
      <c r="B5298">
        <v>121858</v>
      </c>
      <c r="C5298" t="s">
        <v>189</v>
      </c>
      <c r="D5298" t="s">
        <v>3979</v>
      </c>
      <c r="E5298" s="2">
        <v>105.02</v>
      </c>
    </row>
    <row r="5299" spans="1:5" x14ac:dyDescent="0.25">
      <c r="A5299" s="1">
        <v>43552</v>
      </c>
      <c r="B5299">
        <v>121858</v>
      </c>
      <c r="C5299" t="s">
        <v>189</v>
      </c>
      <c r="D5299" t="s">
        <v>3985</v>
      </c>
      <c r="E5299" s="2">
        <v>39.9</v>
      </c>
    </row>
    <row r="5300" spans="1:5" x14ac:dyDescent="0.25">
      <c r="A5300" s="1">
        <v>43552</v>
      </c>
      <c r="B5300">
        <v>121858</v>
      </c>
      <c r="C5300" t="s">
        <v>189</v>
      </c>
      <c r="D5300" t="s">
        <v>4704</v>
      </c>
      <c r="E5300" s="2">
        <v>283.8</v>
      </c>
    </row>
    <row r="5301" spans="1:5" x14ac:dyDescent="0.25">
      <c r="A5301" s="1">
        <v>43552</v>
      </c>
      <c r="B5301">
        <v>121858</v>
      </c>
      <c r="C5301" t="s">
        <v>189</v>
      </c>
      <c r="D5301" t="s">
        <v>4670</v>
      </c>
      <c r="E5301" s="2">
        <f>69.9+77.73+39.98+28.47+174.75+13.38+127.25</f>
        <v>531.46</v>
      </c>
    </row>
    <row r="5302" spans="1:5" x14ac:dyDescent="0.25">
      <c r="A5302" s="1">
        <v>43552</v>
      </c>
      <c r="B5302">
        <v>121858</v>
      </c>
      <c r="C5302" t="s">
        <v>189</v>
      </c>
      <c r="D5302" t="s">
        <v>3987</v>
      </c>
      <c r="E5302" s="2">
        <v>356.71</v>
      </c>
    </row>
    <row r="5303" spans="1:5" x14ac:dyDescent="0.25">
      <c r="A5303" s="1">
        <v>43552</v>
      </c>
      <c r="B5303">
        <v>121858</v>
      </c>
      <c r="C5303" t="s">
        <v>189</v>
      </c>
      <c r="D5303" t="s">
        <v>4705</v>
      </c>
      <c r="E5303" s="2">
        <v>931.78</v>
      </c>
    </row>
    <row r="5304" spans="1:5" x14ac:dyDescent="0.25">
      <c r="A5304" s="1">
        <v>43552</v>
      </c>
      <c r="B5304">
        <v>121858</v>
      </c>
      <c r="C5304" t="s">
        <v>189</v>
      </c>
      <c r="D5304" t="s">
        <v>4706</v>
      </c>
      <c r="E5304" s="2">
        <f>163.7+33.8</f>
        <v>197.5</v>
      </c>
    </row>
    <row r="5305" spans="1:5" x14ac:dyDescent="0.25">
      <c r="A5305" s="1">
        <v>43552</v>
      </c>
      <c r="B5305">
        <v>121858</v>
      </c>
      <c r="C5305" t="s">
        <v>189</v>
      </c>
      <c r="D5305" t="s">
        <v>3955</v>
      </c>
      <c r="E5305" s="2">
        <v>81.31</v>
      </c>
    </row>
    <row r="5306" spans="1:5" x14ac:dyDescent="0.25">
      <c r="A5306" s="1">
        <v>43552</v>
      </c>
      <c r="B5306">
        <v>121858</v>
      </c>
      <c r="C5306" t="s">
        <v>189</v>
      </c>
      <c r="D5306" t="s">
        <v>4707</v>
      </c>
      <c r="E5306" s="2">
        <f>6.75+128.76</f>
        <v>135.51</v>
      </c>
    </row>
    <row r="5307" spans="1:5" x14ac:dyDescent="0.25">
      <c r="A5307" s="1">
        <v>43552</v>
      </c>
      <c r="B5307">
        <v>121859</v>
      </c>
      <c r="C5307" t="s">
        <v>235</v>
      </c>
      <c r="D5307" t="s">
        <v>4708</v>
      </c>
      <c r="E5307" s="2">
        <v>300</v>
      </c>
    </row>
    <row r="5308" spans="1:5" x14ac:dyDescent="0.25">
      <c r="A5308" s="1">
        <v>43552</v>
      </c>
      <c r="B5308">
        <v>121860</v>
      </c>
      <c r="C5308" t="s">
        <v>3271</v>
      </c>
      <c r="D5308" t="s">
        <v>4709</v>
      </c>
      <c r="E5308" s="2">
        <v>107.99</v>
      </c>
    </row>
    <row r="5309" spans="1:5" x14ac:dyDescent="0.25">
      <c r="A5309" s="1">
        <v>43552</v>
      </c>
      <c r="B5309">
        <v>121863</v>
      </c>
      <c r="C5309" t="s">
        <v>67</v>
      </c>
      <c r="D5309" t="s">
        <v>4710</v>
      </c>
      <c r="E5309" s="2">
        <v>812.49</v>
      </c>
    </row>
    <row r="5310" spans="1:5" x14ac:dyDescent="0.25">
      <c r="A5310" s="1">
        <v>43552</v>
      </c>
      <c r="B5310">
        <v>121863</v>
      </c>
      <c r="C5310" t="s">
        <v>67</v>
      </c>
      <c r="D5310" t="s">
        <v>4711</v>
      </c>
      <c r="E5310" s="2">
        <v>1015.15</v>
      </c>
    </row>
    <row r="5311" spans="1:5" x14ac:dyDescent="0.25">
      <c r="A5311" s="1">
        <v>43552</v>
      </c>
      <c r="B5311">
        <v>121863</v>
      </c>
      <c r="C5311" t="s">
        <v>67</v>
      </c>
      <c r="D5311" t="s">
        <v>4712</v>
      </c>
      <c r="E5311" s="2">
        <v>2852.64</v>
      </c>
    </row>
    <row r="5312" spans="1:5" x14ac:dyDescent="0.25">
      <c r="A5312" s="1">
        <v>43552</v>
      </c>
      <c r="B5312">
        <v>121863</v>
      </c>
      <c r="C5312" t="s">
        <v>67</v>
      </c>
      <c r="D5312" t="s">
        <v>4713</v>
      </c>
      <c r="E5312" s="2">
        <v>1391.21</v>
      </c>
    </row>
    <row r="5313" spans="1:5" x14ac:dyDescent="0.25">
      <c r="A5313" s="1">
        <v>43552</v>
      </c>
      <c r="B5313">
        <v>121863</v>
      </c>
      <c r="C5313" t="s">
        <v>67</v>
      </c>
      <c r="D5313" t="s">
        <v>4714</v>
      </c>
      <c r="E5313" s="2">
        <v>593.85</v>
      </c>
    </row>
    <row r="5314" spans="1:5" x14ac:dyDescent="0.25">
      <c r="A5314" s="1">
        <v>43552</v>
      </c>
      <c r="B5314">
        <v>121863</v>
      </c>
      <c r="C5314" t="s">
        <v>67</v>
      </c>
      <c r="D5314" t="s">
        <v>4715</v>
      </c>
      <c r="E5314" s="2">
        <v>945</v>
      </c>
    </row>
    <row r="5315" spans="1:5" x14ac:dyDescent="0.25">
      <c r="A5315" s="1">
        <v>43552</v>
      </c>
      <c r="B5315">
        <v>121863</v>
      </c>
      <c r="C5315" t="s">
        <v>67</v>
      </c>
      <c r="D5315" t="s">
        <v>4716</v>
      </c>
      <c r="E5315" s="2">
        <v>4999.5</v>
      </c>
    </row>
    <row r="5316" spans="1:5" x14ac:dyDescent="0.25">
      <c r="A5316" s="1">
        <v>43552</v>
      </c>
      <c r="B5316">
        <v>121863</v>
      </c>
      <c r="C5316" t="s">
        <v>67</v>
      </c>
      <c r="D5316" t="s">
        <v>4717</v>
      </c>
      <c r="E5316" s="2">
        <v>4285.26</v>
      </c>
    </row>
    <row r="5317" spans="1:5" x14ac:dyDescent="0.25">
      <c r="A5317" s="1">
        <v>43552</v>
      </c>
      <c r="B5317">
        <v>121863</v>
      </c>
      <c r="C5317" t="s">
        <v>67</v>
      </c>
      <c r="D5317" t="s">
        <v>4718</v>
      </c>
      <c r="E5317" s="2">
        <v>40.96</v>
      </c>
    </row>
    <row r="5318" spans="1:5" x14ac:dyDescent="0.25">
      <c r="A5318" s="1">
        <v>43552</v>
      </c>
      <c r="B5318">
        <v>121863</v>
      </c>
      <c r="C5318" t="s">
        <v>67</v>
      </c>
      <c r="D5318" t="s">
        <v>4719</v>
      </c>
      <c r="E5318" s="2">
        <v>1176.97</v>
      </c>
    </row>
    <row r="5319" spans="1:5" x14ac:dyDescent="0.25">
      <c r="A5319" s="1">
        <v>43552</v>
      </c>
      <c r="B5319">
        <v>121863</v>
      </c>
      <c r="C5319" t="s">
        <v>67</v>
      </c>
      <c r="D5319" t="s">
        <v>4720</v>
      </c>
      <c r="E5319" s="2">
        <v>175.5</v>
      </c>
    </row>
    <row r="5320" spans="1:5" x14ac:dyDescent="0.25">
      <c r="A5320" s="1">
        <v>43552</v>
      </c>
      <c r="B5320">
        <v>121863</v>
      </c>
      <c r="C5320" t="s">
        <v>67</v>
      </c>
      <c r="D5320" t="s">
        <v>4721</v>
      </c>
      <c r="E5320" s="2">
        <v>4500</v>
      </c>
    </row>
    <row r="5321" spans="1:5" x14ac:dyDescent="0.25">
      <c r="A5321" s="1">
        <v>43552</v>
      </c>
      <c r="B5321">
        <v>121864</v>
      </c>
      <c r="C5321" t="s">
        <v>241</v>
      </c>
      <c r="D5321" t="s">
        <v>3430</v>
      </c>
      <c r="E5321" s="2">
        <v>2130</v>
      </c>
    </row>
    <row r="5322" spans="1:5" x14ac:dyDescent="0.25">
      <c r="A5322" s="1">
        <v>43552</v>
      </c>
      <c r="B5322">
        <v>121865</v>
      </c>
      <c r="C5322" t="s">
        <v>4722</v>
      </c>
      <c r="D5322" t="s">
        <v>4723</v>
      </c>
      <c r="E5322" s="2">
        <v>1200</v>
      </c>
    </row>
    <row r="5323" spans="1:5" x14ac:dyDescent="0.25">
      <c r="A5323" s="1">
        <v>43552</v>
      </c>
      <c r="B5323">
        <v>121866</v>
      </c>
      <c r="C5323" t="s">
        <v>662</v>
      </c>
      <c r="D5323" t="s">
        <v>4724</v>
      </c>
      <c r="E5323" s="2">
        <v>140.29</v>
      </c>
    </row>
    <row r="5324" spans="1:5" x14ac:dyDescent="0.25">
      <c r="A5324" s="1">
        <v>43552</v>
      </c>
      <c r="B5324">
        <v>121867</v>
      </c>
      <c r="C5324" t="s">
        <v>243</v>
      </c>
      <c r="D5324" t="s">
        <v>4725</v>
      </c>
      <c r="E5324" s="2">
        <v>7275</v>
      </c>
    </row>
    <row r="5325" spans="1:5" x14ac:dyDescent="0.25">
      <c r="A5325" s="1">
        <v>43552</v>
      </c>
      <c r="B5325">
        <v>121868</v>
      </c>
      <c r="C5325" t="s">
        <v>2891</v>
      </c>
      <c r="D5325" t="s">
        <v>481</v>
      </c>
      <c r="E5325" s="2">
        <v>1517.31</v>
      </c>
    </row>
    <row r="5326" spans="1:5" x14ac:dyDescent="0.25">
      <c r="A5326" s="1">
        <v>43552</v>
      </c>
      <c r="B5326">
        <v>121869</v>
      </c>
      <c r="C5326" t="s">
        <v>247</v>
      </c>
      <c r="D5326" t="s">
        <v>4726</v>
      </c>
      <c r="E5326" s="2">
        <f>2163.91+1730.09+9626.82</f>
        <v>13520.82</v>
      </c>
    </row>
    <row r="5327" spans="1:5" x14ac:dyDescent="0.25">
      <c r="A5327" s="1">
        <v>43552</v>
      </c>
      <c r="B5327">
        <v>121871</v>
      </c>
      <c r="C5327" t="s">
        <v>106</v>
      </c>
      <c r="D5327" t="s">
        <v>4727</v>
      </c>
      <c r="E5327" s="2">
        <f>1357.64+502.38+106.65+393.29+1519.85+49.48+189.72</f>
        <v>4119.01</v>
      </c>
    </row>
    <row r="5328" spans="1:5" x14ac:dyDescent="0.25">
      <c r="A5328" s="1">
        <v>43552</v>
      </c>
      <c r="B5328">
        <v>121872</v>
      </c>
      <c r="C5328" t="s">
        <v>197</v>
      </c>
      <c r="D5328" t="s">
        <v>4728</v>
      </c>
      <c r="E5328" s="2">
        <v>1760</v>
      </c>
    </row>
    <row r="5329" spans="1:5" x14ac:dyDescent="0.25">
      <c r="A5329" s="1">
        <v>43552</v>
      </c>
      <c r="B5329">
        <v>121873</v>
      </c>
      <c r="C5329" t="s">
        <v>68</v>
      </c>
      <c r="D5329" t="s">
        <v>3346</v>
      </c>
      <c r="E5329" s="2">
        <v>265.95999999999998</v>
      </c>
    </row>
    <row r="5330" spans="1:5" x14ac:dyDescent="0.25">
      <c r="A5330" s="1">
        <v>43552</v>
      </c>
      <c r="B5330">
        <v>121874</v>
      </c>
      <c r="C5330" t="s">
        <v>683</v>
      </c>
      <c r="D5330" t="s">
        <v>4729</v>
      </c>
      <c r="E5330" s="2">
        <v>305</v>
      </c>
    </row>
    <row r="5331" spans="1:5" x14ac:dyDescent="0.25">
      <c r="A5331" s="1">
        <v>43552</v>
      </c>
      <c r="B5331">
        <v>121875</v>
      </c>
      <c r="C5331" t="s">
        <v>4730</v>
      </c>
      <c r="D5331" t="s">
        <v>4731</v>
      </c>
      <c r="E5331" s="2">
        <v>3825</v>
      </c>
    </row>
    <row r="5332" spans="1:5" x14ac:dyDescent="0.25">
      <c r="A5332" s="1">
        <v>43552</v>
      </c>
      <c r="B5332">
        <v>121876</v>
      </c>
      <c r="C5332" t="s">
        <v>1002</v>
      </c>
      <c r="D5332" t="s">
        <v>4732</v>
      </c>
      <c r="E5332" s="2">
        <v>2160</v>
      </c>
    </row>
    <row r="5333" spans="1:5" x14ac:dyDescent="0.25">
      <c r="A5333" s="1">
        <v>43552</v>
      </c>
      <c r="B5333">
        <v>121877</v>
      </c>
      <c r="C5333" t="s">
        <v>4733</v>
      </c>
      <c r="D5333" t="s">
        <v>4734</v>
      </c>
      <c r="E5333" s="2">
        <v>108.6</v>
      </c>
    </row>
    <row r="5334" spans="1:5" x14ac:dyDescent="0.25">
      <c r="A5334" s="1">
        <v>43552</v>
      </c>
      <c r="B5334">
        <v>121878</v>
      </c>
      <c r="C5334" t="s">
        <v>2378</v>
      </c>
      <c r="D5334" t="s">
        <v>4735</v>
      </c>
      <c r="E5334" s="2">
        <v>3994</v>
      </c>
    </row>
    <row r="5335" spans="1:5" x14ac:dyDescent="0.25">
      <c r="A5335" s="1">
        <v>43552</v>
      </c>
      <c r="B5335">
        <v>121878</v>
      </c>
      <c r="C5335" t="s">
        <v>2378</v>
      </c>
      <c r="D5335" t="s">
        <v>4736</v>
      </c>
      <c r="E5335" s="2">
        <v>536.4</v>
      </c>
    </row>
    <row r="5336" spans="1:5" x14ac:dyDescent="0.25">
      <c r="A5336" s="1">
        <v>43552</v>
      </c>
      <c r="B5336">
        <v>121879</v>
      </c>
      <c r="C5336" t="s">
        <v>4737</v>
      </c>
      <c r="D5336" t="s">
        <v>4738</v>
      </c>
      <c r="E5336" s="2">
        <v>6435</v>
      </c>
    </row>
    <row r="5337" spans="1:5" x14ac:dyDescent="0.25">
      <c r="A5337" s="1">
        <v>43552</v>
      </c>
      <c r="B5337">
        <v>121880</v>
      </c>
      <c r="C5337" t="s">
        <v>1452</v>
      </c>
      <c r="D5337" t="s">
        <v>4739</v>
      </c>
      <c r="E5337" s="2">
        <v>3771.6</v>
      </c>
    </row>
    <row r="5338" spans="1:5" x14ac:dyDescent="0.25">
      <c r="A5338" s="1">
        <v>43552</v>
      </c>
      <c r="B5338">
        <v>121881</v>
      </c>
      <c r="C5338" t="s">
        <v>4740</v>
      </c>
      <c r="D5338" t="s">
        <v>4741</v>
      </c>
      <c r="E5338" s="2">
        <v>575</v>
      </c>
    </row>
    <row r="5339" spans="1:5" x14ac:dyDescent="0.25">
      <c r="A5339" s="1">
        <v>43552</v>
      </c>
      <c r="B5339">
        <v>121882</v>
      </c>
      <c r="C5339" t="s">
        <v>362</v>
      </c>
      <c r="D5339" t="s">
        <v>4742</v>
      </c>
      <c r="E5339" s="2">
        <v>3500</v>
      </c>
    </row>
    <row r="5340" spans="1:5" x14ac:dyDescent="0.25">
      <c r="A5340" s="1">
        <v>43552</v>
      </c>
      <c r="B5340">
        <v>121883</v>
      </c>
      <c r="C5340" t="s">
        <v>1004</v>
      </c>
      <c r="D5340" t="s">
        <v>4743</v>
      </c>
      <c r="E5340" s="2">
        <v>460</v>
      </c>
    </row>
    <row r="5341" spans="1:5" x14ac:dyDescent="0.25">
      <c r="A5341" s="1">
        <v>43552</v>
      </c>
      <c r="B5341">
        <v>121884</v>
      </c>
      <c r="C5341" t="s">
        <v>3711</v>
      </c>
      <c r="D5341" t="s">
        <v>4744</v>
      </c>
      <c r="E5341" s="2">
        <v>425</v>
      </c>
    </row>
    <row r="5342" spans="1:5" x14ac:dyDescent="0.25">
      <c r="A5342" s="1">
        <v>43552</v>
      </c>
      <c r="B5342">
        <v>121885</v>
      </c>
      <c r="C5342" t="s">
        <v>118</v>
      </c>
      <c r="D5342" t="s">
        <v>4745</v>
      </c>
      <c r="E5342" s="2">
        <v>595</v>
      </c>
    </row>
    <row r="5343" spans="1:5" x14ac:dyDescent="0.25">
      <c r="A5343" s="1">
        <v>43552</v>
      </c>
      <c r="B5343">
        <v>121911</v>
      </c>
      <c r="C5343" t="s">
        <v>123</v>
      </c>
      <c r="D5343" t="s">
        <v>4746</v>
      </c>
      <c r="E5343" s="2">
        <v>81.680000000000007</v>
      </c>
    </row>
    <row r="5344" spans="1:5" x14ac:dyDescent="0.25">
      <c r="A5344" s="1">
        <v>43552</v>
      </c>
      <c r="B5344">
        <v>121911</v>
      </c>
      <c r="C5344" t="s">
        <v>123</v>
      </c>
      <c r="D5344" t="s">
        <v>4747</v>
      </c>
      <c r="E5344" s="2">
        <f>81.68+81.68+292.69+81.68+81.68+81.68+81.68+81.68+81.68</f>
        <v>946.13000000000034</v>
      </c>
    </row>
    <row r="5345" spans="1:5" x14ac:dyDescent="0.25">
      <c r="A5345" s="1">
        <v>43552</v>
      </c>
      <c r="B5345">
        <v>121911</v>
      </c>
      <c r="C5345" t="s">
        <v>123</v>
      </c>
      <c r="D5345" t="s">
        <v>4748</v>
      </c>
      <c r="E5345" s="2">
        <v>81.680000000000007</v>
      </c>
    </row>
    <row r="5346" spans="1:5" x14ac:dyDescent="0.25">
      <c r="A5346" s="1">
        <v>43552</v>
      </c>
      <c r="B5346">
        <v>121911</v>
      </c>
      <c r="C5346" t="s">
        <v>123</v>
      </c>
      <c r="D5346" t="s">
        <v>4748</v>
      </c>
      <c r="E5346" s="2">
        <v>81.680000000000007</v>
      </c>
    </row>
    <row r="5347" spans="1:5" x14ac:dyDescent="0.25">
      <c r="A5347" s="1">
        <v>43552</v>
      </c>
      <c r="B5347">
        <v>121911</v>
      </c>
      <c r="C5347" t="s">
        <v>123</v>
      </c>
      <c r="D5347" t="s">
        <v>3131</v>
      </c>
      <c r="E5347" s="2">
        <f>81.68+81.68+61.26+27.23+81.68</f>
        <v>333.53</v>
      </c>
    </row>
    <row r="5348" spans="1:5" x14ac:dyDescent="0.25">
      <c r="A5348" s="1">
        <v>43552</v>
      </c>
      <c r="B5348">
        <v>121911</v>
      </c>
      <c r="C5348" t="s">
        <v>123</v>
      </c>
      <c r="D5348" t="s">
        <v>4748</v>
      </c>
      <c r="E5348" s="2">
        <v>81.680000000000007</v>
      </c>
    </row>
    <row r="5349" spans="1:5" x14ac:dyDescent="0.25">
      <c r="A5349" s="1">
        <v>43552</v>
      </c>
      <c r="B5349">
        <v>121911</v>
      </c>
      <c r="C5349" t="s">
        <v>123</v>
      </c>
      <c r="D5349" t="s">
        <v>4749</v>
      </c>
      <c r="E5349" s="2">
        <v>81.680000000000007</v>
      </c>
    </row>
    <row r="5350" spans="1:5" x14ac:dyDescent="0.25">
      <c r="A5350" s="1">
        <v>43552</v>
      </c>
      <c r="B5350">
        <v>121911</v>
      </c>
      <c r="C5350" t="s">
        <v>123</v>
      </c>
      <c r="D5350" t="s">
        <v>4749</v>
      </c>
      <c r="E5350" s="2">
        <v>81.680000000000007</v>
      </c>
    </row>
    <row r="5351" spans="1:5" x14ac:dyDescent="0.25">
      <c r="A5351" s="1">
        <v>43552</v>
      </c>
      <c r="B5351">
        <v>121911</v>
      </c>
      <c r="C5351" t="s">
        <v>123</v>
      </c>
      <c r="D5351" t="s">
        <v>4750</v>
      </c>
      <c r="E5351" s="2">
        <v>234.83</v>
      </c>
    </row>
    <row r="5352" spans="1:5" x14ac:dyDescent="0.25">
      <c r="A5352" s="1">
        <v>43552</v>
      </c>
      <c r="B5352">
        <v>121911</v>
      </c>
      <c r="C5352" t="s">
        <v>123</v>
      </c>
      <c r="D5352" t="s">
        <v>4751</v>
      </c>
      <c r="E5352" s="2">
        <v>330.12</v>
      </c>
    </row>
    <row r="5353" spans="1:5" x14ac:dyDescent="0.25">
      <c r="A5353" s="1">
        <v>43552</v>
      </c>
      <c r="B5353">
        <v>121911</v>
      </c>
      <c r="C5353" t="s">
        <v>123</v>
      </c>
      <c r="D5353" t="s">
        <v>4752</v>
      </c>
      <c r="E5353" s="2">
        <v>328.08</v>
      </c>
    </row>
    <row r="5354" spans="1:5" x14ac:dyDescent="0.25">
      <c r="A5354" s="1">
        <v>43552</v>
      </c>
      <c r="B5354">
        <v>121911</v>
      </c>
      <c r="C5354" t="s">
        <v>123</v>
      </c>
      <c r="D5354" t="s">
        <v>4753</v>
      </c>
      <c r="E5354" s="2">
        <f>81.68+81.68</f>
        <v>163.36000000000001</v>
      </c>
    </row>
    <row r="5355" spans="1:5" x14ac:dyDescent="0.25">
      <c r="A5355" s="1">
        <v>43552</v>
      </c>
      <c r="B5355">
        <v>121911</v>
      </c>
      <c r="C5355" t="s">
        <v>123</v>
      </c>
      <c r="D5355" t="s">
        <v>4754</v>
      </c>
      <c r="E5355" s="2">
        <f>20.42+40.84</f>
        <v>61.260000000000005</v>
      </c>
    </row>
    <row r="5356" spans="1:5" x14ac:dyDescent="0.25">
      <c r="A5356" s="1">
        <v>43552</v>
      </c>
      <c r="B5356">
        <v>121911</v>
      </c>
      <c r="C5356" t="s">
        <v>123</v>
      </c>
      <c r="D5356" t="s">
        <v>4755</v>
      </c>
      <c r="E5356" s="2">
        <v>81.680000000000007</v>
      </c>
    </row>
    <row r="5357" spans="1:5" x14ac:dyDescent="0.25">
      <c r="A5357" s="1">
        <v>43552</v>
      </c>
      <c r="B5357">
        <v>121911</v>
      </c>
      <c r="C5357" t="s">
        <v>123</v>
      </c>
      <c r="D5357" t="s">
        <v>3127</v>
      </c>
      <c r="E5357" s="2">
        <v>81.680000000000007</v>
      </c>
    </row>
    <row r="5358" spans="1:5" x14ac:dyDescent="0.25">
      <c r="A5358" s="1">
        <v>43552</v>
      </c>
      <c r="B5358">
        <v>121911</v>
      </c>
      <c r="C5358" t="s">
        <v>123</v>
      </c>
      <c r="D5358" t="s">
        <v>3714</v>
      </c>
      <c r="E5358" s="2">
        <f>81.68+81.68+81.6</f>
        <v>244.96</v>
      </c>
    </row>
    <row r="5359" spans="1:5" x14ac:dyDescent="0.25">
      <c r="A5359" s="1">
        <v>43552</v>
      </c>
      <c r="B5359">
        <v>121911</v>
      </c>
      <c r="C5359" t="s">
        <v>123</v>
      </c>
      <c r="D5359" t="s">
        <v>4756</v>
      </c>
      <c r="E5359" s="2">
        <v>81.680000000000007</v>
      </c>
    </row>
    <row r="5360" spans="1:5" x14ac:dyDescent="0.25">
      <c r="A5360" s="1">
        <v>43552</v>
      </c>
      <c r="B5360">
        <v>121911</v>
      </c>
      <c r="C5360" t="s">
        <v>123</v>
      </c>
      <c r="D5360" t="s">
        <v>4757</v>
      </c>
      <c r="E5360" s="2">
        <v>219.18</v>
      </c>
    </row>
    <row r="5361" spans="1:5" x14ac:dyDescent="0.25">
      <c r="A5361" s="1">
        <v>43552</v>
      </c>
      <c r="B5361">
        <v>121911</v>
      </c>
      <c r="C5361" t="s">
        <v>123</v>
      </c>
      <c r="D5361" t="s">
        <v>4758</v>
      </c>
      <c r="E5361" s="2">
        <v>81.680000000000007</v>
      </c>
    </row>
    <row r="5362" spans="1:5" x14ac:dyDescent="0.25">
      <c r="A5362" s="1">
        <v>43552</v>
      </c>
      <c r="B5362">
        <v>121911</v>
      </c>
      <c r="C5362" t="s">
        <v>123</v>
      </c>
      <c r="D5362" t="s">
        <v>4759</v>
      </c>
      <c r="E5362" s="2">
        <f>81.68*4</f>
        <v>326.72000000000003</v>
      </c>
    </row>
    <row r="5363" spans="1:5" x14ac:dyDescent="0.25">
      <c r="A5363" s="1">
        <v>43552</v>
      </c>
      <c r="B5363">
        <v>121911</v>
      </c>
      <c r="C5363" t="s">
        <v>123</v>
      </c>
      <c r="D5363" t="s">
        <v>3716</v>
      </c>
      <c r="E5363" s="2">
        <f>81.68*7</f>
        <v>571.76</v>
      </c>
    </row>
    <row r="5364" spans="1:5" x14ac:dyDescent="0.25">
      <c r="A5364" s="1">
        <v>43552</v>
      </c>
      <c r="B5364">
        <v>121911</v>
      </c>
      <c r="C5364" t="s">
        <v>123</v>
      </c>
      <c r="D5364" t="s">
        <v>4760</v>
      </c>
      <c r="E5364" s="2">
        <f>81.68*2</f>
        <v>163.36000000000001</v>
      </c>
    </row>
    <row r="5365" spans="1:5" x14ac:dyDescent="0.25">
      <c r="A5365" s="1">
        <v>43552</v>
      </c>
      <c r="B5365">
        <v>121911</v>
      </c>
      <c r="C5365" t="s">
        <v>123</v>
      </c>
      <c r="D5365" t="s">
        <v>4761</v>
      </c>
      <c r="E5365" s="2">
        <f>197.4+81.68</f>
        <v>279.08000000000004</v>
      </c>
    </row>
    <row r="5366" spans="1:5" x14ac:dyDescent="0.25">
      <c r="A5366" s="1">
        <v>43552</v>
      </c>
      <c r="B5366">
        <v>121911</v>
      </c>
      <c r="C5366" t="s">
        <v>123</v>
      </c>
      <c r="D5366" t="s">
        <v>4762</v>
      </c>
      <c r="E5366" s="2">
        <f>163.35+122.52</f>
        <v>285.87</v>
      </c>
    </row>
    <row r="5367" spans="1:5" x14ac:dyDescent="0.25">
      <c r="A5367" s="1">
        <v>43552</v>
      </c>
      <c r="B5367">
        <v>121911</v>
      </c>
      <c r="C5367" t="s">
        <v>123</v>
      </c>
      <c r="D5367" t="s">
        <v>4763</v>
      </c>
      <c r="E5367" s="2">
        <f>81.68*2</f>
        <v>163.36000000000001</v>
      </c>
    </row>
    <row r="5368" spans="1:5" x14ac:dyDescent="0.25">
      <c r="A5368" s="1">
        <v>43552</v>
      </c>
      <c r="B5368">
        <v>121911</v>
      </c>
      <c r="C5368" t="s">
        <v>123</v>
      </c>
      <c r="D5368" t="s">
        <v>4764</v>
      </c>
      <c r="E5368" s="2">
        <f>122.52*2</f>
        <v>245.04</v>
      </c>
    </row>
    <row r="5369" spans="1:5" x14ac:dyDescent="0.25">
      <c r="A5369" s="1">
        <v>43552</v>
      </c>
      <c r="B5369">
        <v>121911</v>
      </c>
      <c r="C5369" t="s">
        <v>123</v>
      </c>
      <c r="D5369" t="s">
        <v>4765</v>
      </c>
      <c r="E5369" s="2">
        <v>122.52</v>
      </c>
    </row>
    <row r="5370" spans="1:5" x14ac:dyDescent="0.25">
      <c r="A5370" s="1">
        <v>43552</v>
      </c>
      <c r="B5370">
        <v>121911</v>
      </c>
      <c r="C5370" t="s">
        <v>123</v>
      </c>
      <c r="D5370" t="s">
        <v>4765</v>
      </c>
      <c r="E5370" s="2">
        <v>98.7</v>
      </c>
    </row>
    <row r="5371" spans="1:5" x14ac:dyDescent="0.25">
      <c r="A5371" s="1">
        <v>43552</v>
      </c>
      <c r="B5371">
        <v>121911</v>
      </c>
      <c r="C5371" t="s">
        <v>123</v>
      </c>
      <c r="D5371" t="s">
        <v>4764</v>
      </c>
      <c r="E5371" s="2">
        <f>112.31+132.73+285.88</f>
        <v>530.91999999999996</v>
      </c>
    </row>
    <row r="5372" spans="1:5" x14ac:dyDescent="0.25">
      <c r="A5372" s="1">
        <v>43552</v>
      </c>
      <c r="B5372">
        <v>121911</v>
      </c>
      <c r="C5372" t="s">
        <v>123</v>
      </c>
      <c r="D5372" t="s">
        <v>4766</v>
      </c>
      <c r="E5372" s="2">
        <v>663.66</v>
      </c>
    </row>
    <row r="5373" spans="1:5" x14ac:dyDescent="0.25">
      <c r="A5373" s="1">
        <v>43552</v>
      </c>
      <c r="B5373">
        <v>121911</v>
      </c>
      <c r="C5373" t="s">
        <v>123</v>
      </c>
      <c r="D5373" t="s">
        <v>4767</v>
      </c>
      <c r="E5373" s="2">
        <v>167.44</v>
      </c>
    </row>
    <row r="5374" spans="1:5" x14ac:dyDescent="0.25">
      <c r="A5374" s="1">
        <v>43552</v>
      </c>
      <c r="B5374">
        <v>121911</v>
      </c>
      <c r="C5374" t="s">
        <v>123</v>
      </c>
      <c r="D5374" t="s">
        <v>4758</v>
      </c>
      <c r="E5374" s="2">
        <v>81.680000000000007</v>
      </c>
    </row>
    <row r="5375" spans="1:5" x14ac:dyDescent="0.25">
      <c r="A5375" s="1">
        <v>43552</v>
      </c>
      <c r="B5375">
        <v>121911</v>
      </c>
      <c r="C5375" t="s">
        <v>123</v>
      </c>
      <c r="D5375" t="s">
        <v>4768</v>
      </c>
      <c r="E5375" s="2">
        <v>246</v>
      </c>
    </row>
    <row r="5376" spans="1:5" x14ac:dyDescent="0.25">
      <c r="A5376" s="1">
        <v>43552</v>
      </c>
      <c r="B5376">
        <v>121911</v>
      </c>
      <c r="C5376" t="s">
        <v>123</v>
      </c>
      <c r="D5376" t="s">
        <v>4751</v>
      </c>
      <c r="E5376" s="2">
        <v>39.880000000000003</v>
      </c>
    </row>
    <row r="5377" spans="1:5" x14ac:dyDescent="0.25">
      <c r="A5377" s="1">
        <v>43552</v>
      </c>
      <c r="B5377">
        <v>121911</v>
      </c>
      <c r="C5377" t="s">
        <v>123</v>
      </c>
      <c r="D5377" t="s">
        <v>4769</v>
      </c>
      <c r="E5377" s="2">
        <v>326.72000000000003</v>
      </c>
    </row>
    <row r="5378" spans="1:5" x14ac:dyDescent="0.25">
      <c r="A5378" s="1">
        <v>43552</v>
      </c>
      <c r="B5378">
        <v>121911</v>
      </c>
      <c r="C5378" t="s">
        <v>123</v>
      </c>
      <c r="D5378" t="s">
        <v>4765</v>
      </c>
      <c r="E5378" s="2">
        <v>71.47</v>
      </c>
    </row>
    <row r="5379" spans="1:5" x14ac:dyDescent="0.25">
      <c r="A5379" s="1">
        <v>43552</v>
      </c>
      <c r="B5379">
        <v>121911</v>
      </c>
      <c r="C5379" t="s">
        <v>123</v>
      </c>
      <c r="D5379" t="s">
        <v>4764</v>
      </c>
      <c r="E5379" s="2">
        <v>40.840000000000003</v>
      </c>
    </row>
    <row r="5380" spans="1:5" x14ac:dyDescent="0.25">
      <c r="A5380" s="1">
        <v>43552</v>
      </c>
      <c r="B5380">
        <v>121911</v>
      </c>
      <c r="C5380" t="s">
        <v>123</v>
      </c>
      <c r="D5380" t="s">
        <v>4770</v>
      </c>
      <c r="E5380" s="2">
        <v>86.45</v>
      </c>
    </row>
    <row r="5381" spans="1:5" x14ac:dyDescent="0.25">
      <c r="A5381" s="1">
        <v>43552</v>
      </c>
      <c r="B5381">
        <v>121911</v>
      </c>
      <c r="C5381" t="s">
        <v>123</v>
      </c>
      <c r="D5381" t="s">
        <v>4771</v>
      </c>
      <c r="E5381" s="2">
        <v>245.04</v>
      </c>
    </row>
    <row r="5382" spans="1:5" x14ac:dyDescent="0.25">
      <c r="A5382" s="1">
        <v>43552</v>
      </c>
      <c r="B5382">
        <v>121911</v>
      </c>
      <c r="C5382" t="s">
        <v>123</v>
      </c>
      <c r="D5382" t="s">
        <v>4772</v>
      </c>
      <c r="E5382" s="2">
        <v>81.680000000000007</v>
      </c>
    </row>
    <row r="5383" spans="1:5" x14ac:dyDescent="0.25">
      <c r="A5383" s="1">
        <v>43552</v>
      </c>
      <c r="B5383">
        <v>121911</v>
      </c>
      <c r="C5383" t="s">
        <v>123</v>
      </c>
      <c r="D5383" t="s">
        <v>4773</v>
      </c>
      <c r="E5383" s="2">
        <f>119.12+132.73</f>
        <v>251.85</v>
      </c>
    </row>
    <row r="5384" spans="1:5" x14ac:dyDescent="0.25">
      <c r="A5384" s="1">
        <v>43552</v>
      </c>
      <c r="B5384">
        <v>121911</v>
      </c>
      <c r="C5384" t="s">
        <v>123</v>
      </c>
      <c r="D5384" t="s">
        <v>4774</v>
      </c>
      <c r="E5384" s="2">
        <v>91.89</v>
      </c>
    </row>
    <row r="5385" spans="1:5" x14ac:dyDescent="0.25">
      <c r="A5385" s="1">
        <v>43552</v>
      </c>
      <c r="B5385">
        <v>121911</v>
      </c>
      <c r="C5385" t="s">
        <v>123</v>
      </c>
      <c r="D5385" t="s">
        <v>4773</v>
      </c>
      <c r="E5385" s="2">
        <f>71.47+173.57</f>
        <v>245.04</v>
      </c>
    </row>
    <row r="5386" spans="1:5" x14ac:dyDescent="0.25">
      <c r="A5386" s="1">
        <v>43552</v>
      </c>
      <c r="B5386">
        <v>121911</v>
      </c>
      <c r="C5386" t="s">
        <v>123</v>
      </c>
      <c r="D5386" t="s">
        <v>4775</v>
      </c>
      <c r="E5386" s="2">
        <v>150</v>
      </c>
    </row>
    <row r="5387" spans="1:5" x14ac:dyDescent="0.25">
      <c r="A5387" s="1">
        <v>43552</v>
      </c>
      <c r="B5387">
        <v>121911</v>
      </c>
      <c r="C5387" t="s">
        <v>123</v>
      </c>
      <c r="D5387" t="s">
        <v>4776</v>
      </c>
      <c r="E5387" s="2">
        <v>22.89</v>
      </c>
    </row>
    <row r="5388" spans="1:5" x14ac:dyDescent="0.25">
      <c r="A5388" s="1">
        <v>43552</v>
      </c>
      <c r="B5388">
        <v>121911</v>
      </c>
      <c r="C5388" t="s">
        <v>123</v>
      </c>
      <c r="D5388" t="s">
        <v>4777</v>
      </c>
      <c r="E5388" s="2">
        <v>142.94</v>
      </c>
    </row>
    <row r="5389" spans="1:5" x14ac:dyDescent="0.25">
      <c r="A5389" s="1">
        <v>43552</v>
      </c>
      <c r="B5389">
        <v>121911</v>
      </c>
      <c r="C5389" t="s">
        <v>123</v>
      </c>
      <c r="D5389" t="s">
        <v>4778</v>
      </c>
      <c r="E5389" s="2">
        <v>125.88</v>
      </c>
    </row>
    <row r="5390" spans="1:5" x14ac:dyDescent="0.25">
      <c r="A5390" s="1">
        <v>43552</v>
      </c>
      <c r="B5390">
        <v>121911</v>
      </c>
      <c r="C5390" t="s">
        <v>123</v>
      </c>
      <c r="D5390" t="s">
        <v>4777</v>
      </c>
      <c r="E5390" s="2">
        <f>17.06+243.04</f>
        <v>260.09999999999997</v>
      </c>
    </row>
    <row r="5391" spans="1:5" x14ac:dyDescent="0.25">
      <c r="A5391" s="1">
        <v>43552</v>
      </c>
      <c r="B5391">
        <v>121911</v>
      </c>
      <c r="C5391" t="s">
        <v>123</v>
      </c>
      <c r="D5391" t="s">
        <v>4774</v>
      </c>
      <c r="E5391" s="2">
        <f>29.22+88.48</f>
        <v>117.7</v>
      </c>
    </row>
    <row r="5392" spans="1:5" x14ac:dyDescent="0.25">
      <c r="A5392" s="1">
        <v>43552</v>
      </c>
      <c r="B5392">
        <v>121912</v>
      </c>
      <c r="C5392" t="s">
        <v>4779</v>
      </c>
      <c r="D5392" t="s">
        <v>4780</v>
      </c>
      <c r="E5392" s="2">
        <v>5263.65</v>
      </c>
    </row>
    <row r="5393" spans="1:5" x14ac:dyDescent="0.25">
      <c r="A5393" s="1">
        <v>43552</v>
      </c>
      <c r="B5393">
        <v>121913</v>
      </c>
      <c r="C5393" t="s">
        <v>3304</v>
      </c>
      <c r="D5393" t="s">
        <v>4781</v>
      </c>
      <c r="E5393" s="2">
        <v>1774.52</v>
      </c>
    </row>
    <row r="5394" spans="1:5" x14ac:dyDescent="0.25">
      <c r="A5394" s="1">
        <v>43552</v>
      </c>
      <c r="B5394">
        <v>121914</v>
      </c>
      <c r="C5394" t="s">
        <v>259</v>
      </c>
      <c r="D5394" t="s">
        <v>4782</v>
      </c>
      <c r="E5394" s="2">
        <v>282.75</v>
      </c>
    </row>
    <row r="5395" spans="1:5" x14ac:dyDescent="0.25">
      <c r="A5395" s="1">
        <v>43552</v>
      </c>
      <c r="B5395">
        <v>121914</v>
      </c>
      <c r="C5395" t="s">
        <v>259</v>
      </c>
      <c r="D5395" t="s">
        <v>1194</v>
      </c>
      <c r="E5395" s="2">
        <v>173.75</v>
      </c>
    </row>
    <row r="5396" spans="1:5" x14ac:dyDescent="0.25">
      <c r="A5396" s="1">
        <v>43552</v>
      </c>
      <c r="B5396">
        <v>121914</v>
      </c>
      <c r="C5396" t="s">
        <v>259</v>
      </c>
      <c r="D5396" t="s">
        <v>4039</v>
      </c>
      <c r="E5396" s="2">
        <v>10.95</v>
      </c>
    </row>
    <row r="5397" spans="1:5" x14ac:dyDescent="0.25">
      <c r="A5397" s="1">
        <v>43552</v>
      </c>
      <c r="B5397">
        <v>121915</v>
      </c>
      <c r="C5397" t="s">
        <v>365</v>
      </c>
      <c r="D5397" t="s">
        <v>4783</v>
      </c>
      <c r="E5397" s="2">
        <v>184.09</v>
      </c>
    </row>
    <row r="5398" spans="1:5" x14ac:dyDescent="0.25">
      <c r="A5398" s="1">
        <v>43552</v>
      </c>
      <c r="B5398">
        <v>121916</v>
      </c>
      <c r="C5398" t="s">
        <v>2393</v>
      </c>
      <c r="D5398" t="s">
        <v>3453</v>
      </c>
      <c r="E5398" s="2">
        <f>481*3</f>
        <v>1443</v>
      </c>
    </row>
    <row r="5399" spans="1:5" x14ac:dyDescent="0.25">
      <c r="A5399" s="1">
        <v>43552</v>
      </c>
      <c r="B5399">
        <v>121917</v>
      </c>
      <c r="C5399" t="s">
        <v>265</v>
      </c>
      <c r="D5399" t="s">
        <v>2763</v>
      </c>
      <c r="E5399" s="2">
        <v>2351.25</v>
      </c>
    </row>
    <row r="5400" spans="1:5" x14ac:dyDescent="0.25">
      <c r="A5400" s="1">
        <v>43552</v>
      </c>
      <c r="B5400">
        <v>121918</v>
      </c>
      <c r="C5400" t="s">
        <v>1196</v>
      </c>
      <c r="D5400" t="s">
        <v>4784</v>
      </c>
      <c r="E5400" s="2">
        <v>650</v>
      </c>
    </row>
    <row r="5401" spans="1:5" x14ac:dyDescent="0.25">
      <c r="A5401" s="1">
        <v>43552</v>
      </c>
      <c r="B5401">
        <v>121918</v>
      </c>
      <c r="C5401" t="s">
        <v>1196</v>
      </c>
      <c r="D5401" t="s">
        <v>4785</v>
      </c>
      <c r="E5401" s="2">
        <v>300</v>
      </c>
    </row>
    <row r="5402" spans="1:5" x14ac:dyDescent="0.25">
      <c r="A5402" s="1">
        <v>43552</v>
      </c>
      <c r="B5402">
        <v>121919</v>
      </c>
      <c r="C5402" t="s">
        <v>269</v>
      </c>
      <c r="D5402" t="s">
        <v>4453</v>
      </c>
      <c r="E5402" s="2">
        <f>65+114.2</f>
        <v>179.2</v>
      </c>
    </row>
    <row r="5403" spans="1:5" x14ac:dyDescent="0.25">
      <c r="A5403" s="1">
        <v>43552</v>
      </c>
      <c r="B5403">
        <v>121919</v>
      </c>
      <c r="C5403" t="s">
        <v>269</v>
      </c>
      <c r="D5403" t="s">
        <v>2912</v>
      </c>
      <c r="E5403" s="2">
        <v>184</v>
      </c>
    </row>
    <row r="5404" spans="1:5" x14ac:dyDescent="0.25">
      <c r="A5404" s="1">
        <v>43552</v>
      </c>
      <c r="B5404">
        <v>121920</v>
      </c>
      <c r="C5404" t="s">
        <v>274</v>
      </c>
      <c r="D5404" t="s">
        <v>4786</v>
      </c>
      <c r="E5404" s="2">
        <v>1053.68</v>
      </c>
    </row>
    <row r="5405" spans="1:5" x14ac:dyDescent="0.25">
      <c r="A5405" s="1">
        <v>43552</v>
      </c>
      <c r="B5405">
        <v>121920</v>
      </c>
      <c r="C5405" t="s">
        <v>274</v>
      </c>
      <c r="D5405" t="s">
        <v>4787</v>
      </c>
      <c r="E5405" s="2">
        <v>354.53</v>
      </c>
    </row>
    <row r="5406" spans="1:5" x14ac:dyDescent="0.25">
      <c r="A5406" s="1">
        <v>43552</v>
      </c>
      <c r="B5406">
        <v>121921</v>
      </c>
      <c r="C5406" t="s">
        <v>706</v>
      </c>
      <c r="D5406" t="s">
        <v>2334</v>
      </c>
      <c r="E5406" s="2">
        <v>2186.4</v>
      </c>
    </row>
    <row r="5407" spans="1:5" x14ac:dyDescent="0.25">
      <c r="A5407" s="1">
        <v>43552</v>
      </c>
      <c r="B5407">
        <v>121922</v>
      </c>
      <c r="C5407" t="s">
        <v>708</v>
      </c>
      <c r="D5407" t="s">
        <v>4788</v>
      </c>
      <c r="E5407" s="2">
        <v>6640.05</v>
      </c>
    </row>
    <row r="5408" spans="1:5" x14ac:dyDescent="0.25">
      <c r="A5408" s="1">
        <v>43552</v>
      </c>
      <c r="B5408">
        <v>121923</v>
      </c>
      <c r="C5408" t="s">
        <v>616</v>
      </c>
      <c r="D5408" t="s">
        <v>4789</v>
      </c>
      <c r="E5408" s="2">
        <v>128.19999999999999</v>
      </c>
    </row>
    <row r="5409" spans="1:5" x14ac:dyDescent="0.25">
      <c r="A5409" s="1">
        <v>43552</v>
      </c>
      <c r="B5409">
        <v>121923</v>
      </c>
      <c r="C5409" t="s">
        <v>616</v>
      </c>
      <c r="D5409" t="s">
        <v>4790</v>
      </c>
      <c r="E5409" s="2">
        <v>341.05</v>
      </c>
    </row>
    <row r="5410" spans="1:5" x14ac:dyDescent="0.25">
      <c r="A5410" s="1">
        <v>43552</v>
      </c>
      <c r="B5410">
        <v>121924</v>
      </c>
      <c r="C5410" t="s">
        <v>4791</v>
      </c>
      <c r="D5410" t="s">
        <v>4792</v>
      </c>
      <c r="E5410" s="2">
        <v>595</v>
      </c>
    </row>
    <row r="5411" spans="1:5" x14ac:dyDescent="0.25">
      <c r="A5411" s="1">
        <v>43552</v>
      </c>
      <c r="B5411">
        <v>121925</v>
      </c>
      <c r="C5411" t="s">
        <v>1823</v>
      </c>
      <c r="D5411" t="s">
        <v>4793</v>
      </c>
      <c r="E5411" s="2">
        <v>165.25</v>
      </c>
    </row>
    <row r="5412" spans="1:5" x14ac:dyDescent="0.25">
      <c r="A5412" s="1">
        <v>43552</v>
      </c>
      <c r="B5412">
        <v>121925</v>
      </c>
      <c r="C5412" t="s">
        <v>1823</v>
      </c>
      <c r="D5412" t="s">
        <v>4794</v>
      </c>
      <c r="E5412" s="2">
        <v>181.38</v>
      </c>
    </row>
    <row r="5413" spans="1:5" x14ac:dyDescent="0.25">
      <c r="A5413" s="1">
        <v>43552</v>
      </c>
      <c r="B5413">
        <v>121925</v>
      </c>
      <c r="C5413" t="s">
        <v>1823</v>
      </c>
      <c r="D5413" t="s">
        <v>4795</v>
      </c>
      <c r="E5413" s="2">
        <v>24.26</v>
      </c>
    </row>
    <row r="5414" spans="1:5" x14ac:dyDescent="0.25">
      <c r="A5414" s="1">
        <v>43552</v>
      </c>
      <c r="B5414">
        <v>121926</v>
      </c>
      <c r="C5414" t="s">
        <v>3468</v>
      </c>
      <c r="D5414" t="s">
        <v>4796</v>
      </c>
      <c r="E5414" s="2">
        <v>700</v>
      </c>
    </row>
    <row r="5415" spans="1:5" x14ac:dyDescent="0.25">
      <c r="A5415" s="1">
        <v>43552</v>
      </c>
      <c r="B5415">
        <v>121927</v>
      </c>
      <c r="C5415" t="s">
        <v>47</v>
      </c>
      <c r="D5415" t="s">
        <v>4797</v>
      </c>
      <c r="E5415" s="2">
        <v>165.59</v>
      </c>
    </row>
    <row r="5416" spans="1:5" x14ac:dyDescent="0.25">
      <c r="A5416" s="1">
        <v>43552</v>
      </c>
      <c r="B5416">
        <v>121927</v>
      </c>
      <c r="C5416" t="s">
        <v>47</v>
      </c>
      <c r="D5416" t="s">
        <v>4798</v>
      </c>
      <c r="E5416" s="2">
        <v>35.46</v>
      </c>
    </row>
    <row r="5417" spans="1:5" x14ac:dyDescent="0.25">
      <c r="A5417" s="1">
        <v>43552</v>
      </c>
      <c r="B5417">
        <v>121931</v>
      </c>
      <c r="C5417" t="s">
        <v>74</v>
      </c>
      <c r="D5417" t="s">
        <v>136</v>
      </c>
      <c r="E5417" s="2">
        <v>162.87</v>
      </c>
    </row>
    <row r="5418" spans="1:5" x14ac:dyDescent="0.25">
      <c r="A5418" s="1">
        <v>43552</v>
      </c>
      <c r="B5418">
        <v>121931</v>
      </c>
      <c r="C5418" t="s">
        <v>74</v>
      </c>
      <c r="D5418" t="s">
        <v>416</v>
      </c>
      <c r="E5418" s="3">
        <v>-59.5</v>
      </c>
    </row>
    <row r="5419" spans="1:5" x14ac:dyDescent="0.25">
      <c r="A5419" s="1">
        <v>43552</v>
      </c>
      <c r="B5419">
        <v>121931</v>
      </c>
      <c r="C5419" t="s">
        <v>74</v>
      </c>
      <c r="D5419" t="s">
        <v>485</v>
      </c>
      <c r="E5419" s="2">
        <v>290.91000000000003</v>
      </c>
    </row>
    <row r="5420" spans="1:5" x14ac:dyDescent="0.25">
      <c r="A5420" s="1">
        <v>43552</v>
      </c>
      <c r="B5420">
        <v>121931</v>
      </c>
      <c r="C5420" t="s">
        <v>74</v>
      </c>
      <c r="D5420" t="s">
        <v>4799</v>
      </c>
      <c r="E5420" s="2">
        <v>358.8</v>
      </c>
    </row>
    <row r="5421" spans="1:5" x14ac:dyDescent="0.25">
      <c r="A5421" s="1">
        <v>43552</v>
      </c>
      <c r="B5421">
        <v>121931</v>
      </c>
      <c r="C5421" t="s">
        <v>74</v>
      </c>
      <c r="D5421" t="s">
        <v>3496</v>
      </c>
      <c r="E5421" s="2">
        <f>3.7+1757.3</f>
        <v>1761</v>
      </c>
    </row>
    <row r="5422" spans="1:5" x14ac:dyDescent="0.25">
      <c r="A5422" s="1">
        <v>43552</v>
      </c>
      <c r="B5422">
        <v>121931</v>
      </c>
      <c r="C5422" t="s">
        <v>74</v>
      </c>
      <c r="D5422" t="s">
        <v>4800</v>
      </c>
      <c r="E5422" s="2">
        <v>101.4</v>
      </c>
    </row>
    <row r="5423" spans="1:5" x14ac:dyDescent="0.25">
      <c r="A5423" s="1">
        <v>43552</v>
      </c>
      <c r="B5423">
        <v>121931</v>
      </c>
      <c r="C5423" t="s">
        <v>74</v>
      </c>
      <c r="D5423" t="s">
        <v>2040</v>
      </c>
      <c r="E5423" s="2">
        <v>121.26</v>
      </c>
    </row>
    <row r="5424" spans="1:5" x14ac:dyDescent="0.25">
      <c r="A5424" s="1">
        <v>43552</v>
      </c>
      <c r="B5424">
        <v>121931</v>
      </c>
      <c r="C5424" t="s">
        <v>74</v>
      </c>
      <c r="D5424" t="s">
        <v>4801</v>
      </c>
      <c r="E5424" s="2">
        <v>1943.5</v>
      </c>
    </row>
    <row r="5425" spans="1:5" x14ac:dyDescent="0.25">
      <c r="A5425" s="1">
        <v>43552</v>
      </c>
      <c r="B5425">
        <v>121931</v>
      </c>
      <c r="C5425" t="s">
        <v>74</v>
      </c>
      <c r="D5425" t="s">
        <v>4078</v>
      </c>
      <c r="E5425" s="2">
        <v>175.89</v>
      </c>
    </row>
    <row r="5426" spans="1:5" x14ac:dyDescent="0.25">
      <c r="A5426" s="1">
        <v>43552</v>
      </c>
      <c r="B5426">
        <v>121931</v>
      </c>
      <c r="C5426" t="s">
        <v>74</v>
      </c>
      <c r="D5426" t="s">
        <v>4802</v>
      </c>
      <c r="E5426" s="2">
        <v>855.17</v>
      </c>
    </row>
    <row r="5427" spans="1:5" x14ac:dyDescent="0.25">
      <c r="A5427" s="1">
        <v>43552</v>
      </c>
      <c r="B5427">
        <v>121931</v>
      </c>
      <c r="C5427" t="s">
        <v>74</v>
      </c>
      <c r="D5427" t="s">
        <v>4803</v>
      </c>
      <c r="E5427" s="2">
        <v>273.66000000000003</v>
      </c>
    </row>
    <row r="5428" spans="1:5" x14ac:dyDescent="0.25">
      <c r="A5428" s="1">
        <v>43552</v>
      </c>
      <c r="B5428">
        <v>121931</v>
      </c>
      <c r="C5428" t="s">
        <v>74</v>
      </c>
      <c r="D5428" t="s">
        <v>4804</v>
      </c>
      <c r="E5428" s="2">
        <v>189.9</v>
      </c>
    </row>
    <row r="5429" spans="1:5" x14ac:dyDescent="0.25">
      <c r="A5429" s="1">
        <v>43552</v>
      </c>
      <c r="B5429">
        <v>121931</v>
      </c>
      <c r="C5429" t="s">
        <v>74</v>
      </c>
      <c r="D5429" t="s">
        <v>4805</v>
      </c>
      <c r="E5429" s="2">
        <v>4.79</v>
      </c>
    </row>
    <row r="5430" spans="1:5" x14ac:dyDescent="0.25">
      <c r="A5430" s="1">
        <v>43552</v>
      </c>
      <c r="B5430">
        <v>121931</v>
      </c>
      <c r="C5430" t="s">
        <v>74</v>
      </c>
      <c r="D5430" t="s">
        <v>4806</v>
      </c>
      <c r="E5430" s="2">
        <v>235.37</v>
      </c>
    </row>
    <row r="5431" spans="1:5" x14ac:dyDescent="0.25">
      <c r="A5431" s="1">
        <v>43552</v>
      </c>
      <c r="B5431">
        <v>121931</v>
      </c>
      <c r="C5431" t="s">
        <v>74</v>
      </c>
      <c r="D5431" t="s">
        <v>3603</v>
      </c>
      <c r="E5431" s="2">
        <v>89.9</v>
      </c>
    </row>
    <row r="5432" spans="1:5" x14ac:dyDescent="0.25">
      <c r="A5432" s="1">
        <v>43552</v>
      </c>
      <c r="B5432">
        <v>121931</v>
      </c>
      <c r="C5432" t="s">
        <v>74</v>
      </c>
      <c r="D5432" t="s">
        <v>4807</v>
      </c>
      <c r="E5432" s="2">
        <v>519.70000000000005</v>
      </c>
    </row>
    <row r="5433" spans="1:5" x14ac:dyDescent="0.25">
      <c r="A5433" s="1">
        <v>43552</v>
      </c>
      <c r="B5433">
        <v>121931</v>
      </c>
      <c r="C5433" t="s">
        <v>74</v>
      </c>
      <c r="D5433" t="s">
        <v>3171</v>
      </c>
      <c r="E5433" s="2">
        <v>164.87</v>
      </c>
    </row>
    <row r="5434" spans="1:5" x14ac:dyDescent="0.25">
      <c r="A5434" s="1">
        <v>43552</v>
      </c>
      <c r="B5434">
        <v>121932</v>
      </c>
      <c r="C5434" t="s">
        <v>146</v>
      </c>
      <c r="D5434" t="s">
        <v>4808</v>
      </c>
      <c r="E5434" s="2">
        <f>1209.18+81.3</f>
        <v>1290.48</v>
      </c>
    </row>
    <row r="5435" spans="1:5" x14ac:dyDescent="0.25">
      <c r="A5435" s="1">
        <v>43552</v>
      </c>
      <c r="B5435">
        <v>121933</v>
      </c>
      <c r="C5435" t="s">
        <v>284</v>
      </c>
      <c r="D5435" t="s">
        <v>4809</v>
      </c>
      <c r="E5435" s="2">
        <v>846.12</v>
      </c>
    </row>
    <row r="5436" spans="1:5" x14ac:dyDescent="0.25">
      <c r="A5436" s="1">
        <v>43552</v>
      </c>
      <c r="B5436">
        <v>121934</v>
      </c>
      <c r="C5436" t="s">
        <v>2030</v>
      </c>
      <c r="D5436" t="s">
        <v>4810</v>
      </c>
      <c r="E5436" s="2">
        <v>250</v>
      </c>
    </row>
    <row r="5437" spans="1:5" x14ac:dyDescent="0.25">
      <c r="A5437" s="1">
        <v>43552</v>
      </c>
      <c r="B5437">
        <v>121935</v>
      </c>
      <c r="C5437" t="s">
        <v>75</v>
      </c>
      <c r="D5437" t="s">
        <v>4811</v>
      </c>
      <c r="E5437" s="2">
        <v>9.15</v>
      </c>
    </row>
    <row r="5438" spans="1:5" x14ac:dyDescent="0.25">
      <c r="A5438" s="1">
        <v>43552</v>
      </c>
      <c r="B5438">
        <v>121935</v>
      </c>
      <c r="C5438" t="s">
        <v>75</v>
      </c>
      <c r="D5438" t="s">
        <v>4812</v>
      </c>
      <c r="E5438" s="2">
        <v>12.16</v>
      </c>
    </row>
    <row r="5439" spans="1:5" x14ac:dyDescent="0.25">
      <c r="A5439" s="1">
        <v>43552</v>
      </c>
      <c r="B5439">
        <v>121935</v>
      </c>
      <c r="C5439" t="s">
        <v>75</v>
      </c>
      <c r="D5439" t="s">
        <v>4813</v>
      </c>
      <c r="E5439" s="2">
        <v>10</v>
      </c>
    </row>
    <row r="5440" spans="1:5" x14ac:dyDescent="0.25">
      <c r="A5440" s="1">
        <v>43552</v>
      </c>
      <c r="B5440">
        <v>121936</v>
      </c>
      <c r="C5440" t="s">
        <v>3548</v>
      </c>
      <c r="D5440" t="s">
        <v>4814</v>
      </c>
      <c r="E5440" s="2">
        <v>40</v>
      </c>
    </row>
    <row r="5441" spans="1:5" x14ac:dyDescent="0.25">
      <c r="A5441" s="1">
        <v>43552</v>
      </c>
      <c r="B5441">
        <v>121937</v>
      </c>
      <c r="C5441" t="s">
        <v>11</v>
      </c>
      <c r="D5441" t="s">
        <v>4815</v>
      </c>
      <c r="E5441" s="2">
        <v>28.69</v>
      </c>
    </row>
    <row r="5442" spans="1:5" x14ac:dyDescent="0.25">
      <c r="A5442" s="1">
        <v>43552</v>
      </c>
      <c r="B5442">
        <v>121937</v>
      </c>
      <c r="C5442" t="s">
        <v>11</v>
      </c>
      <c r="D5442" t="s">
        <v>4815</v>
      </c>
      <c r="E5442" s="2">
        <v>28.69</v>
      </c>
    </row>
    <row r="5443" spans="1:5" x14ac:dyDescent="0.25">
      <c r="A5443" s="1">
        <v>43552</v>
      </c>
      <c r="B5443">
        <v>121938</v>
      </c>
      <c r="C5443" t="s">
        <v>50</v>
      </c>
      <c r="D5443" t="s">
        <v>2047</v>
      </c>
      <c r="E5443" s="2">
        <v>2792.5</v>
      </c>
    </row>
    <row r="5444" spans="1:5" x14ac:dyDescent="0.25">
      <c r="A5444" s="1">
        <v>43552</v>
      </c>
      <c r="B5444">
        <v>121939</v>
      </c>
      <c r="C5444" t="s">
        <v>298</v>
      </c>
      <c r="D5444" t="s">
        <v>4816</v>
      </c>
      <c r="E5444" s="2">
        <v>18707.240000000002</v>
      </c>
    </row>
    <row r="5445" spans="1:5" x14ac:dyDescent="0.25">
      <c r="A5445" s="1">
        <v>43552</v>
      </c>
      <c r="B5445">
        <v>121940</v>
      </c>
      <c r="C5445" t="s">
        <v>4817</v>
      </c>
      <c r="D5445" t="s">
        <v>4818</v>
      </c>
      <c r="E5445" s="2">
        <v>1763</v>
      </c>
    </row>
    <row r="5446" spans="1:5" x14ac:dyDescent="0.25">
      <c r="A5446" s="1">
        <v>43552</v>
      </c>
      <c r="B5446">
        <v>121941</v>
      </c>
      <c r="C5446" t="s">
        <v>14</v>
      </c>
      <c r="D5446" t="s">
        <v>4819</v>
      </c>
      <c r="E5446" s="2">
        <v>575</v>
      </c>
    </row>
    <row r="5447" spans="1:5" x14ac:dyDescent="0.25">
      <c r="A5447" s="1">
        <v>43552</v>
      </c>
      <c r="B5447">
        <v>121943</v>
      </c>
      <c r="C5447" t="s">
        <v>631</v>
      </c>
      <c r="D5447" t="s">
        <v>4820</v>
      </c>
      <c r="E5447" s="2">
        <v>416.17</v>
      </c>
    </row>
    <row r="5448" spans="1:5" x14ac:dyDescent="0.25">
      <c r="A5448" s="1">
        <v>43552</v>
      </c>
      <c r="B5448">
        <v>121943</v>
      </c>
      <c r="C5448" t="s">
        <v>631</v>
      </c>
      <c r="D5448" t="s">
        <v>4821</v>
      </c>
      <c r="E5448" s="2">
        <v>72.78</v>
      </c>
    </row>
    <row r="5449" spans="1:5" x14ac:dyDescent="0.25">
      <c r="A5449" s="1">
        <v>43552</v>
      </c>
      <c r="B5449">
        <v>121943</v>
      </c>
      <c r="C5449" t="s">
        <v>631</v>
      </c>
      <c r="D5449" t="s">
        <v>4822</v>
      </c>
      <c r="E5449" s="2">
        <v>49.7</v>
      </c>
    </row>
    <row r="5450" spans="1:5" x14ac:dyDescent="0.25">
      <c r="A5450" s="1">
        <v>43552</v>
      </c>
      <c r="B5450">
        <v>121943</v>
      </c>
      <c r="C5450" t="s">
        <v>631</v>
      </c>
      <c r="D5450" t="s">
        <v>4823</v>
      </c>
      <c r="E5450" s="2">
        <v>199.25</v>
      </c>
    </row>
    <row r="5451" spans="1:5" x14ac:dyDescent="0.25">
      <c r="A5451" s="1">
        <v>43552</v>
      </c>
      <c r="B5451">
        <v>121943</v>
      </c>
      <c r="C5451" t="s">
        <v>631</v>
      </c>
      <c r="D5451" t="s">
        <v>4824</v>
      </c>
      <c r="E5451" s="2">
        <v>244.91</v>
      </c>
    </row>
    <row r="5452" spans="1:5" x14ac:dyDescent="0.25">
      <c r="A5452" s="1">
        <v>43552</v>
      </c>
      <c r="B5452">
        <v>121943</v>
      </c>
      <c r="C5452" t="s">
        <v>631</v>
      </c>
      <c r="D5452" t="s">
        <v>3472</v>
      </c>
      <c r="E5452" s="2">
        <v>249.02</v>
      </c>
    </row>
    <row r="5453" spans="1:5" x14ac:dyDescent="0.25">
      <c r="A5453" s="1">
        <v>43552</v>
      </c>
      <c r="B5453">
        <v>121943</v>
      </c>
      <c r="C5453" t="s">
        <v>631</v>
      </c>
      <c r="D5453" t="s">
        <v>4825</v>
      </c>
      <c r="E5453" s="2">
        <v>191.54</v>
      </c>
    </row>
    <row r="5454" spans="1:5" x14ac:dyDescent="0.25">
      <c r="A5454" s="1">
        <v>43552</v>
      </c>
      <c r="B5454">
        <v>121943</v>
      </c>
      <c r="C5454" t="s">
        <v>631</v>
      </c>
      <c r="D5454" t="s">
        <v>4826</v>
      </c>
      <c r="E5454" s="2">
        <v>37.85</v>
      </c>
    </row>
    <row r="5455" spans="1:5" x14ac:dyDescent="0.25">
      <c r="A5455" s="1">
        <v>43552</v>
      </c>
      <c r="B5455">
        <v>121944</v>
      </c>
      <c r="C5455" t="s">
        <v>3515</v>
      </c>
      <c r="D5455" t="s">
        <v>4827</v>
      </c>
      <c r="E5455" s="2">
        <v>350</v>
      </c>
    </row>
    <row r="5456" spans="1:5" x14ac:dyDescent="0.25">
      <c r="A5456" s="1">
        <v>43552</v>
      </c>
      <c r="B5456">
        <v>121945</v>
      </c>
      <c r="C5456" t="s">
        <v>757</v>
      </c>
      <c r="D5456" t="s">
        <v>4828</v>
      </c>
      <c r="E5456" s="2">
        <v>5625</v>
      </c>
    </row>
    <row r="5457" spans="1:5" x14ac:dyDescent="0.25">
      <c r="A5457" s="1">
        <v>43552</v>
      </c>
      <c r="B5457">
        <v>121946</v>
      </c>
      <c r="C5457" t="s">
        <v>1112</v>
      </c>
      <c r="D5457" t="s">
        <v>4829</v>
      </c>
      <c r="E5457" s="2">
        <v>926.4</v>
      </c>
    </row>
    <row r="5458" spans="1:5" x14ac:dyDescent="0.25">
      <c r="A5458" s="1">
        <v>43552</v>
      </c>
      <c r="B5458">
        <v>121948</v>
      </c>
      <c r="C5458" t="s">
        <v>760</v>
      </c>
      <c r="D5458" t="s">
        <v>4527</v>
      </c>
      <c r="E5458" s="2">
        <f>715.18+183.94</f>
        <v>899.11999999999989</v>
      </c>
    </row>
    <row r="5459" spans="1:5" x14ac:dyDescent="0.25">
      <c r="A5459" s="1">
        <v>43552</v>
      </c>
      <c r="B5459">
        <v>121948</v>
      </c>
      <c r="C5459" t="s">
        <v>760</v>
      </c>
      <c r="D5459" t="s">
        <v>4830</v>
      </c>
      <c r="E5459" s="2">
        <v>380.47</v>
      </c>
    </row>
    <row r="5460" spans="1:5" x14ac:dyDescent="0.25">
      <c r="A5460" s="1">
        <v>43552</v>
      </c>
      <c r="B5460">
        <v>121948</v>
      </c>
      <c r="C5460" t="s">
        <v>760</v>
      </c>
      <c r="D5460" t="s">
        <v>4831</v>
      </c>
      <c r="E5460" s="2">
        <v>257.33999999999997</v>
      </c>
    </row>
    <row r="5461" spans="1:5" x14ac:dyDescent="0.25">
      <c r="A5461" s="1">
        <v>43552</v>
      </c>
      <c r="B5461">
        <v>121948</v>
      </c>
      <c r="C5461" t="s">
        <v>760</v>
      </c>
      <c r="D5461" t="s">
        <v>416</v>
      </c>
      <c r="E5461" s="3">
        <v>-217.7</v>
      </c>
    </row>
    <row r="5462" spans="1:5" x14ac:dyDescent="0.25">
      <c r="A5462" s="1">
        <v>43552</v>
      </c>
      <c r="B5462">
        <v>121949</v>
      </c>
      <c r="C5462" t="s">
        <v>4832</v>
      </c>
      <c r="D5462" t="s">
        <v>4833</v>
      </c>
      <c r="E5462" s="2">
        <v>208.5</v>
      </c>
    </row>
    <row r="5463" spans="1:5" x14ac:dyDescent="0.25">
      <c r="A5463" s="1">
        <v>43552</v>
      </c>
      <c r="B5463">
        <v>121950</v>
      </c>
      <c r="C5463" t="s">
        <v>4834</v>
      </c>
      <c r="D5463" t="s">
        <v>4835</v>
      </c>
      <c r="E5463" s="2">
        <v>27.27</v>
      </c>
    </row>
    <row r="5464" spans="1:5" x14ac:dyDescent="0.25">
      <c r="A5464" s="1">
        <v>43552</v>
      </c>
      <c r="B5464">
        <v>121951</v>
      </c>
      <c r="C5464" t="s">
        <v>158</v>
      </c>
      <c r="D5464" t="s">
        <v>4836</v>
      </c>
      <c r="E5464" s="2">
        <v>723.13</v>
      </c>
    </row>
    <row r="5465" spans="1:5" x14ac:dyDescent="0.25">
      <c r="A5465" s="1">
        <v>43552</v>
      </c>
      <c r="B5465">
        <v>121951</v>
      </c>
      <c r="C5465" t="s">
        <v>158</v>
      </c>
      <c r="D5465" t="s">
        <v>4837</v>
      </c>
      <c r="E5465" s="2">
        <v>60.49</v>
      </c>
    </row>
    <row r="5466" spans="1:5" x14ac:dyDescent="0.25">
      <c r="A5466" s="1">
        <v>43552</v>
      </c>
      <c r="B5466">
        <v>121951</v>
      </c>
      <c r="C5466" t="s">
        <v>158</v>
      </c>
      <c r="D5466" t="s">
        <v>4838</v>
      </c>
      <c r="E5466" s="2">
        <v>152.97</v>
      </c>
    </row>
    <row r="5467" spans="1:5" x14ac:dyDescent="0.25">
      <c r="A5467" s="1">
        <v>43552</v>
      </c>
      <c r="B5467">
        <v>121952</v>
      </c>
      <c r="C5467" t="s">
        <v>1711</v>
      </c>
      <c r="D5467" t="s">
        <v>4839</v>
      </c>
      <c r="E5467" s="2">
        <v>2100</v>
      </c>
    </row>
    <row r="5468" spans="1:5" x14ac:dyDescent="0.25">
      <c r="A5468" s="1">
        <v>43552</v>
      </c>
      <c r="B5468">
        <v>121953</v>
      </c>
      <c r="C5468" t="s">
        <v>161</v>
      </c>
      <c r="D5468" t="s">
        <v>1016</v>
      </c>
      <c r="E5468" s="3">
        <v>-1700</v>
      </c>
    </row>
    <row r="5469" spans="1:5" x14ac:dyDescent="0.25">
      <c r="A5469" s="1">
        <v>43552</v>
      </c>
      <c r="B5469">
        <v>121953</v>
      </c>
      <c r="C5469" t="s">
        <v>161</v>
      </c>
      <c r="D5469" t="s">
        <v>4840</v>
      </c>
      <c r="E5469" s="2">
        <v>6800</v>
      </c>
    </row>
    <row r="5470" spans="1:5" x14ac:dyDescent="0.25">
      <c r="A5470" s="1">
        <v>43552</v>
      </c>
      <c r="B5470">
        <v>121954</v>
      </c>
      <c r="C5470" t="s">
        <v>768</v>
      </c>
      <c r="D5470" t="s">
        <v>4841</v>
      </c>
      <c r="E5470" s="2">
        <v>2640</v>
      </c>
    </row>
    <row r="5471" spans="1:5" x14ac:dyDescent="0.25">
      <c r="A5471" s="1">
        <v>43552</v>
      </c>
      <c r="B5471">
        <v>121955</v>
      </c>
      <c r="C5471" t="s">
        <v>213</v>
      </c>
      <c r="D5471" t="s">
        <v>4124</v>
      </c>
      <c r="E5471" s="2">
        <v>17.13</v>
      </c>
    </row>
    <row r="5472" spans="1:5" x14ac:dyDescent="0.25">
      <c r="A5472" s="1">
        <v>43552</v>
      </c>
      <c r="B5472">
        <v>121956</v>
      </c>
      <c r="C5472" t="s">
        <v>1516</v>
      </c>
      <c r="D5472" t="s">
        <v>4540</v>
      </c>
      <c r="E5472" s="2">
        <v>144</v>
      </c>
    </row>
    <row r="5473" spans="1:5" x14ac:dyDescent="0.25">
      <c r="A5473" s="1">
        <v>43552</v>
      </c>
      <c r="B5473">
        <v>121956</v>
      </c>
      <c r="C5473" t="s">
        <v>1516</v>
      </c>
      <c r="D5473" t="s">
        <v>4540</v>
      </c>
      <c r="E5473" s="2">
        <v>96</v>
      </c>
    </row>
    <row r="5474" spans="1:5" x14ac:dyDescent="0.25">
      <c r="A5474" s="1">
        <v>43552</v>
      </c>
      <c r="B5474">
        <v>121956</v>
      </c>
      <c r="C5474" t="s">
        <v>1516</v>
      </c>
      <c r="D5474" t="s">
        <v>4842</v>
      </c>
      <c r="E5474" s="2">
        <v>36</v>
      </c>
    </row>
    <row r="5475" spans="1:5" x14ac:dyDescent="0.25">
      <c r="A5475" s="1">
        <v>43552</v>
      </c>
      <c r="B5475">
        <v>121957</v>
      </c>
      <c r="C5475" t="s">
        <v>2431</v>
      </c>
      <c r="D5475" t="s">
        <v>4843</v>
      </c>
      <c r="E5475" s="2">
        <v>449.15</v>
      </c>
    </row>
    <row r="5476" spans="1:5" x14ac:dyDescent="0.25">
      <c r="A5476" s="1">
        <v>43552</v>
      </c>
      <c r="B5476">
        <v>121958</v>
      </c>
      <c r="C5476" t="s">
        <v>319</v>
      </c>
      <c r="D5476" t="s">
        <v>4844</v>
      </c>
      <c r="E5476" s="2">
        <v>195</v>
      </c>
    </row>
    <row r="5477" spans="1:5" x14ac:dyDescent="0.25">
      <c r="A5477" s="1">
        <v>43552</v>
      </c>
      <c r="B5477">
        <v>121959</v>
      </c>
      <c r="C5477" t="s">
        <v>17</v>
      </c>
      <c r="D5477" t="s">
        <v>4845</v>
      </c>
      <c r="E5477" s="2">
        <v>2340</v>
      </c>
    </row>
    <row r="5478" spans="1:5" x14ac:dyDescent="0.25">
      <c r="A5478" s="1">
        <v>43552</v>
      </c>
      <c r="B5478">
        <v>121960</v>
      </c>
      <c r="C5478" t="s">
        <v>323</v>
      </c>
      <c r="D5478" t="s">
        <v>4846</v>
      </c>
      <c r="E5478" s="2">
        <f>613*2</f>
        <v>1226</v>
      </c>
    </row>
    <row r="5479" spans="1:5" x14ac:dyDescent="0.25">
      <c r="A5479" s="1">
        <v>43552</v>
      </c>
      <c r="B5479">
        <v>121961</v>
      </c>
      <c r="C5479" t="s">
        <v>2104</v>
      </c>
      <c r="D5479" t="s">
        <v>4847</v>
      </c>
      <c r="E5479" s="2">
        <v>890</v>
      </c>
    </row>
    <row r="5480" spans="1:5" x14ac:dyDescent="0.25">
      <c r="A5480" s="1">
        <v>43552</v>
      </c>
      <c r="B5480">
        <v>121962</v>
      </c>
      <c r="C5480" t="s">
        <v>2446</v>
      </c>
      <c r="D5480" t="s">
        <v>4848</v>
      </c>
      <c r="E5480" s="2">
        <v>2601.34</v>
      </c>
    </row>
    <row r="5481" spans="1:5" x14ac:dyDescent="0.25">
      <c r="A5481" s="1">
        <v>43552</v>
      </c>
      <c r="B5481">
        <v>121963</v>
      </c>
      <c r="C5481" t="s">
        <v>4849</v>
      </c>
      <c r="D5481" t="s">
        <v>4850</v>
      </c>
      <c r="E5481" s="2">
        <v>1089.17</v>
      </c>
    </row>
    <row r="5482" spans="1:5" x14ac:dyDescent="0.25">
      <c r="A5482" s="1">
        <v>43552</v>
      </c>
      <c r="B5482">
        <v>121968</v>
      </c>
      <c r="C5482" t="s">
        <v>388</v>
      </c>
      <c r="D5482" t="s">
        <v>1870</v>
      </c>
      <c r="E5482" s="2">
        <f>288.33+164.02+510.53+510.53+510.53+510.53+1429.73+113.73+288.33+164.02+510.53+510.53+510.53+510.53+510.53+1429.73+113.73</f>
        <v>8586.39</v>
      </c>
    </row>
    <row r="5483" spans="1:5" x14ac:dyDescent="0.25">
      <c r="A5483" s="1">
        <v>43552</v>
      </c>
      <c r="B5483">
        <v>121969</v>
      </c>
      <c r="C5483" t="s">
        <v>780</v>
      </c>
      <c r="D5483" t="s">
        <v>1871</v>
      </c>
      <c r="E5483" s="2">
        <v>133.76</v>
      </c>
    </row>
    <row r="5484" spans="1:5" x14ac:dyDescent="0.25">
      <c r="A5484" s="1">
        <v>43552</v>
      </c>
      <c r="B5484">
        <v>121970</v>
      </c>
      <c r="C5484" t="s">
        <v>1281</v>
      </c>
      <c r="D5484" t="s">
        <v>4851</v>
      </c>
      <c r="E5484" s="2">
        <v>78.540000000000006</v>
      </c>
    </row>
    <row r="5485" spans="1:5" x14ac:dyDescent="0.25">
      <c r="A5485" s="1">
        <v>43552</v>
      </c>
      <c r="B5485">
        <v>121972</v>
      </c>
      <c r="C5485" t="s">
        <v>392</v>
      </c>
      <c r="D5485" t="s">
        <v>4852</v>
      </c>
      <c r="E5485" s="2">
        <v>15628.41</v>
      </c>
    </row>
    <row r="5486" spans="1:5" x14ac:dyDescent="0.25">
      <c r="A5486" s="1">
        <v>43552</v>
      </c>
      <c r="B5486">
        <v>121973</v>
      </c>
      <c r="C5486" t="s">
        <v>19</v>
      </c>
      <c r="D5486" t="s">
        <v>4853</v>
      </c>
      <c r="E5486" s="2">
        <v>311.5</v>
      </c>
    </row>
    <row r="5487" spans="1:5" x14ac:dyDescent="0.25">
      <c r="A5487" s="1">
        <v>43552</v>
      </c>
      <c r="B5487">
        <v>121973</v>
      </c>
      <c r="C5487" t="s">
        <v>19</v>
      </c>
      <c r="D5487" t="s">
        <v>4854</v>
      </c>
      <c r="E5487" s="2">
        <v>334</v>
      </c>
    </row>
    <row r="5488" spans="1:5" x14ac:dyDescent="0.25">
      <c r="A5488" s="1">
        <v>43552</v>
      </c>
      <c r="B5488">
        <v>181900276</v>
      </c>
      <c r="C5488" t="s">
        <v>1057</v>
      </c>
      <c r="D5488" t="s">
        <v>880</v>
      </c>
      <c r="E5488" s="2">
        <v>267.97000000000003</v>
      </c>
    </row>
    <row r="5489" spans="1:6" x14ac:dyDescent="0.25">
      <c r="C5489" t="s">
        <v>2659</v>
      </c>
      <c r="F5489" s="9">
        <f>SUM(E4713:E5488)</f>
        <v>1265596.1579999977</v>
      </c>
    </row>
    <row r="5490" spans="1:6" x14ac:dyDescent="0.25">
      <c r="A5490" s="1">
        <v>43556</v>
      </c>
      <c r="B5490">
        <v>121974</v>
      </c>
      <c r="C5490" t="s">
        <v>10</v>
      </c>
      <c r="D5490" t="s">
        <v>4885</v>
      </c>
      <c r="E5490" s="2">
        <v>3036</v>
      </c>
    </row>
    <row r="5491" spans="1:6" x14ac:dyDescent="0.25">
      <c r="A5491" s="1">
        <v>43556</v>
      </c>
      <c r="B5491">
        <v>121975</v>
      </c>
      <c r="C5491" t="s">
        <v>1200</v>
      </c>
      <c r="D5491" t="s">
        <v>4886</v>
      </c>
      <c r="E5491" s="2">
        <v>251.55</v>
      </c>
    </row>
    <row r="5492" spans="1:6" x14ac:dyDescent="0.25">
      <c r="A5492" s="1">
        <v>43556</v>
      </c>
      <c r="B5492">
        <v>121976</v>
      </c>
      <c r="C5492" t="s">
        <v>639</v>
      </c>
      <c r="D5492" t="s">
        <v>4887</v>
      </c>
      <c r="E5492" s="2">
        <v>718.08</v>
      </c>
    </row>
    <row r="5493" spans="1:6" x14ac:dyDescent="0.25">
      <c r="A5493" s="1">
        <v>43556</v>
      </c>
      <c r="B5493">
        <v>121977</v>
      </c>
      <c r="C5493" t="s">
        <v>387</v>
      </c>
      <c r="D5493" t="s">
        <v>899</v>
      </c>
      <c r="E5493" s="2">
        <v>184.39</v>
      </c>
    </row>
    <row r="5494" spans="1:6" x14ac:dyDescent="0.25">
      <c r="A5494" s="1">
        <v>43557</v>
      </c>
      <c r="B5494">
        <v>121978</v>
      </c>
      <c r="C5494" t="s">
        <v>4888</v>
      </c>
      <c r="D5494" t="s">
        <v>4889</v>
      </c>
      <c r="E5494" s="2">
        <v>162.99</v>
      </c>
    </row>
    <row r="5495" spans="1:6" x14ac:dyDescent="0.25">
      <c r="A5495" s="1">
        <v>43557</v>
      </c>
      <c r="B5495">
        <v>121979</v>
      </c>
      <c r="C5495" t="s">
        <v>176</v>
      </c>
      <c r="D5495" t="s">
        <v>775</v>
      </c>
      <c r="E5495" s="2">
        <f>365*2</f>
        <v>730</v>
      </c>
    </row>
    <row r="5496" spans="1:6" x14ac:dyDescent="0.25">
      <c r="A5496" s="1">
        <v>43557</v>
      </c>
      <c r="B5496">
        <v>201800180</v>
      </c>
      <c r="C5496" t="s">
        <v>942</v>
      </c>
      <c r="D5496" t="s">
        <v>4890</v>
      </c>
      <c r="E5496" s="2">
        <v>109.68</v>
      </c>
    </row>
    <row r="5497" spans="1:6" x14ac:dyDescent="0.25">
      <c r="A5497" s="1">
        <v>43557</v>
      </c>
      <c r="B5497">
        <v>201800182</v>
      </c>
      <c r="C5497" t="s">
        <v>4891</v>
      </c>
      <c r="D5497" t="s">
        <v>583</v>
      </c>
      <c r="E5497" s="2">
        <v>124</v>
      </c>
    </row>
    <row r="5498" spans="1:6" x14ac:dyDescent="0.25">
      <c r="A5498" s="1">
        <v>43557</v>
      </c>
      <c r="B5498">
        <v>201800184</v>
      </c>
      <c r="C5498" t="s">
        <v>404</v>
      </c>
      <c r="D5498" t="s">
        <v>4892</v>
      </c>
      <c r="E5498" s="2">
        <f>49.25*4</f>
        <v>197</v>
      </c>
    </row>
    <row r="5499" spans="1:6" x14ac:dyDescent="0.25">
      <c r="A5499" s="1">
        <v>43557</v>
      </c>
      <c r="B5499">
        <v>201800185</v>
      </c>
      <c r="C5499" t="s">
        <v>1552</v>
      </c>
      <c r="D5499" t="s">
        <v>4893</v>
      </c>
      <c r="E5499" s="2">
        <v>795</v>
      </c>
    </row>
    <row r="5500" spans="1:6" x14ac:dyDescent="0.25">
      <c r="A5500" s="1">
        <v>43557</v>
      </c>
      <c r="B5500">
        <v>201800186</v>
      </c>
      <c r="C5500" t="s">
        <v>4894</v>
      </c>
      <c r="D5500" t="s">
        <v>4895</v>
      </c>
      <c r="E5500" s="2">
        <v>448</v>
      </c>
    </row>
    <row r="5501" spans="1:6" x14ac:dyDescent="0.25">
      <c r="A5501" s="1">
        <v>43557</v>
      </c>
      <c r="B5501">
        <v>201800187</v>
      </c>
      <c r="C5501" t="s">
        <v>4896</v>
      </c>
      <c r="D5501" t="s">
        <v>4897</v>
      </c>
      <c r="E5501" s="2">
        <v>76.25</v>
      </c>
    </row>
    <row r="5502" spans="1:6" x14ac:dyDescent="0.25">
      <c r="A5502" s="1">
        <v>43557</v>
      </c>
      <c r="B5502">
        <v>201800188</v>
      </c>
      <c r="C5502" t="s">
        <v>222</v>
      </c>
      <c r="D5502" t="s">
        <v>4898</v>
      </c>
      <c r="E5502" s="2">
        <v>47.18</v>
      </c>
    </row>
    <row r="5503" spans="1:6" x14ac:dyDescent="0.25">
      <c r="A5503" s="1">
        <v>43558</v>
      </c>
      <c r="B5503">
        <v>121980</v>
      </c>
      <c r="C5503" t="s">
        <v>64</v>
      </c>
      <c r="D5503" t="s">
        <v>4899</v>
      </c>
      <c r="E5503" s="2">
        <v>3469</v>
      </c>
    </row>
    <row r="5504" spans="1:6" x14ac:dyDescent="0.25">
      <c r="A5504" s="1">
        <v>43558</v>
      </c>
      <c r="B5504">
        <v>121981</v>
      </c>
      <c r="C5504" t="s">
        <v>4900</v>
      </c>
      <c r="D5504" t="s">
        <v>4901</v>
      </c>
      <c r="E5504" s="2">
        <v>1003.93</v>
      </c>
    </row>
    <row r="5505" spans="1:5" x14ac:dyDescent="0.25">
      <c r="A5505" s="1">
        <v>43558</v>
      </c>
      <c r="B5505">
        <v>121982</v>
      </c>
      <c r="C5505" t="s">
        <v>4902</v>
      </c>
      <c r="D5505" t="s">
        <v>4903</v>
      </c>
      <c r="E5505" s="2">
        <v>1920</v>
      </c>
    </row>
    <row r="5506" spans="1:5" x14ac:dyDescent="0.25">
      <c r="A5506" s="1">
        <v>43558</v>
      </c>
      <c r="B5506">
        <v>121983</v>
      </c>
      <c r="C5506" t="s">
        <v>942</v>
      </c>
      <c r="D5506" t="s">
        <v>4904</v>
      </c>
      <c r="E5506" s="2">
        <v>475</v>
      </c>
    </row>
    <row r="5507" spans="1:5" x14ac:dyDescent="0.25">
      <c r="A5507" s="1">
        <v>43558</v>
      </c>
      <c r="B5507">
        <v>121984</v>
      </c>
      <c r="C5507" t="s">
        <v>4905</v>
      </c>
      <c r="D5507" t="s">
        <v>4906</v>
      </c>
      <c r="E5507" s="2">
        <v>176.65</v>
      </c>
    </row>
    <row r="5508" spans="1:5" x14ac:dyDescent="0.25">
      <c r="A5508" s="1">
        <v>43558</v>
      </c>
      <c r="B5508">
        <v>121985</v>
      </c>
      <c r="C5508" t="s">
        <v>4907</v>
      </c>
      <c r="D5508" t="s">
        <v>4908</v>
      </c>
      <c r="E5508" s="2">
        <v>935.75</v>
      </c>
    </row>
    <row r="5509" spans="1:5" x14ac:dyDescent="0.25">
      <c r="A5509" s="1">
        <v>43558</v>
      </c>
      <c r="B5509">
        <v>121986</v>
      </c>
      <c r="C5509" t="s">
        <v>4909</v>
      </c>
      <c r="D5509" t="s">
        <v>4910</v>
      </c>
      <c r="E5509" s="2">
        <v>283.95</v>
      </c>
    </row>
    <row r="5510" spans="1:5" x14ac:dyDescent="0.25">
      <c r="A5510" s="1">
        <v>43558</v>
      </c>
      <c r="B5510">
        <v>121987</v>
      </c>
      <c r="C5510" t="s">
        <v>4911</v>
      </c>
      <c r="D5510" t="s">
        <v>4912</v>
      </c>
      <c r="E5510" s="2">
        <v>480</v>
      </c>
    </row>
    <row r="5511" spans="1:5" x14ac:dyDescent="0.25">
      <c r="A5511" s="1">
        <v>43558</v>
      </c>
      <c r="B5511">
        <v>121988</v>
      </c>
      <c r="C5511" t="s">
        <v>70</v>
      </c>
      <c r="D5511" t="s">
        <v>4913</v>
      </c>
      <c r="E5511" s="2">
        <v>86</v>
      </c>
    </row>
    <row r="5512" spans="1:5" x14ac:dyDescent="0.25">
      <c r="A5512" s="1">
        <v>43558</v>
      </c>
      <c r="B5512">
        <v>121989</v>
      </c>
      <c r="C5512" t="s">
        <v>1328</v>
      </c>
      <c r="D5512" t="s">
        <v>4914</v>
      </c>
      <c r="E5512" s="2">
        <v>497</v>
      </c>
    </row>
    <row r="5513" spans="1:5" x14ac:dyDescent="0.25">
      <c r="A5513" s="1">
        <v>43558</v>
      </c>
      <c r="B5513">
        <v>121990</v>
      </c>
      <c r="C5513" t="s">
        <v>852</v>
      </c>
      <c r="D5513" t="s">
        <v>4915</v>
      </c>
      <c r="E5513" s="2">
        <v>250</v>
      </c>
    </row>
    <row r="5514" spans="1:5" x14ac:dyDescent="0.25">
      <c r="A5514" s="1">
        <v>43558</v>
      </c>
      <c r="B5514">
        <v>121991</v>
      </c>
      <c r="C5514" t="s">
        <v>4916</v>
      </c>
      <c r="D5514" t="s">
        <v>4917</v>
      </c>
      <c r="E5514" s="2">
        <v>2189.02</v>
      </c>
    </row>
    <row r="5515" spans="1:5" x14ac:dyDescent="0.25">
      <c r="A5515" s="1">
        <v>43558</v>
      </c>
      <c r="B5515">
        <v>121992</v>
      </c>
      <c r="C5515" t="s">
        <v>3147</v>
      </c>
      <c r="D5515" t="s">
        <v>3558</v>
      </c>
      <c r="E5515" s="2">
        <v>10000</v>
      </c>
    </row>
    <row r="5516" spans="1:5" x14ac:dyDescent="0.25">
      <c r="A5516" s="1">
        <v>43558</v>
      </c>
      <c r="B5516">
        <v>121993</v>
      </c>
      <c r="C5516" t="s">
        <v>4918</v>
      </c>
      <c r="D5516" t="s">
        <v>4919</v>
      </c>
      <c r="E5516" s="2">
        <v>216</v>
      </c>
    </row>
    <row r="5517" spans="1:5" x14ac:dyDescent="0.25">
      <c r="A5517" s="1">
        <v>43558</v>
      </c>
      <c r="B5517">
        <v>121994</v>
      </c>
      <c r="C5517" t="s">
        <v>1200</v>
      </c>
      <c r="D5517" t="s">
        <v>4920</v>
      </c>
      <c r="E5517" s="2">
        <f>967.5+967.5</f>
        <v>1935</v>
      </c>
    </row>
    <row r="5518" spans="1:5" x14ac:dyDescent="0.25">
      <c r="A5518" s="1">
        <v>43558</v>
      </c>
      <c r="B5518">
        <v>121996</v>
      </c>
      <c r="C5518" t="s">
        <v>3562</v>
      </c>
      <c r="D5518" t="s">
        <v>4921</v>
      </c>
      <c r="E5518" s="2">
        <v>229</v>
      </c>
    </row>
    <row r="5519" spans="1:5" x14ac:dyDescent="0.25">
      <c r="A5519" s="1">
        <v>43558</v>
      </c>
      <c r="B5519">
        <v>121997</v>
      </c>
      <c r="C5519" t="s">
        <v>11</v>
      </c>
      <c r="D5519" t="s">
        <v>432</v>
      </c>
      <c r="E5519" s="2">
        <f>333.6+131.7</f>
        <v>465.3</v>
      </c>
    </row>
    <row r="5520" spans="1:5" x14ac:dyDescent="0.25">
      <c r="A5520" s="1">
        <v>43558</v>
      </c>
      <c r="B5520">
        <v>121998</v>
      </c>
      <c r="C5520" t="s">
        <v>12</v>
      </c>
      <c r="D5520" t="s">
        <v>4922</v>
      </c>
      <c r="E5520" s="2">
        <v>47.95</v>
      </c>
    </row>
    <row r="5521" spans="1:5" x14ac:dyDescent="0.25">
      <c r="A5521" s="1">
        <v>43558</v>
      </c>
      <c r="B5521">
        <v>121999</v>
      </c>
      <c r="C5521" t="s">
        <v>1767</v>
      </c>
      <c r="D5521" t="s">
        <v>4923</v>
      </c>
      <c r="E5521" s="2">
        <v>462.51</v>
      </c>
    </row>
    <row r="5522" spans="1:5" x14ac:dyDescent="0.25">
      <c r="A5522" s="1">
        <v>43558</v>
      </c>
      <c r="B5522">
        <v>122000</v>
      </c>
      <c r="C5522" t="s">
        <v>974</v>
      </c>
      <c r="D5522" t="s">
        <v>975</v>
      </c>
      <c r="E5522" s="2">
        <v>100</v>
      </c>
    </row>
    <row r="5523" spans="1:5" x14ac:dyDescent="0.25">
      <c r="A5523" s="1">
        <v>43558</v>
      </c>
      <c r="B5523">
        <v>122001</v>
      </c>
      <c r="C5523" t="s">
        <v>1494</v>
      </c>
      <c r="D5523" t="s">
        <v>4924</v>
      </c>
      <c r="E5523" s="2">
        <v>2770.2</v>
      </c>
    </row>
    <row r="5524" spans="1:5" x14ac:dyDescent="0.25">
      <c r="A5524" s="1">
        <v>43558</v>
      </c>
      <c r="B5524">
        <v>122002</v>
      </c>
      <c r="C5524" t="s">
        <v>4925</v>
      </c>
      <c r="D5524" t="s">
        <v>4926</v>
      </c>
      <c r="E5524" s="2">
        <v>29473.439999999999</v>
      </c>
    </row>
    <row r="5525" spans="1:5" x14ac:dyDescent="0.25">
      <c r="A5525" s="1">
        <v>43558</v>
      </c>
      <c r="B5525">
        <v>122003</v>
      </c>
      <c r="C5525" t="s">
        <v>4927</v>
      </c>
      <c r="D5525" t="s">
        <v>4928</v>
      </c>
      <c r="E5525" s="2">
        <v>179.8</v>
      </c>
    </row>
    <row r="5526" spans="1:5" x14ac:dyDescent="0.25">
      <c r="A5526" s="1">
        <v>43558</v>
      </c>
      <c r="B5526">
        <v>122004</v>
      </c>
      <c r="C5526" t="s">
        <v>80</v>
      </c>
      <c r="D5526" t="s">
        <v>4312</v>
      </c>
      <c r="E5526" s="2">
        <v>15.98</v>
      </c>
    </row>
    <row r="5527" spans="1:5" x14ac:dyDescent="0.25">
      <c r="A5527" s="1">
        <v>43558</v>
      </c>
      <c r="B5527">
        <v>122005</v>
      </c>
      <c r="C5527" t="s">
        <v>14</v>
      </c>
      <c r="D5527" t="s">
        <v>4929</v>
      </c>
      <c r="E5527" s="2">
        <v>96.71</v>
      </c>
    </row>
    <row r="5528" spans="1:5" x14ac:dyDescent="0.25">
      <c r="A5528" s="1">
        <v>43558</v>
      </c>
      <c r="B5528">
        <v>122006</v>
      </c>
      <c r="C5528" t="s">
        <v>4930</v>
      </c>
      <c r="D5528" t="s">
        <v>4931</v>
      </c>
      <c r="E5528" s="2">
        <v>775.22</v>
      </c>
    </row>
    <row r="5529" spans="1:5" x14ac:dyDescent="0.25">
      <c r="A5529" s="1">
        <v>43558</v>
      </c>
      <c r="B5529">
        <v>122007</v>
      </c>
      <c r="C5529" t="s">
        <v>4932</v>
      </c>
      <c r="D5529" t="s">
        <v>4933</v>
      </c>
      <c r="E5529" s="2">
        <v>305.02999999999997</v>
      </c>
    </row>
    <row r="5530" spans="1:5" x14ac:dyDescent="0.25">
      <c r="A5530" s="1">
        <v>43558</v>
      </c>
      <c r="B5530">
        <v>122008</v>
      </c>
      <c r="C5530" t="s">
        <v>2970</v>
      </c>
      <c r="D5530" t="s">
        <v>4934</v>
      </c>
      <c r="E5530" s="2">
        <v>1385</v>
      </c>
    </row>
    <row r="5531" spans="1:5" x14ac:dyDescent="0.25">
      <c r="A5531" s="1">
        <v>43558</v>
      </c>
      <c r="B5531">
        <v>122009</v>
      </c>
      <c r="C5531" t="s">
        <v>88</v>
      </c>
      <c r="D5531" t="s">
        <v>4935</v>
      </c>
      <c r="E5531" s="2">
        <v>285</v>
      </c>
    </row>
    <row r="5532" spans="1:5" x14ac:dyDescent="0.25">
      <c r="A5532" s="1">
        <v>43558</v>
      </c>
      <c r="B5532">
        <v>122010</v>
      </c>
      <c r="C5532" t="s">
        <v>2865</v>
      </c>
      <c r="D5532" t="s">
        <v>4936</v>
      </c>
      <c r="E5532" s="2">
        <v>1765.25</v>
      </c>
    </row>
    <row r="5533" spans="1:5" x14ac:dyDescent="0.25">
      <c r="A5533" s="1">
        <v>43558</v>
      </c>
      <c r="B5533">
        <v>122011</v>
      </c>
      <c r="C5533" t="s">
        <v>19</v>
      </c>
      <c r="D5533" t="s">
        <v>4937</v>
      </c>
      <c r="E5533" s="2">
        <v>212</v>
      </c>
    </row>
    <row r="5534" spans="1:5" x14ac:dyDescent="0.25">
      <c r="A5534" s="1">
        <v>43558</v>
      </c>
      <c r="B5534">
        <v>122012</v>
      </c>
      <c r="C5534" t="s">
        <v>3468</v>
      </c>
      <c r="D5534" t="s">
        <v>4938</v>
      </c>
      <c r="E5534" s="2">
        <v>70</v>
      </c>
    </row>
    <row r="5535" spans="1:5" x14ac:dyDescent="0.25">
      <c r="A5535" s="1">
        <v>43558</v>
      </c>
      <c r="B5535">
        <v>181900277</v>
      </c>
      <c r="C5535" t="s">
        <v>394</v>
      </c>
      <c r="D5535" t="s">
        <v>4939</v>
      </c>
      <c r="E5535" s="2">
        <v>559.6</v>
      </c>
    </row>
    <row r="5536" spans="1:5" x14ac:dyDescent="0.25">
      <c r="A5536" s="1">
        <v>43558</v>
      </c>
      <c r="B5536">
        <v>201800178</v>
      </c>
      <c r="C5536" t="s">
        <v>1612</v>
      </c>
      <c r="D5536" t="s">
        <v>4940</v>
      </c>
      <c r="E5536" s="2">
        <v>480</v>
      </c>
    </row>
    <row r="5537" spans="1:5" x14ac:dyDescent="0.25">
      <c r="A5537" s="1">
        <v>43558</v>
      </c>
      <c r="B5537">
        <v>201800179</v>
      </c>
      <c r="C5537" t="s">
        <v>4941</v>
      </c>
      <c r="D5537" t="s">
        <v>4942</v>
      </c>
      <c r="E5537" s="2">
        <v>1499</v>
      </c>
    </row>
    <row r="5538" spans="1:5" x14ac:dyDescent="0.25">
      <c r="A5538" s="1">
        <v>43558</v>
      </c>
      <c r="B5538">
        <v>201800181</v>
      </c>
      <c r="C5538" t="s">
        <v>4943</v>
      </c>
      <c r="D5538" t="s">
        <v>4944</v>
      </c>
      <c r="E5538" s="2">
        <v>44.26</v>
      </c>
    </row>
    <row r="5539" spans="1:5" x14ac:dyDescent="0.25">
      <c r="A5539" s="1">
        <v>43558</v>
      </c>
      <c r="B5539">
        <v>201800189</v>
      </c>
      <c r="C5539" t="s">
        <v>3385</v>
      </c>
      <c r="D5539" t="s">
        <v>4945</v>
      </c>
      <c r="E5539" s="2">
        <v>51.25</v>
      </c>
    </row>
    <row r="5540" spans="1:5" x14ac:dyDescent="0.25">
      <c r="A5540" s="1">
        <v>43559</v>
      </c>
      <c r="B5540">
        <v>122014</v>
      </c>
      <c r="C5540" t="s">
        <v>4946</v>
      </c>
      <c r="D5540" t="s">
        <v>4947</v>
      </c>
      <c r="E5540" s="2">
        <v>297.82</v>
      </c>
    </row>
    <row r="5541" spans="1:5" x14ac:dyDescent="0.25">
      <c r="A5541" s="1">
        <v>43559</v>
      </c>
      <c r="B5541">
        <v>122015</v>
      </c>
      <c r="C5541" t="s">
        <v>3885</v>
      </c>
      <c r="D5541" t="s">
        <v>416</v>
      </c>
      <c r="E5541" s="3">
        <f>-64.24-21.75</f>
        <v>-85.99</v>
      </c>
    </row>
    <row r="5542" spans="1:5" x14ac:dyDescent="0.25">
      <c r="A5542" s="1">
        <v>43559</v>
      </c>
      <c r="B5542">
        <v>122015</v>
      </c>
      <c r="C5542" t="s">
        <v>3885</v>
      </c>
      <c r="D5542" t="s">
        <v>3886</v>
      </c>
      <c r="E5542" s="2">
        <v>1999.24</v>
      </c>
    </row>
    <row r="5543" spans="1:5" x14ac:dyDescent="0.25">
      <c r="A5543" s="1">
        <v>43559</v>
      </c>
      <c r="B5543">
        <v>122015</v>
      </c>
      <c r="C5543" t="s">
        <v>3885</v>
      </c>
      <c r="D5543" t="s">
        <v>4948</v>
      </c>
      <c r="E5543" s="2">
        <v>299.75</v>
      </c>
    </row>
    <row r="5544" spans="1:5" x14ac:dyDescent="0.25">
      <c r="A5544" s="1">
        <v>43559</v>
      </c>
      <c r="B5544">
        <v>122016</v>
      </c>
      <c r="C5544" t="s">
        <v>1139</v>
      </c>
      <c r="D5544" t="s">
        <v>4949</v>
      </c>
      <c r="E5544" s="2">
        <v>785.63</v>
      </c>
    </row>
    <row r="5545" spans="1:5" x14ac:dyDescent="0.25">
      <c r="A5545" s="1">
        <v>43559</v>
      </c>
      <c r="B5545">
        <v>122017</v>
      </c>
      <c r="C5545" t="s">
        <v>226</v>
      </c>
      <c r="D5545" t="s">
        <v>4950</v>
      </c>
      <c r="E5545" s="2">
        <v>362.7</v>
      </c>
    </row>
    <row r="5546" spans="1:5" x14ac:dyDescent="0.25">
      <c r="A5546" s="1">
        <v>43559</v>
      </c>
      <c r="B5546">
        <v>122017</v>
      </c>
      <c r="C5546" t="s">
        <v>226</v>
      </c>
      <c r="D5546" t="s">
        <v>4951</v>
      </c>
      <c r="E5546" s="2">
        <v>51.24</v>
      </c>
    </row>
    <row r="5547" spans="1:5" x14ac:dyDescent="0.25">
      <c r="A5547" s="1">
        <v>43559</v>
      </c>
      <c r="B5547">
        <v>122017</v>
      </c>
      <c r="C5547" t="s">
        <v>226</v>
      </c>
      <c r="D5547" t="s">
        <v>4952</v>
      </c>
      <c r="E5547" s="2">
        <v>95.9</v>
      </c>
    </row>
    <row r="5548" spans="1:5" x14ac:dyDescent="0.25">
      <c r="A5548" s="1">
        <v>43559</v>
      </c>
      <c r="B5548">
        <v>122018</v>
      </c>
      <c r="C5548" t="s">
        <v>1920</v>
      </c>
      <c r="D5548" t="s">
        <v>4953</v>
      </c>
      <c r="E5548" s="2">
        <v>22.05</v>
      </c>
    </row>
    <row r="5549" spans="1:5" x14ac:dyDescent="0.25">
      <c r="A5549" s="1">
        <v>43559</v>
      </c>
      <c r="B5549">
        <v>122019</v>
      </c>
      <c r="C5549" t="s">
        <v>2165</v>
      </c>
      <c r="D5549" t="s">
        <v>4954</v>
      </c>
      <c r="E5549" s="2">
        <v>600</v>
      </c>
    </row>
    <row r="5550" spans="1:5" x14ac:dyDescent="0.25">
      <c r="A5550" s="1">
        <v>43559</v>
      </c>
      <c r="B5550">
        <v>122019</v>
      </c>
      <c r="C5550" t="s">
        <v>2165</v>
      </c>
      <c r="D5550" t="s">
        <v>4955</v>
      </c>
      <c r="E5550" s="2">
        <v>520</v>
      </c>
    </row>
    <row r="5551" spans="1:5" x14ac:dyDescent="0.25">
      <c r="A5551" s="1">
        <v>43559</v>
      </c>
      <c r="B5551">
        <v>122020</v>
      </c>
      <c r="C5551" t="s">
        <v>4900</v>
      </c>
      <c r="D5551" t="s">
        <v>4743</v>
      </c>
      <c r="E5551" s="2">
        <v>494.9</v>
      </c>
    </row>
    <row r="5552" spans="1:5" x14ac:dyDescent="0.25">
      <c r="A5552" s="1">
        <v>43559</v>
      </c>
      <c r="B5552">
        <v>122022</v>
      </c>
      <c r="C5552" t="s">
        <v>22</v>
      </c>
      <c r="D5552" t="s">
        <v>24</v>
      </c>
      <c r="E5552" s="2">
        <v>3956.44</v>
      </c>
    </row>
    <row r="5553" spans="1:5" x14ac:dyDescent="0.25">
      <c r="A5553" s="1">
        <v>43559</v>
      </c>
      <c r="B5553">
        <v>122022</v>
      </c>
      <c r="C5553" t="s">
        <v>22</v>
      </c>
      <c r="D5553" t="s">
        <v>23</v>
      </c>
      <c r="E5553" s="2">
        <v>1633.45</v>
      </c>
    </row>
    <row r="5554" spans="1:5" x14ac:dyDescent="0.25">
      <c r="A5554" s="1">
        <v>43559</v>
      </c>
      <c r="B5554">
        <v>122023</v>
      </c>
      <c r="C5554" t="s">
        <v>238</v>
      </c>
      <c r="D5554" t="s">
        <v>437</v>
      </c>
      <c r="E5554" s="2">
        <f>123.68+106.03+394.54</f>
        <v>624.25</v>
      </c>
    </row>
    <row r="5555" spans="1:5" x14ac:dyDescent="0.25">
      <c r="A5555" s="1">
        <v>43559</v>
      </c>
      <c r="B5555">
        <v>122024</v>
      </c>
      <c r="C5555" t="s">
        <v>97</v>
      </c>
      <c r="D5555" t="s">
        <v>4956</v>
      </c>
      <c r="E5555" s="2">
        <v>1799.4</v>
      </c>
    </row>
    <row r="5556" spans="1:5" x14ac:dyDescent="0.25">
      <c r="A5556" s="1">
        <v>43559</v>
      </c>
      <c r="B5556">
        <v>122025</v>
      </c>
      <c r="C5556" t="s">
        <v>4957</v>
      </c>
      <c r="D5556" t="s">
        <v>922</v>
      </c>
      <c r="E5556" s="2">
        <v>2625</v>
      </c>
    </row>
    <row r="5557" spans="1:5" x14ac:dyDescent="0.25">
      <c r="A5557" s="1">
        <v>43559</v>
      </c>
      <c r="B5557">
        <v>122025</v>
      </c>
      <c r="C5557" t="s">
        <v>4957</v>
      </c>
      <c r="D5557" t="s">
        <v>4958</v>
      </c>
      <c r="E5557" s="2">
        <v>250</v>
      </c>
    </row>
    <row r="5558" spans="1:5" x14ac:dyDescent="0.25">
      <c r="A5558" s="1">
        <v>43559</v>
      </c>
      <c r="B5558">
        <v>122026</v>
      </c>
      <c r="C5558" t="s">
        <v>3271</v>
      </c>
      <c r="D5558" t="s">
        <v>4709</v>
      </c>
      <c r="E5558" s="2">
        <v>314.54000000000002</v>
      </c>
    </row>
    <row r="5559" spans="1:5" x14ac:dyDescent="0.25">
      <c r="A5559" s="1">
        <v>43559</v>
      </c>
      <c r="B5559">
        <v>122027</v>
      </c>
      <c r="C5559" t="s">
        <v>823</v>
      </c>
      <c r="D5559" t="s">
        <v>4959</v>
      </c>
      <c r="E5559" s="2">
        <v>500</v>
      </c>
    </row>
    <row r="5560" spans="1:5" x14ac:dyDescent="0.25">
      <c r="A5560" s="1">
        <v>43559</v>
      </c>
      <c r="B5560">
        <v>122028</v>
      </c>
      <c r="C5560" t="s">
        <v>829</v>
      </c>
      <c r="D5560" t="s">
        <v>4960</v>
      </c>
      <c r="E5560" s="2">
        <v>250</v>
      </c>
    </row>
    <row r="5561" spans="1:5" x14ac:dyDescent="0.25">
      <c r="A5561" s="1">
        <v>43559</v>
      </c>
      <c r="B5561">
        <v>122028</v>
      </c>
      <c r="C5561" t="s">
        <v>829</v>
      </c>
      <c r="D5561" t="s">
        <v>4961</v>
      </c>
      <c r="E5561" s="2">
        <v>250</v>
      </c>
    </row>
    <row r="5562" spans="1:5" x14ac:dyDescent="0.25">
      <c r="A5562" s="1">
        <v>43559</v>
      </c>
      <c r="B5562">
        <v>122030</v>
      </c>
      <c r="C5562" t="s">
        <v>67</v>
      </c>
      <c r="D5562" t="s">
        <v>4962</v>
      </c>
      <c r="E5562" s="2">
        <v>285.05</v>
      </c>
    </row>
    <row r="5563" spans="1:5" x14ac:dyDescent="0.25">
      <c r="A5563" s="1">
        <v>43559</v>
      </c>
      <c r="B5563">
        <v>122030</v>
      </c>
      <c r="C5563" t="s">
        <v>67</v>
      </c>
      <c r="D5563" t="s">
        <v>4963</v>
      </c>
      <c r="E5563" s="2">
        <v>551.25</v>
      </c>
    </row>
    <row r="5564" spans="1:5" x14ac:dyDescent="0.25">
      <c r="A5564" s="1">
        <v>43559</v>
      </c>
      <c r="B5564">
        <v>122030</v>
      </c>
      <c r="C5564" t="s">
        <v>67</v>
      </c>
      <c r="D5564" t="s">
        <v>4964</v>
      </c>
      <c r="E5564" s="2">
        <v>79</v>
      </c>
    </row>
    <row r="5565" spans="1:5" x14ac:dyDescent="0.25">
      <c r="A5565" s="1">
        <v>43559</v>
      </c>
      <c r="B5565">
        <v>122030</v>
      </c>
      <c r="C5565" t="s">
        <v>67</v>
      </c>
      <c r="D5565" t="s">
        <v>4965</v>
      </c>
      <c r="E5565" s="2">
        <v>1472.22</v>
      </c>
    </row>
    <row r="5566" spans="1:5" x14ac:dyDescent="0.25">
      <c r="A5566" s="1">
        <v>43559</v>
      </c>
      <c r="B5566">
        <v>122030</v>
      </c>
      <c r="C5566" t="s">
        <v>67</v>
      </c>
      <c r="D5566" t="s">
        <v>4966</v>
      </c>
      <c r="E5566" s="2">
        <v>3782.76</v>
      </c>
    </row>
    <row r="5567" spans="1:5" x14ac:dyDescent="0.25">
      <c r="A5567" s="1">
        <v>43559</v>
      </c>
      <c r="B5567">
        <v>122030</v>
      </c>
      <c r="C5567" t="s">
        <v>67</v>
      </c>
      <c r="D5567" t="s">
        <v>416</v>
      </c>
      <c r="E5567" s="3">
        <f>-918-714-992</f>
        <v>-2624</v>
      </c>
    </row>
    <row r="5568" spans="1:5" x14ac:dyDescent="0.25">
      <c r="A5568" s="1">
        <v>43559</v>
      </c>
      <c r="B5568">
        <v>122030</v>
      </c>
      <c r="C5568" t="s">
        <v>67</v>
      </c>
      <c r="D5568" t="s">
        <v>4967</v>
      </c>
      <c r="E5568" s="2">
        <v>824.29</v>
      </c>
    </row>
    <row r="5569" spans="1:5" x14ac:dyDescent="0.25">
      <c r="A5569" s="1">
        <v>43559</v>
      </c>
      <c r="B5569">
        <v>122031</v>
      </c>
      <c r="C5569" t="s">
        <v>1156</v>
      </c>
      <c r="D5569" t="s">
        <v>4968</v>
      </c>
      <c r="E5569" s="2">
        <v>736.5</v>
      </c>
    </row>
    <row r="5570" spans="1:5" x14ac:dyDescent="0.25">
      <c r="A5570" s="1">
        <v>43559</v>
      </c>
      <c r="B5570">
        <v>122031</v>
      </c>
      <c r="C5570" t="s">
        <v>1156</v>
      </c>
      <c r="D5570" t="s">
        <v>4969</v>
      </c>
      <c r="E5570" s="2">
        <v>131</v>
      </c>
    </row>
    <row r="5571" spans="1:5" x14ac:dyDescent="0.25">
      <c r="A5571" s="1">
        <v>43559</v>
      </c>
      <c r="B5571">
        <v>122032</v>
      </c>
      <c r="C5571" t="s">
        <v>662</v>
      </c>
      <c r="D5571" t="s">
        <v>4970</v>
      </c>
      <c r="E5571" s="2">
        <v>213.38</v>
      </c>
    </row>
    <row r="5572" spans="1:5" x14ac:dyDescent="0.25">
      <c r="A5572" s="1">
        <v>43559</v>
      </c>
      <c r="B5572">
        <v>122032</v>
      </c>
      <c r="C5572" t="s">
        <v>662</v>
      </c>
      <c r="D5572" t="s">
        <v>4971</v>
      </c>
      <c r="E5572" s="2">
        <v>218</v>
      </c>
    </row>
    <row r="5573" spans="1:5" x14ac:dyDescent="0.25">
      <c r="A5573" s="1">
        <v>43559</v>
      </c>
      <c r="B5573">
        <v>122032</v>
      </c>
      <c r="C5573" t="s">
        <v>662</v>
      </c>
      <c r="D5573" t="s">
        <v>4972</v>
      </c>
      <c r="E5573" s="2">
        <f>306.83+516.66</f>
        <v>823.49</v>
      </c>
    </row>
    <row r="5574" spans="1:5" x14ac:dyDescent="0.25">
      <c r="A5574" s="1">
        <v>43559</v>
      </c>
      <c r="B5574">
        <v>122033</v>
      </c>
      <c r="C5574" t="s">
        <v>243</v>
      </c>
      <c r="D5574" t="s">
        <v>4973</v>
      </c>
      <c r="E5574" s="2">
        <v>111.21</v>
      </c>
    </row>
    <row r="5575" spans="1:5" x14ac:dyDescent="0.25">
      <c r="A5575" s="1">
        <v>43559</v>
      </c>
      <c r="B5575">
        <v>122034</v>
      </c>
      <c r="C5575" t="s">
        <v>244</v>
      </c>
      <c r="D5575" t="s">
        <v>4974</v>
      </c>
      <c r="E5575" s="2">
        <v>404.92</v>
      </c>
    </row>
    <row r="5576" spans="1:5" x14ac:dyDescent="0.25">
      <c r="A5576" s="1">
        <v>43559</v>
      </c>
      <c r="B5576">
        <v>122035</v>
      </c>
      <c r="C5576" t="s">
        <v>4390</v>
      </c>
      <c r="D5576" t="s">
        <v>4975</v>
      </c>
      <c r="E5576" s="2">
        <v>120</v>
      </c>
    </row>
    <row r="5577" spans="1:5" x14ac:dyDescent="0.25">
      <c r="A5577" s="1">
        <v>43559</v>
      </c>
      <c r="B5577">
        <v>122036</v>
      </c>
      <c r="C5577" t="s">
        <v>7</v>
      </c>
      <c r="D5577" t="s">
        <v>4976</v>
      </c>
      <c r="E5577" s="2">
        <v>34</v>
      </c>
    </row>
    <row r="5578" spans="1:5" x14ac:dyDescent="0.25">
      <c r="A5578" s="1">
        <v>43559</v>
      </c>
      <c r="B5578">
        <v>122037</v>
      </c>
      <c r="C5578" t="s">
        <v>673</v>
      </c>
      <c r="D5578" t="s">
        <v>674</v>
      </c>
      <c r="E5578" s="2">
        <v>23.42</v>
      </c>
    </row>
    <row r="5579" spans="1:5" x14ac:dyDescent="0.25">
      <c r="A5579" s="1">
        <v>43559</v>
      </c>
      <c r="B5579">
        <v>122041</v>
      </c>
      <c r="C5579" t="s">
        <v>106</v>
      </c>
      <c r="D5579" t="s">
        <v>424</v>
      </c>
      <c r="E5579" s="2">
        <f>1248.99+351.13+189.72+351.13+1096.64+719.31+52.63+351.13+339.52+222.56+189.72+1456.64+637.12+49.48+189.72+399.54+875.09</f>
        <v>8720.07</v>
      </c>
    </row>
    <row r="5580" spans="1:5" x14ac:dyDescent="0.25">
      <c r="A5580" s="1">
        <v>43559</v>
      </c>
      <c r="B5580">
        <v>122042</v>
      </c>
      <c r="C5580" t="s">
        <v>4977</v>
      </c>
      <c r="D5580" t="s">
        <v>4978</v>
      </c>
      <c r="E5580" s="2">
        <v>70</v>
      </c>
    </row>
    <row r="5581" spans="1:5" x14ac:dyDescent="0.25">
      <c r="A5581" s="1">
        <v>43559</v>
      </c>
      <c r="B5581">
        <v>122042</v>
      </c>
      <c r="C5581" t="s">
        <v>4977</v>
      </c>
      <c r="D5581" t="s">
        <v>4979</v>
      </c>
      <c r="E5581" s="2">
        <v>140</v>
      </c>
    </row>
    <row r="5582" spans="1:5" x14ac:dyDescent="0.25">
      <c r="A5582" s="1">
        <v>43559</v>
      </c>
      <c r="B5582">
        <v>122042</v>
      </c>
      <c r="C5582" t="s">
        <v>4977</v>
      </c>
      <c r="D5582" t="s">
        <v>4980</v>
      </c>
      <c r="E5582" s="2">
        <v>105</v>
      </c>
    </row>
    <row r="5583" spans="1:5" x14ac:dyDescent="0.25">
      <c r="A5583" s="1">
        <v>43559</v>
      </c>
      <c r="B5583">
        <v>122043</v>
      </c>
      <c r="C5583" t="s">
        <v>837</v>
      </c>
      <c r="D5583" t="s">
        <v>4981</v>
      </c>
      <c r="E5583" s="2">
        <v>38.43</v>
      </c>
    </row>
    <row r="5584" spans="1:5" x14ac:dyDescent="0.25">
      <c r="A5584" s="1">
        <v>43559</v>
      </c>
      <c r="B5584">
        <v>122045</v>
      </c>
      <c r="C5584" t="s">
        <v>1436</v>
      </c>
      <c r="D5584" t="s">
        <v>4982</v>
      </c>
      <c r="E5584" s="2">
        <f>240</f>
        <v>240</v>
      </c>
    </row>
    <row r="5585" spans="1:5" x14ac:dyDescent="0.25">
      <c r="A5585" s="1">
        <v>43559</v>
      </c>
      <c r="B5585">
        <v>122046</v>
      </c>
      <c r="C5585" t="s">
        <v>4397</v>
      </c>
      <c r="D5585" t="s">
        <v>4983</v>
      </c>
      <c r="E5585" s="2">
        <v>70</v>
      </c>
    </row>
    <row r="5586" spans="1:5" x14ac:dyDescent="0.25">
      <c r="A5586" s="1">
        <v>43559</v>
      </c>
      <c r="B5586">
        <v>122046</v>
      </c>
      <c r="C5586" t="s">
        <v>4397</v>
      </c>
      <c r="D5586" t="s">
        <v>4984</v>
      </c>
      <c r="E5586" s="2">
        <v>10.5</v>
      </c>
    </row>
    <row r="5587" spans="1:5" x14ac:dyDescent="0.25">
      <c r="A5587" s="1">
        <v>43559</v>
      </c>
      <c r="B5587">
        <v>122047</v>
      </c>
      <c r="C5587" t="s">
        <v>1173</v>
      </c>
      <c r="D5587" t="s">
        <v>4959</v>
      </c>
      <c r="E5587" s="2">
        <v>250</v>
      </c>
    </row>
    <row r="5588" spans="1:5" x14ac:dyDescent="0.25">
      <c r="A5588" s="1">
        <v>43559</v>
      </c>
      <c r="B5588">
        <v>122048</v>
      </c>
      <c r="C5588" t="s">
        <v>352</v>
      </c>
      <c r="D5588" t="s">
        <v>4985</v>
      </c>
      <c r="E5588" s="2">
        <v>447</v>
      </c>
    </row>
    <row r="5589" spans="1:5" x14ac:dyDescent="0.25">
      <c r="A5589" s="1">
        <v>43559</v>
      </c>
      <c r="B5589">
        <v>122049</v>
      </c>
      <c r="C5589" t="s">
        <v>3600</v>
      </c>
      <c r="D5589" t="s">
        <v>3601</v>
      </c>
      <c r="E5589" s="2">
        <v>24.25</v>
      </c>
    </row>
    <row r="5590" spans="1:5" x14ac:dyDescent="0.25">
      <c r="A5590" s="1">
        <v>43559</v>
      </c>
      <c r="B5590">
        <v>122051</v>
      </c>
      <c r="C5590" t="s">
        <v>68</v>
      </c>
      <c r="D5590" t="s">
        <v>3346</v>
      </c>
      <c r="E5590" s="2">
        <v>584.20000000000005</v>
      </c>
    </row>
    <row r="5591" spans="1:5" x14ac:dyDescent="0.25">
      <c r="A5591" s="1">
        <v>43559</v>
      </c>
      <c r="B5591">
        <v>122051</v>
      </c>
      <c r="C5591" t="s">
        <v>68</v>
      </c>
      <c r="D5591" t="s">
        <v>4986</v>
      </c>
      <c r="E5591" s="2">
        <v>621.9</v>
      </c>
    </row>
    <row r="5592" spans="1:5" x14ac:dyDescent="0.25">
      <c r="A5592" s="1">
        <v>43559</v>
      </c>
      <c r="B5592">
        <v>122051</v>
      </c>
      <c r="C5592" t="s">
        <v>68</v>
      </c>
      <c r="D5592" t="s">
        <v>4987</v>
      </c>
      <c r="E5592" s="2">
        <v>246.99</v>
      </c>
    </row>
    <row r="5593" spans="1:5" x14ac:dyDescent="0.25">
      <c r="A5593" s="1">
        <v>43559</v>
      </c>
      <c r="B5593">
        <v>122051</v>
      </c>
      <c r="C5593" t="s">
        <v>68</v>
      </c>
      <c r="D5593" t="s">
        <v>3346</v>
      </c>
      <c r="E5593" s="2">
        <f>174.79+231.78</f>
        <v>406.57</v>
      </c>
    </row>
    <row r="5594" spans="1:5" x14ac:dyDescent="0.25">
      <c r="A5594" s="1">
        <v>43559</v>
      </c>
      <c r="B5594">
        <v>122051</v>
      </c>
      <c r="C5594" t="s">
        <v>68</v>
      </c>
      <c r="D5594" t="s">
        <v>4988</v>
      </c>
      <c r="E5594" s="2">
        <v>157.68</v>
      </c>
    </row>
    <row r="5595" spans="1:5" x14ac:dyDescent="0.25">
      <c r="A5595" s="1">
        <v>43559</v>
      </c>
      <c r="B5595">
        <v>122052</v>
      </c>
      <c r="C5595" t="s">
        <v>355</v>
      </c>
      <c r="D5595" t="s">
        <v>3166</v>
      </c>
      <c r="E5595" s="2">
        <v>15.79</v>
      </c>
    </row>
    <row r="5596" spans="1:5" x14ac:dyDescent="0.25">
      <c r="A5596" s="1">
        <v>43559</v>
      </c>
      <c r="B5596">
        <v>122053</v>
      </c>
      <c r="C5596" t="s">
        <v>1177</v>
      </c>
      <c r="D5596" t="s">
        <v>4989</v>
      </c>
      <c r="E5596" s="2">
        <v>105</v>
      </c>
    </row>
    <row r="5597" spans="1:5" x14ac:dyDescent="0.25">
      <c r="A5597" s="1">
        <v>43559</v>
      </c>
      <c r="B5597">
        <v>122053</v>
      </c>
      <c r="C5597" t="s">
        <v>1177</v>
      </c>
      <c r="D5597" t="s">
        <v>4990</v>
      </c>
      <c r="E5597" s="2">
        <v>105</v>
      </c>
    </row>
    <row r="5598" spans="1:5" x14ac:dyDescent="0.25">
      <c r="A5598" s="1">
        <v>43559</v>
      </c>
      <c r="B5598">
        <v>122054</v>
      </c>
      <c r="C5598" t="s">
        <v>4991</v>
      </c>
      <c r="D5598" t="s">
        <v>4992</v>
      </c>
      <c r="E5598" s="2">
        <v>147.9</v>
      </c>
    </row>
    <row r="5599" spans="1:5" x14ac:dyDescent="0.25">
      <c r="A5599" s="1">
        <v>43559</v>
      </c>
      <c r="B5599">
        <v>122055</v>
      </c>
      <c r="C5599" t="s">
        <v>114</v>
      </c>
      <c r="D5599" t="s">
        <v>4993</v>
      </c>
      <c r="E5599" s="2">
        <v>99</v>
      </c>
    </row>
    <row r="5600" spans="1:5" x14ac:dyDescent="0.25">
      <c r="A5600" s="1">
        <v>43559</v>
      </c>
      <c r="B5600">
        <v>122056</v>
      </c>
      <c r="C5600" t="s">
        <v>1452</v>
      </c>
      <c r="D5600" t="s">
        <v>843</v>
      </c>
      <c r="E5600" s="2">
        <v>1478.78</v>
      </c>
    </row>
    <row r="5601" spans="1:5" x14ac:dyDescent="0.25">
      <c r="A5601" s="1">
        <v>43559</v>
      </c>
      <c r="B5601">
        <v>122057</v>
      </c>
      <c r="C5601" t="s">
        <v>3556</v>
      </c>
      <c r="D5601" t="s">
        <v>4994</v>
      </c>
      <c r="E5601" s="2">
        <v>720</v>
      </c>
    </row>
    <row r="5602" spans="1:5" x14ac:dyDescent="0.25">
      <c r="A5602" s="1">
        <v>43559</v>
      </c>
      <c r="B5602">
        <v>122058</v>
      </c>
      <c r="C5602" t="s">
        <v>1004</v>
      </c>
      <c r="D5602" t="s">
        <v>4995</v>
      </c>
      <c r="E5602" s="2">
        <v>544</v>
      </c>
    </row>
    <row r="5603" spans="1:5" x14ac:dyDescent="0.25">
      <c r="A5603" s="1">
        <v>43559</v>
      </c>
      <c r="B5603">
        <v>122059</v>
      </c>
      <c r="C5603" t="s">
        <v>56</v>
      </c>
      <c r="D5603" t="s">
        <v>4996</v>
      </c>
      <c r="E5603" s="2">
        <v>60</v>
      </c>
    </row>
    <row r="5604" spans="1:5" x14ac:dyDescent="0.25">
      <c r="A5604" s="1">
        <v>43559</v>
      </c>
      <c r="B5604">
        <v>122060</v>
      </c>
      <c r="C5604" t="s">
        <v>256</v>
      </c>
      <c r="D5604" t="s">
        <v>4997</v>
      </c>
      <c r="E5604" s="2">
        <v>919.8</v>
      </c>
    </row>
    <row r="5605" spans="1:5" x14ac:dyDescent="0.25">
      <c r="A5605" s="1">
        <v>43559</v>
      </c>
      <c r="B5605">
        <v>122064</v>
      </c>
      <c r="C5605" t="s">
        <v>123</v>
      </c>
      <c r="D5605" t="s">
        <v>1666</v>
      </c>
      <c r="E5605" s="2">
        <v>1000</v>
      </c>
    </row>
    <row r="5606" spans="1:5" x14ac:dyDescent="0.25">
      <c r="A5606" s="1">
        <v>43559</v>
      </c>
      <c r="B5606">
        <v>122064</v>
      </c>
      <c r="C5606" t="s">
        <v>123</v>
      </c>
      <c r="D5606" t="s">
        <v>1665</v>
      </c>
      <c r="E5606" s="2">
        <f>24.56+154.77+17.5+126.95+54.37+60.8+62.72+448.99+46.84+46.79+108.45+144</f>
        <v>1296.7400000000002</v>
      </c>
    </row>
    <row r="5607" spans="1:5" x14ac:dyDescent="0.25">
      <c r="A5607" s="1">
        <v>43559</v>
      </c>
      <c r="B5607">
        <v>122064</v>
      </c>
      <c r="C5607" t="s">
        <v>123</v>
      </c>
      <c r="D5607" t="s">
        <v>1666</v>
      </c>
      <c r="E5607" s="2">
        <v>116394.3</v>
      </c>
    </row>
    <row r="5608" spans="1:5" x14ac:dyDescent="0.25">
      <c r="A5608" s="1">
        <v>43559</v>
      </c>
      <c r="B5608">
        <v>122065</v>
      </c>
      <c r="C5608" t="s">
        <v>3304</v>
      </c>
      <c r="D5608" t="s">
        <v>4781</v>
      </c>
      <c r="E5608" s="2">
        <v>40</v>
      </c>
    </row>
    <row r="5609" spans="1:5" x14ac:dyDescent="0.25">
      <c r="A5609" s="1">
        <v>43559</v>
      </c>
      <c r="B5609">
        <v>122066</v>
      </c>
      <c r="C5609" t="s">
        <v>73</v>
      </c>
      <c r="D5609" t="s">
        <v>4998</v>
      </c>
      <c r="E5609" s="2">
        <v>347.6</v>
      </c>
    </row>
    <row r="5610" spans="1:5" x14ac:dyDescent="0.25">
      <c r="A5610" s="1">
        <v>43559</v>
      </c>
      <c r="B5610">
        <v>122067</v>
      </c>
      <c r="C5610" t="s">
        <v>259</v>
      </c>
      <c r="D5610" t="s">
        <v>4999</v>
      </c>
      <c r="E5610" s="2">
        <v>10.95</v>
      </c>
    </row>
    <row r="5611" spans="1:5" x14ac:dyDescent="0.25">
      <c r="A5611" s="1">
        <v>43559</v>
      </c>
      <c r="B5611">
        <v>122068</v>
      </c>
      <c r="C5611" t="s">
        <v>365</v>
      </c>
      <c r="D5611" t="s">
        <v>5000</v>
      </c>
      <c r="E5611" s="2">
        <v>46.69</v>
      </c>
    </row>
    <row r="5612" spans="1:5" x14ac:dyDescent="0.25">
      <c r="A5612" s="1">
        <v>43559</v>
      </c>
      <c r="B5612">
        <v>122069</v>
      </c>
      <c r="C5612" t="s">
        <v>265</v>
      </c>
      <c r="D5612" t="s">
        <v>5001</v>
      </c>
      <c r="E5612" s="2">
        <v>600</v>
      </c>
    </row>
    <row r="5613" spans="1:5" x14ac:dyDescent="0.25">
      <c r="A5613" s="1">
        <v>43559</v>
      </c>
      <c r="B5613">
        <v>122070</v>
      </c>
      <c r="C5613" t="s">
        <v>1196</v>
      </c>
      <c r="D5613" t="s">
        <v>5002</v>
      </c>
      <c r="E5613" s="2">
        <v>125</v>
      </c>
    </row>
    <row r="5614" spans="1:5" x14ac:dyDescent="0.25">
      <c r="A5614" s="1">
        <v>43559</v>
      </c>
      <c r="B5614">
        <v>122071</v>
      </c>
      <c r="C5614" t="s">
        <v>5003</v>
      </c>
      <c r="D5614" t="s">
        <v>5004</v>
      </c>
      <c r="E5614" s="2">
        <v>2700</v>
      </c>
    </row>
    <row r="5615" spans="1:5" x14ac:dyDescent="0.25">
      <c r="A5615" s="1">
        <v>43559</v>
      </c>
      <c r="B5615">
        <v>122072</v>
      </c>
      <c r="C5615" t="s">
        <v>44</v>
      </c>
      <c r="D5615" t="s">
        <v>5005</v>
      </c>
      <c r="E5615" s="2">
        <v>289.77999999999997</v>
      </c>
    </row>
    <row r="5616" spans="1:5" x14ac:dyDescent="0.25">
      <c r="A5616" s="1">
        <v>43559</v>
      </c>
      <c r="B5616">
        <v>122073</v>
      </c>
      <c r="C5616" t="s">
        <v>706</v>
      </c>
      <c r="D5616" t="s">
        <v>5006</v>
      </c>
      <c r="E5616" s="2">
        <v>599</v>
      </c>
    </row>
    <row r="5617" spans="1:5" x14ac:dyDescent="0.25">
      <c r="A5617" s="1">
        <v>43559</v>
      </c>
      <c r="B5617">
        <v>122074</v>
      </c>
      <c r="C5617" t="s">
        <v>275</v>
      </c>
      <c r="D5617" t="s">
        <v>5007</v>
      </c>
      <c r="E5617" s="2">
        <v>325</v>
      </c>
    </row>
    <row r="5618" spans="1:5" x14ac:dyDescent="0.25">
      <c r="A5618" s="1">
        <v>43559</v>
      </c>
      <c r="B5618">
        <v>122075</v>
      </c>
      <c r="C5618" t="s">
        <v>5008</v>
      </c>
      <c r="D5618" t="s">
        <v>5009</v>
      </c>
      <c r="E5618" s="2">
        <v>600</v>
      </c>
    </row>
    <row r="5619" spans="1:5" x14ac:dyDescent="0.25">
      <c r="A5619" s="1">
        <v>43559</v>
      </c>
      <c r="B5619">
        <v>122076</v>
      </c>
      <c r="C5619" t="s">
        <v>5010</v>
      </c>
      <c r="D5619" t="s">
        <v>5011</v>
      </c>
      <c r="E5619" s="2">
        <v>16871.89</v>
      </c>
    </row>
    <row r="5620" spans="1:5" x14ac:dyDescent="0.25">
      <c r="A5620" s="1">
        <v>43559</v>
      </c>
      <c r="B5620">
        <v>122077</v>
      </c>
      <c r="C5620" t="s">
        <v>714</v>
      </c>
      <c r="D5620" t="s">
        <v>5012</v>
      </c>
      <c r="E5620" s="2">
        <v>1256.94</v>
      </c>
    </row>
    <row r="5621" spans="1:5" x14ac:dyDescent="0.25">
      <c r="A5621" s="1">
        <v>43559</v>
      </c>
      <c r="B5621">
        <v>122077</v>
      </c>
      <c r="C5621" t="s">
        <v>714</v>
      </c>
      <c r="D5621" t="s">
        <v>5013</v>
      </c>
      <c r="E5621" s="2">
        <v>1263.8399999999999</v>
      </c>
    </row>
    <row r="5622" spans="1:5" x14ac:dyDescent="0.25">
      <c r="A5622" s="1">
        <v>43559</v>
      </c>
      <c r="B5622">
        <v>122078</v>
      </c>
      <c r="C5622" t="s">
        <v>869</v>
      </c>
      <c r="D5622" t="s">
        <v>5014</v>
      </c>
      <c r="E5622" s="2">
        <v>157.22999999999999</v>
      </c>
    </row>
    <row r="5623" spans="1:5" x14ac:dyDescent="0.25">
      <c r="A5623" s="1">
        <v>43559</v>
      </c>
      <c r="B5623">
        <v>122079</v>
      </c>
      <c r="C5623" t="s">
        <v>5015</v>
      </c>
      <c r="D5623" t="s">
        <v>5016</v>
      </c>
      <c r="E5623" s="2">
        <v>3188</v>
      </c>
    </row>
    <row r="5624" spans="1:5" x14ac:dyDescent="0.25">
      <c r="A5624" s="1">
        <v>43559</v>
      </c>
      <c r="B5624">
        <v>122080</v>
      </c>
      <c r="C5624" t="s">
        <v>47</v>
      </c>
      <c r="D5624" t="s">
        <v>5017</v>
      </c>
      <c r="E5624" s="2">
        <v>46.43</v>
      </c>
    </row>
    <row r="5625" spans="1:5" x14ac:dyDescent="0.25">
      <c r="A5625" s="1">
        <v>43559</v>
      </c>
      <c r="B5625">
        <v>122081</v>
      </c>
      <c r="C5625" t="s">
        <v>48</v>
      </c>
      <c r="D5625" t="s">
        <v>465</v>
      </c>
      <c r="E5625" s="2">
        <v>9091.1</v>
      </c>
    </row>
    <row r="5626" spans="1:5" x14ac:dyDescent="0.25">
      <c r="A5626" s="1">
        <v>43559</v>
      </c>
      <c r="B5626">
        <v>122086</v>
      </c>
      <c r="C5626" t="s">
        <v>74</v>
      </c>
      <c r="D5626" t="s">
        <v>5018</v>
      </c>
      <c r="E5626" s="2">
        <v>86.86</v>
      </c>
    </row>
    <row r="5627" spans="1:5" x14ac:dyDescent="0.25">
      <c r="A5627" s="1">
        <v>43559</v>
      </c>
      <c r="B5627">
        <v>122086</v>
      </c>
      <c r="C5627" t="s">
        <v>74</v>
      </c>
      <c r="D5627" t="s">
        <v>5019</v>
      </c>
      <c r="E5627" s="2">
        <v>956.8</v>
      </c>
    </row>
    <row r="5628" spans="1:5" x14ac:dyDescent="0.25">
      <c r="A5628" s="1">
        <v>43559</v>
      </c>
      <c r="B5628">
        <v>122086</v>
      </c>
      <c r="C5628" t="s">
        <v>74</v>
      </c>
      <c r="D5628" t="s">
        <v>5020</v>
      </c>
      <c r="E5628" s="2">
        <v>622.74</v>
      </c>
    </row>
    <row r="5629" spans="1:5" x14ac:dyDescent="0.25">
      <c r="A5629" s="1">
        <v>43559</v>
      </c>
      <c r="B5629">
        <v>122086</v>
      </c>
      <c r="C5629" t="s">
        <v>74</v>
      </c>
      <c r="D5629" t="s">
        <v>5021</v>
      </c>
      <c r="E5629" s="2">
        <v>73.03</v>
      </c>
    </row>
    <row r="5630" spans="1:5" x14ac:dyDescent="0.25">
      <c r="A5630" s="1">
        <v>43559</v>
      </c>
      <c r="B5630">
        <v>122086</v>
      </c>
      <c r="C5630" t="s">
        <v>74</v>
      </c>
      <c r="D5630" t="s">
        <v>3808</v>
      </c>
      <c r="E5630" s="2">
        <v>11.99</v>
      </c>
    </row>
    <row r="5631" spans="1:5" x14ac:dyDescent="0.25">
      <c r="A5631" s="1">
        <v>43559</v>
      </c>
      <c r="B5631">
        <v>122086</v>
      </c>
      <c r="C5631" t="s">
        <v>74</v>
      </c>
      <c r="D5631" t="s">
        <v>5022</v>
      </c>
      <c r="E5631" s="2">
        <v>456.27</v>
      </c>
    </row>
    <row r="5632" spans="1:5" x14ac:dyDescent="0.25">
      <c r="A5632" s="1">
        <v>43559</v>
      </c>
      <c r="B5632">
        <v>122086</v>
      </c>
      <c r="C5632" t="s">
        <v>74</v>
      </c>
      <c r="D5632" t="s">
        <v>5023</v>
      </c>
      <c r="E5632" s="2">
        <v>278.76</v>
      </c>
    </row>
    <row r="5633" spans="1:5" x14ac:dyDescent="0.25">
      <c r="A5633" s="1">
        <v>43559</v>
      </c>
      <c r="B5633">
        <v>122086</v>
      </c>
      <c r="C5633" t="s">
        <v>74</v>
      </c>
      <c r="D5633" t="s">
        <v>5024</v>
      </c>
      <c r="E5633" s="2">
        <f>826.6+856.94</f>
        <v>1683.54</v>
      </c>
    </row>
    <row r="5634" spans="1:5" x14ac:dyDescent="0.25">
      <c r="A5634" s="1">
        <v>43559</v>
      </c>
      <c r="B5634">
        <v>122086</v>
      </c>
      <c r="C5634" t="s">
        <v>74</v>
      </c>
      <c r="D5634" t="s">
        <v>2507</v>
      </c>
      <c r="E5634" s="2">
        <f>567.22+76.49+513.91</f>
        <v>1157.6199999999999</v>
      </c>
    </row>
    <row r="5635" spans="1:5" x14ac:dyDescent="0.25">
      <c r="A5635" s="1">
        <v>43559</v>
      </c>
      <c r="B5635">
        <v>122086</v>
      </c>
      <c r="C5635" t="s">
        <v>74</v>
      </c>
      <c r="D5635" t="s">
        <v>5025</v>
      </c>
      <c r="E5635" s="2">
        <v>1492.17</v>
      </c>
    </row>
    <row r="5636" spans="1:5" x14ac:dyDescent="0.25">
      <c r="A5636" s="1">
        <v>43559</v>
      </c>
      <c r="B5636">
        <v>122086</v>
      </c>
      <c r="C5636" t="s">
        <v>74</v>
      </c>
      <c r="D5636" t="s">
        <v>5026</v>
      </c>
      <c r="E5636" s="2">
        <v>89.9</v>
      </c>
    </row>
    <row r="5637" spans="1:5" x14ac:dyDescent="0.25">
      <c r="A5637" s="1">
        <v>43559</v>
      </c>
      <c r="B5637">
        <v>122086</v>
      </c>
      <c r="C5637" t="s">
        <v>74</v>
      </c>
      <c r="D5637" t="s">
        <v>5024</v>
      </c>
      <c r="E5637" s="2">
        <v>69.900000000000006</v>
      </c>
    </row>
    <row r="5638" spans="1:5" x14ac:dyDescent="0.25">
      <c r="A5638" s="1">
        <v>43559</v>
      </c>
      <c r="B5638">
        <v>122086</v>
      </c>
      <c r="C5638" t="s">
        <v>74</v>
      </c>
      <c r="D5638" t="s">
        <v>5027</v>
      </c>
      <c r="E5638" s="2">
        <f>159.9+109.79</f>
        <v>269.69</v>
      </c>
    </row>
    <row r="5639" spans="1:5" x14ac:dyDescent="0.25">
      <c r="A5639" s="1">
        <v>43559</v>
      </c>
      <c r="B5639">
        <v>122086</v>
      </c>
      <c r="C5639" t="s">
        <v>74</v>
      </c>
      <c r="D5639" t="s">
        <v>4483</v>
      </c>
      <c r="E5639" s="2">
        <v>133.47</v>
      </c>
    </row>
    <row r="5640" spans="1:5" x14ac:dyDescent="0.25">
      <c r="A5640" s="1">
        <v>43559</v>
      </c>
      <c r="B5640">
        <v>122086</v>
      </c>
      <c r="C5640" t="s">
        <v>74</v>
      </c>
      <c r="D5640" t="s">
        <v>5028</v>
      </c>
      <c r="E5640" s="2">
        <v>253.91</v>
      </c>
    </row>
    <row r="5641" spans="1:5" x14ac:dyDescent="0.25">
      <c r="A5641" s="1">
        <v>43559</v>
      </c>
      <c r="B5641">
        <v>122086</v>
      </c>
      <c r="C5641" t="s">
        <v>74</v>
      </c>
      <c r="D5641" t="s">
        <v>5029</v>
      </c>
      <c r="E5641" s="2">
        <v>23.54</v>
      </c>
    </row>
    <row r="5642" spans="1:5" x14ac:dyDescent="0.25">
      <c r="A5642" s="1">
        <v>43559</v>
      </c>
      <c r="B5642">
        <v>122086</v>
      </c>
      <c r="C5642" t="s">
        <v>74</v>
      </c>
      <c r="D5642" t="s">
        <v>5030</v>
      </c>
      <c r="E5642" s="2">
        <v>372.71</v>
      </c>
    </row>
    <row r="5643" spans="1:5" x14ac:dyDescent="0.25">
      <c r="A5643" s="1">
        <v>43559</v>
      </c>
      <c r="B5643">
        <v>122086</v>
      </c>
      <c r="C5643" t="s">
        <v>74</v>
      </c>
      <c r="D5643" t="s">
        <v>2507</v>
      </c>
      <c r="E5643" s="2">
        <v>2.2200000000000002</v>
      </c>
    </row>
    <row r="5644" spans="1:5" x14ac:dyDescent="0.25">
      <c r="A5644" s="1">
        <v>43559</v>
      </c>
      <c r="B5644">
        <v>122086</v>
      </c>
      <c r="C5644" t="s">
        <v>74</v>
      </c>
      <c r="D5644" t="s">
        <v>5031</v>
      </c>
      <c r="E5644" s="2">
        <v>1035.5</v>
      </c>
    </row>
    <row r="5645" spans="1:5" x14ac:dyDescent="0.25">
      <c r="A5645" s="1">
        <v>43559</v>
      </c>
      <c r="B5645">
        <v>122087</v>
      </c>
      <c r="C5645" t="s">
        <v>142</v>
      </c>
      <c r="D5645" t="s">
        <v>5032</v>
      </c>
      <c r="E5645" s="2">
        <v>21.13</v>
      </c>
    </row>
    <row r="5646" spans="1:5" x14ac:dyDescent="0.25">
      <c r="A5646" s="1">
        <v>43559</v>
      </c>
      <c r="B5646">
        <v>122087</v>
      </c>
      <c r="C5646" t="s">
        <v>142</v>
      </c>
      <c r="D5646" t="s">
        <v>5033</v>
      </c>
      <c r="E5646" s="2">
        <v>25.5</v>
      </c>
    </row>
    <row r="5647" spans="1:5" x14ac:dyDescent="0.25">
      <c r="A5647" s="1">
        <v>43559</v>
      </c>
      <c r="B5647">
        <v>122088</v>
      </c>
      <c r="C5647" t="s">
        <v>730</v>
      </c>
      <c r="D5647" t="s">
        <v>5034</v>
      </c>
      <c r="E5647" s="2">
        <v>402</v>
      </c>
    </row>
    <row r="5648" spans="1:5" x14ac:dyDescent="0.25">
      <c r="A5648" s="1">
        <v>43559</v>
      </c>
      <c r="B5648">
        <v>122089</v>
      </c>
      <c r="C5648" t="s">
        <v>145</v>
      </c>
      <c r="D5648" t="s">
        <v>4996</v>
      </c>
      <c r="E5648" s="2">
        <v>90</v>
      </c>
    </row>
    <row r="5649" spans="1:5" x14ac:dyDescent="0.25">
      <c r="A5649" s="1">
        <v>43559</v>
      </c>
      <c r="B5649">
        <v>122090</v>
      </c>
      <c r="C5649" t="s">
        <v>146</v>
      </c>
      <c r="D5649" t="s">
        <v>5035</v>
      </c>
      <c r="E5649" s="2">
        <v>1100</v>
      </c>
    </row>
    <row r="5650" spans="1:5" x14ac:dyDescent="0.25">
      <c r="A5650" s="1">
        <v>43559</v>
      </c>
      <c r="B5650">
        <v>122090</v>
      </c>
      <c r="C5650" t="s">
        <v>146</v>
      </c>
      <c r="D5650" t="s">
        <v>5036</v>
      </c>
      <c r="E5650" s="2">
        <v>251.53</v>
      </c>
    </row>
    <row r="5651" spans="1:5" x14ac:dyDescent="0.25">
      <c r="A5651" s="1">
        <v>43559</v>
      </c>
      <c r="B5651">
        <v>122090</v>
      </c>
      <c r="C5651" t="s">
        <v>146</v>
      </c>
      <c r="D5651" t="s">
        <v>5036</v>
      </c>
      <c r="E5651" s="2">
        <v>1147.6199999999999</v>
      </c>
    </row>
    <row r="5652" spans="1:5" x14ac:dyDescent="0.25">
      <c r="A5652" s="1">
        <v>43559</v>
      </c>
      <c r="B5652">
        <v>122092</v>
      </c>
      <c r="C5652" t="s">
        <v>75</v>
      </c>
      <c r="D5652" t="s">
        <v>5037</v>
      </c>
      <c r="E5652" s="2">
        <v>11.7</v>
      </c>
    </row>
    <row r="5653" spans="1:5" x14ac:dyDescent="0.25">
      <c r="A5653" s="1">
        <v>43559</v>
      </c>
      <c r="B5653">
        <v>122092</v>
      </c>
      <c r="C5653" t="s">
        <v>75</v>
      </c>
      <c r="D5653" t="s">
        <v>5038</v>
      </c>
      <c r="E5653" s="2">
        <v>3.76</v>
      </c>
    </row>
    <row r="5654" spans="1:5" x14ac:dyDescent="0.25">
      <c r="A5654" s="1">
        <v>43559</v>
      </c>
      <c r="B5654">
        <v>122092</v>
      </c>
      <c r="C5654" t="s">
        <v>75</v>
      </c>
      <c r="D5654" t="s">
        <v>5038</v>
      </c>
      <c r="E5654" s="2">
        <v>52.65</v>
      </c>
    </row>
    <row r="5655" spans="1:5" x14ac:dyDescent="0.25">
      <c r="A5655" s="1">
        <v>43559</v>
      </c>
      <c r="B5655">
        <v>122092</v>
      </c>
      <c r="C5655" t="s">
        <v>75</v>
      </c>
      <c r="D5655" t="s">
        <v>5038</v>
      </c>
      <c r="E5655" s="2">
        <v>49.51</v>
      </c>
    </row>
    <row r="5656" spans="1:5" x14ac:dyDescent="0.25">
      <c r="A5656" s="1">
        <v>43559</v>
      </c>
      <c r="B5656">
        <v>122093</v>
      </c>
      <c r="C5656" t="s">
        <v>875</v>
      </c>
      <c r="D5656" t="s">
        <v>5039</v>
      </c>
      <c r="E5656" s="2">
        <v>250</v>
      </c>
    </row>
    <row r="5657" spans="1:5" x14ac:dyDescent="0.25">
      <c r="A5657" s="1">
        <v>43559</v>
      </c>
      <c r="B5657">
        <v>122096</v>
      </c>
      <c r="C5657" t="s">
        <v>11</v>
      </c>
      <c r="D5657" t="s">
        <v>228</v>
      </c>
      <c r="E5657" s="2">
        <f>40.59+235.15</f>
        <v>275.74</v>
      </c>
    </row>
    <row r="5658" spans="1:5" x14ac:dyDescent="0.25">
      <c r="A5658" s="1">
        <v>43559</v>
      </c>
      <c r="B5658">
        <v>122096</v>
      </c>
      <c r="C5658" t="s">
        <v>11</v>
      </c>
      <c r="D5658" t="s">
        <v>5040</v>
      </c>
      <c r="E5658" s="2">
        <v>55.04</v>
      </c>
    </row>
    <row r="5659" spans="1:5" x14ac:dyDescent="0.25">
      <c r="A5659" s="1">
        <v>43559</v>
      </c>
      <c r="B5659">
        <v>122096</v>
      </c>
      <c r="C5659" t="s">
        <v>11</v>
      </c>
      <c r="D5659" t="s">
        <v>5041</v>
      </c>
      <c r="E5659" s="2">
        <v>468.54</v>
      </c>
    </row>
    <row r="5660" spans="1:5" x14ac:dyDescent="0.25">
      <c r="A5660" s="1">
        <v>43559</v>
      </c>
      <c r="B5660">
        <v>122096</v>
      </c>
      <c r="C5660" t="s">
        <v>11</v>
      </c>
      <c r="D5660" t="s">
        <v>3166</v>
      </c>
      <c r="E5660" s="2">
        <f>37.17+180.82+15.8+1019.31</f>
        <v>1253.0999999999999</v>
      </c>
    </row>
    <row r="5661" spans="1:5" x14ac:dyDescent="0.25">
      <c r="A5661" s="1">
        <v>43559</v>
      </c>
      <c r="B5661">
        <v>122096</v>
      </c>
      <c r="C5661" t="s">
        <v>11</v>
      </c>
      <c r="D5661" t="s">
        <v>4815</v>
      </c>
      <c r="E5661" s="2">
        <v>290.2</v>
      </c>
    </row>
    <row r="5662" spans="1:5" x14ac:dyDescent="0.25">
      <c r="A5662" s="1">
        <v>43559</v>
      </c>
      <c r="B5662">
        <v>122096</v>
      </c>
      <c r="C5662" t="s">
        <v>11</v>
      </c>
      <c r="D5662" t="s">
        <v>5042</v>
      </c>
      <c r="E5662" s="2">
        <f>151.981+13.99</f>
        <v>165.971</v>
      </c>
    </row>
    <row r="5663" spans="1:5" x14ac:dyDescent="0.25">
      <c r="A5663" s="1">
        <v>43559</v>
      </c>
      <c r="B5663">
        <v>122096</v>
      </c>
      <c r="C5663" t="s">
        <v>11</v>
      </c>
      <c r="D5663" t="s">
        <v>4815</v>
      </c>
      <c r="E5663" s="2">
        <v>67.47</v>
      </c>
    </row>
    <row r="5664" spans="1:5" x14ac:dyDescent="0.25">
      <c r="A5664" s="1">
        <v>43559</v>
      </c>
      <c r="B5664">
        <v>122097</v>
      </c>
      <c r="C5664" t="s">
        <v>12</v>
      </c>
      <c r="D5664" t="s">
        <v>5043</v>
      </c>
      <c r="E5664" s="2">
        <f>113.96+127.74</f>
        <v>241.7</v>
      </c>
    </row>
    <row r="5665" spans="1:5" x14ac:dyDescent="0.25">
      <c r="A5665" s="1">
        <v>43559</v>
      </c>
      <c r="B5665">
        <v>122097</v>
      </c>
      <c r="C5665" t="s">
        <v>12</v>
      </c>
      <c r="D5665" t="s">
        <v>5044</v>
      </c>
      <c r="E5665" s="2">
        <v>45.67</v>
      </c>
    </row>
    <row r="5666" spans="1:5" x14ac:dyDescent="0.25">
      <c r="A5666" s="1">
        <v>43559</v>
      </c>
      <c r="B5666">
        <v>122098</v>
      </c>
      <c r="C5666" t="s">
        <v>4510</v>
      </c>
      <c r="D5666" t="s">
        <v>5045</v>
      </c>
      <c r="E5666" s="2">
        <v>544.95000000000005</v>
      </c>
    </row>
    <row r="5667" spans="1:5" x14ac:dyDescent="0.25">
      <c r="A5667" s="1">
        <v>43559</v>
      </c>
      <c r="B5667">
        <v>122099</v>
      </c>
      <c r="C5667" t="s">
        <v>50</v>
      </c>
      <c r="D5667" t="s">
        <v>2047</v>
      </c>
      <c r="E5667" s="2">
        <v>2792.5</v>
      </c>
    </row>
    <row r="5668" spans="1:5" x14ac:dyDescent="0.25">
      <c r="A5668" s="1">
        <v>43559</v>
      </c>
      <c r="B5668">
        <v>122100</v>
      </c>
      <c r="C5668" t="s">
        <v>51</v>
      </c>
      <c r="D5668" t="s">
        <v>5046</v>
      </c>
      <c r="E5668" s="2">
        <v>86.09</v>
      </c>
    </row>
    <row r="5669" spans="1:5" x14ac:dyDescent="0.25">
      <c r="A5669" s="1">
        <v>43559</v>
      </c>
      <c r="B5669">
        <v>122100</v>
      </c>
      <c r="C5669" t="s">
        <v>51</v>
      </c>
      <c r="D5669" t="s">
        <v>5046</v>
      </c>
      <c r="E5669" s="2">
        <v>86.09</v>
      </c>
    </row>
    <row r="5670" spans="1:5" x14ac:dyDescent="0.25">
      <c r="A5670" s="1">
        <v>43559</v>
      </c>
      <c r="B5670">
        <v>122101</v>
      </c>
      <c r="C5670" t="s">
        <v>151</v>
      </c>
      <c r="D5670" t="s">
        <v>4996</v>
      </c>
      <c r="E5670" s="2">
        <v>60</v>
      </c>
    </row>
    <row r="5671" spans="1:5" x14ac:dyDescent="0.25">
      <c r="A5671" s="1">
        <v>43559</v>
      </c>
      <c r="B5671">
        <v>122102</v>
      </c>
      <c r="C5671" t="s">
        <v>1110</v>
      </c>
      <c r="D5671" t="s">
        <v>4489</v>
      </c>
      <c r="E5671" s="2">
        <v>58.1</v>
      </c>
    </row>
    <row r="5672" spans="1:5" x14ac:dyDescent="0.25">
      <c r="A5672" s="1">
        <v>43559</v>
      </c>
      <c r="B5672">
        <v>122103</v>
      </c>
      <c r="C5672" t="s">
        <v>1041</v>
      </c>
      <c r="D5672" t="s">
        <v>5047</v>
      </c>
      <c r="E5672" s="2">
        <v>500</v>
      </c>
    </row>
    <row r="5673" spans="1:5" x14ac:dyDescent="0.25">
      <c r="A5673" s="1">
        <v>43559</v>
      </c>
      <c r="B5673">
        <v>122103</v>
      </c>
      <c r="C5673" t="s">
        <v>1041</v>
      </c>
      <c r="D5673" t="s">
        <v>5048</v>
      </c>
      <c r="E5673" s="2">
        <v>2758.5</v>
      </c>
    </row>
    <row r="5674" spans="1:5" x14ac:dyDescent="0.25">
      <c r="A5674" s="1">
        <v>43559</v>
      </c>
      <c r="B5674">
        <v>122104</v>
      </c>
      <c r="C5674" t="s">
        <v>14</v>
      </c>
      <c r="D5674" t="s">
        <v>5049</v>
      </c>
      <c r="E5674" s="2">
        <v>1064.42</v>
      </c>
    </row>
    <row r="5675" spans="1:5" x14ac:dyDescent="0.25">
      <c r="A5675" s="1">
        <v>43559</v>
      </c>
      <c r="B5675">
        <v>122105</v>
      </c>
      <c r="C5675" t="s">
        <v>1112</v>
      </c>
      <c r="D5675" t="s">
        <v>5050</v>
      </c>
      <c r="E5675" s="2">
        <v>785.76</v>
      </c>
    </row>
    <row r="5676" spans="1:5" x14ac:dyDescent="0.25">
      <c r="A5676" s="1">
        <v>43559</v>
      </c>
      <c r="B5676">
        <v>122106</v>
      </c>
      <c r="C5676" t="s">
        <v>760</v>
      </c>
      <c r="D5676" t="s">
        <v>5051</v>
      </c>
      <c r="E5676" s="2">
        <v>250.07</v>
      </c>
    </row>
    <row r="5677" spans="1:5" x14ac:dyDescent="0.25">
      <c r="A5677" s="1">
        <v>43559</v>
      </c>
      <c r="B5677">
        <v>122106</v>
      </c>
      <c r="C5677" t="s">
        <v>760</v>
      </c>
      <c r="D5677" t="s">
        <v>5052</v>
      </c>
      <c r="E5677" s="2">
        <v>78.55</v>
      </c>
    </row>
    <row r="5678" spans="1:5" x14ac:dyDescent="0.25">
      <c r="A5678" s="1">
        <v>43559</v>
      </c>
      <c r="B5678">
        <v>122107</v>
      </c>
      <c r="C5678" t="s">
        <v>2591</v>
      </c>
      <c r="D5678" t="s">
        <v>5053</v>
      </c>
      <c r="E5678" s="2">
        <v>1431.5</v>
      </c>
    </row>
    <row r="5679" spans="1:5" x14ac:dyDescent="0.25">
      <c r="A5679" s="1">
        <v>43559</v>
      </c>
      <c r="B5679">
        <v>122108</v>
      </c>
      <c r="C5679" t="s">
        <v>3669</v>
      </c>
      <c r="D5679" t="s">
        <v>5054</v>
      </c>
      <c r="E5679" s="2">
        <v>100</v>
      </c>
    </row>
    <row r="5680" spans="1:5" x14ac:dyDescent="0.25">
      <c r="A5680" s="1">
        <v>43559</v>
      </c>
      <c r="B5680">
        <v>122109</v>
      </c>
      <c r="C5680" t="s">
        <v>161</v>
      </c>
      <c r="D5680" t="s">
        <v>5055</v>
      </c>
      <c r="E5680" s="2">
        <v>1338</v>
      </c>
    </row>
    <row r="5681" spans="1:5" x14ac:dyDescent="0.25">
      <c r="A5681" s="1">
        <v>43559</v>
      </c>
      <c r="B5681">
        <v>122110</v>
      </c>
      <c r="C5681" t="s">
        <v>317</v>
      </c>
      <c r="D5681" t="s">
        <v>4542</v>
      </c>
      <c r="E5681" s="2">
        <v>3500</v>
      </c>
    </row>
    <row r="5682" spans="1:5" x14ac:dyDescent="0.25">
      <c r="A5682" s="1">
        <v>43559</v>
      </c>
      <c r="B5682">
        <v>122111</v>
      </c>
      <c r="C5682" t="s">
        <v>2431</v>
      </c>
      <c r="D5682" t="s">
        <v>4843</v>
      </c>
      <c r="E5682" s="2">
        <v>449.15</v>
      </c>
    </row>
    <row r="5683" spans="1:5" x14ac:dyDescent="0.25">
      <c r="A5683" s="1">
        <v>43559</v>
      </c>
      <c r="B5683">
        <v>122112</v>
      </c>
      <c r="C5683" t="s">
        <v>5056</v>
      </c>
      <c r="D5683" t="s">
        <v>5057</v>
      </c>
      <c r="E5683" s="2">
        <v>300</v>
      </c>
    </row>
    <row r="5684" spans="1:5" x14ac:dyDescent="0.25">
      <c r="A5684" s="1">
        <v>43559</v>
      </c>
      <c r="B5684">
        <v>122113</v>
      </c>
      <c r="C5684" t="s">
        <v>2970</v>
      </c>
      <c r="D5684" t="s">
        <v>5058</v>
      </c>
      <c r="E5684" s="2">
        <v>2071</v>
      </c>
    </row>
    <row r="5685" spans="1:5" x14ac:dyDescent="0.25">
      <c r="A5685" s="1">
        <v>43559</v>
      </c>
      <c r="B5685">
        <v>122114</v>
      </c>
      <c r="C5685" t="s">
        <v>5059</v>
      </c>
      <c r="D5685" t="s">
        <v>5060</v>
      </c>
      <c r="E5685" s="2">
        <v>5800</v>
      </c>
    </row>
    <row r="5686" spans="1:5" x14ac:dyDescent="0.25">
      <c r="A5686" s="1">
        <v>43559</v>
      </c>
      <c r="B5686">
        <v>122115</v>
      </c>
      <c r="C5686" t="s">
        <v>17</v>
      </c>
      <c r="D5686" t="s">
        <v>5061</v>
      </c>
      <c r="E5686" s="2">
        <v>390</v>
      </c>
    </row>
    <row r="5687" spans="1:5" x14ac:dyDescent="0.25">
      <c r="A5687" s="1">
        <v>43559</v>
      </c>
      <c r="B5687">
        <v>122116</v>
      </c>
      <c r="C5687" t="s">
        <v>5062</v>
      </c>
      <c r="D5687" t="s">
        <v>5063</v>
      </c>
      <c r="E5687" s="2">
        <v>2430</v>
      </c>
    </row>
    <row r="5688" spans="1:5" x14ac:dyDescent="0.25">
      <c r="A5688" s="1">
        <v>43559</v>
      </c>
      <c r="B5688">
        <v>122117</v>
      </c>
      <c r="C5688" t="s">
        <v>1523</v>
      </c>
      <c r="D5688" t="s">
        <v>5064</v>
      </c>
      <c r="E5688" s="2">
        <v>215</v>
      </c>
    </row>
    <row r="5689" spans="1:5" x14ac:dyDescent="0.25">
      <c r="A5689" s="1">
        <v>43559</v>
      </c>
      <c r="B5689">
        <v>122118</v>
      </c>
      <c r="C5689" t="s">
        <v>1264</v>
      </c>
      <c r="D5689" t="s">
        <v>5065</v>
      </c>
      <c r="E5689" s="2">
        <v>1750</v>
      </c>
    </row>
    <row r="5690" spans="1:5" x14ac:dyDescent="0.25">
      <c r="A5690" s="1">
        <v>43559</v>
      </c>
      <c r="B5690">
        <v>122119</v>
      </c>
      <c r="C5690" t="s">
        <v>5066</v>
      </c>
      <c r="D5690" t="s">
        <v>5067</v>
      </c>
      <c r="E5690" s="2">
        <v>269.85000000000002</v>
      </c>
    </row>
    <row r="5691" spans="1:5" x14ac:dyDescent="0.25">
      <c r="A5691" s="1">
        <v>43559</v>
      </c>
      <c r="B5691">
        <v>122120</v>
      </c>
      <c r="C5691" t="s">
        <v>179</v>
      </c>
      <c r="D5691" t="s">
        <v>3149</v>
      </c>
      <c r="E5691" s="2">
        <v>79.86</v>
      </c>
    </row>
    <row r="5692" spans="1:5" x14ac:dyDescent="0.25">
      <c r="A5692" s="1">
        <v>43559</v>
      </c>
      <c r="B5692">
        <v>122121</v>
      </c>
      <c r="C5692" t="s">
        <v>327</v>
      </c>
      <c r="D5692" t="s">
        <v>328</v>
      </c>
      <c r="E5692" s="2">
        <v>572.5</v>
      </c>
    </row>
    <row r="5693" spans="1:5" x14ac:dyDescent="0.25">
      <c r="A5693" s="1">
        <v>43559</v>
      </c>
      <c r="B5693">
        <v>122124</v>
      </c>
      <c r="C5693" t="s">
        <v>388</v>
      </c>
      <c r="D5693" t="s">
        <v>5068</v>
      </c>
      <c r="E5693" s="2">
        <f>288.33+164.02+510.3+510.53+510.53+510.53+510.53+1429.73+113.73</f>
        <v>4548.2299999999996</v>
      </c>
    </row>
    <row r="5694" spans="1:5" x14ac:dyDescent="0.25">
      <c r="A5694" s="1">
        <v>43559</v>
      </c>
      <c r="B5694">
        <v>122125</v>
      </c>
      <c r="C5694" t="s">
        <v>5069</v>
      </c>
      <c r="D5694" s="10" t="s">
        <v>5070</v>
      </c>
      <c r="E5694" s="2">
        <v>1983.6</v>
      </c>
    </row>
    <row r="5695" spans="1:5" x14ac:dyDescent="0.25">
      <c r="A5695" s="1">
        <v>43559</v>
      </c>
      <c r="B5695">
        <v>122126</v>
      </c>
      <c r="C5695" t="s">
        <v>780</v>
      </c>
      <c r="D5695" t="s">
        <v>5071</v>
      </c>
      <c r="E5695" s="2">
        <v>145.52000000000001</v>
      </c>
    </row>
    <row r="5696" spans="1:5" x14ac:dyDescent="0.25">
      <c r="A5696" s="1">
        <v>43559</v>
      </c>
      <c r="B5696">
        <v>122127</v>
      </c>
      <c r="C5696" t="s">
        <v>184</v>
      </c>
      <c r="D5696" t="s">
        <v>5072</v>
      </c>
      <c r="E5696" s="2">
        <v>4486.55</v>
      </c>
    </row>
    <row r="5697" spans="1:5" x14ac:dyDescent="0.25">
      <c r="A5697" s="1">
        <v>43559</v>
      </c>
      <c r="B5697">
        <v>122129</v>
      </c>
      <c r="C5697" t="s">
        <v>644</v>
      </c>
      <c r="D5697" t="s">
        <v>5073</v>
      </c>
      <c r="E5697" s="2">
        <f>39.5+65.66+82+81.75+1.25</f>
        <v>270.15999999999997</v>
      </c>
    </row>
    <row r="5698" spans="1:5" x14ac:dyDescent="0.25">
      <c r="A5698" s="1">
        <v>43559</v>
      </c>
      <c r="B5698">
        <v>122130</v>
      </c>
      <c r="C5698" t="s">
        <v>2304</v>
      </c>
      <c r="D5698" t="s">
        <v>5074</v>
      </c>
      <c r="E5698" s="2">
        <v>1447.72</v>
      </c>
    </row>
    <row r="5699" spans="1:5" x14ac:dyDescent="0.25">
      <c r="A5699" s="1">
        <v>43559</v>
      </c>
      <c r="B5699">
        <v>122132</v>
      </c>
      <c r="C5699" t="s">
        <v>392</v>
      </c>
      <c r="D5699" t="s">
        <v>2458</v>
      </c>
      <c r="E5699" s="2">
        <v>15628.41</v>
      </c>
    </row>
    <row r="5700" spans="1:5" x14ac:dyDescent="0.25">
      <c r="A5700" s="1">
        <v>43559</v>
      </c>
      <c r="B5700">
        <v>122133</v>
      </c>
      <c r="C5700" t="s">
        <v>5075</v>
      </c>
      <c r="D5700" t="s">
        <v>5076</v>
      </c>
      <c r="E5700" s="2">
        <v>935.75</v>
      </c>
    </row>
    <row r="5701" spans="1:5" x14ac:dyDescent="0.25">
      <c r="A5701" s="1">
        <v>43559</v>
      </c>
      <c r="B5701">
        <v>181900278</v>
      </c>
      <c r="C5701" t="s">
        <v>4205</v>
      </c>
      <c r="D5701" t="s">
        <v>5077</v>
      </c>
      <c r="E5701" s="2">
        <v>131.99</v>
      </c>
    </row>
    <row r="5702" spans="1:5" x14ac:dyDescent="0.25">
      <c r="A5702" s="1">
        <v>43559</v>
      </c>
      <c r="B5702">
        <v>181900279</v>
      </c>
      <c r="C5702" t="s">
        <v>398</v>
      </c>
      <c r="D5702" t="s">
        <v>1736</v>
      </c>
      <c r="E5702" s="2">
        <v>134461.76999999999</v>
      </c>
    </row>
    <row r="5703" spans="1:5" x14ac:dyDescent="0.25">
      <c r="A5703" s="1">
        <v>43559</v>
      </c>
      <c r="B5703">
        <v>181900279</v>
      </c>
      <c r="C5703" t="s">
        <v>398</v>
      </c>
      <c r="D5703" t="s">
        <v>416</v>
      </c>
      <c r="E5703" s="3">
        <v>-78.13</v>
      </c>
    </row>
    <row r="5704" spans="1:5" x14ac:dyDescent="0.25">
      <c r="A5704" s="1">
        <v>43559</v>
      </c>
      <c r="B5704">
        <v>201800183</v>
      </c>
      <c r="C5704" t="s">
        <v>928</v>
      </c>
      <c r="D5704" t="s">
        <v>5078</v>
      </c>
      <c r="E5704" s="2">
        <v>48.2</v>
      </c>
    </row>
    <row r="5705" spans="1:5" x14ac:dyDescent="0.25">
      <c r="A5705" s="1">
        <v>43559</v>
      </c>
      <c r="B5705">
        <v>201800183</v>
      </c>
      <c r="C5705" t="s">
        <v>928</v>
      </c>
      <c r="D5705" t="s">
        <v>2271</v>
      </c>
      <c r="E5705" s="2">
        <v>40.06</v>
      </c>
    </row>
    <row r="5706" spans="1:5" x14ac:dyDescent="0.25">
      <c r="A5706" s="1">
        <v>43559</v>
      </c>
      <c r="B5706">
        <v>201800183</v>
      </c>
      <c r="C5706" t="s">
        <v>928</v>
      </c>
      <c r="D5706" t="s">
        <v>4212</v>
      </c>
      <c r="E5706" s="2">
        <v>73.62</v>
      </c>
    </row>
    <row r="5707" spans="1:5" x14ac:dyDescent="0.25">
      <c r="A5707" s="1">
        <v>43565</v>
      </c>
      <c r="B5707">
        <v>122134</v>
      </c>
      <c r="C5707" t="s">
        <v>4259</v>
      </c>
      <c r="D5707" t="s">
        <v>5079</v>
      </c>
      <c r="E5707" s="2">
        <v>4700</v>
      </c>
    </row>
    <row r="5708" spans="1:5" x14ac:dyDescent="0.25">
      <c r="A5708" s="1">
        <v>43565</v>
      </c>
      <c r="B5708">
        <v>122135</v>
      </c>
      <c r="C5708" t="s">
        <v>1755</v>
      </c>
      <c r="D5708" t="s">
        <v>5080</v>
      </c>
      <c r="E5708" s="2">
        <v>1000</v>
      </c>
    </row>
    <row r="5709" spans="1:5" x14ac:dyDescent="0.25">
      <c r="A5709" s="1">
        <v>43565</v>
      </c>
      <c r="B5709">
        <v>122136</v>
      </c>
      <c r="C5709" t="s">
        <v>5081</v>
      </c>
      <c r="D5709" t="s">
        <v>5082</v>
      </c>
      <c r="E5709" s="2">
        <v>3373.72</v>
      </c>
    </row>
    <row r="5710" spans="1:5" x14ac:dyDescent="0.25">
      <c r="A5710" s="1">
        <v>43565</v>
      </c>
      <c r="B5710">
        <v>122137</v>
      </c>
      <c r="C5710" t="s">
        <v>5083</v>
      </c>
      <c r="D5710" t="s">
        <v>5084</v>
      </c>
      <c r="E5710" s="2">
        <v>3181.1</v>
      </c>
    </row>
    <row r="5711" spans="1:5" x14ac:dyDescent="0.25">
      <c r="A5711" s="1">
        <v>43565</v>
      </c>
      <c r="B5711">
        <v>122138</v>
      </c>
      <c r="C5711" t="s">
        <v>1757</v>
      </c>
      <c r="D5711" t="s">
        <v>5085</v>
      </c>
      <c r="E5711" s="2">
        <v>1000</v>
      </c>
    </row>
    <row r="5712" spans="1:5" x14ac:dyDescent="0.25">
      <c r="A5712" s="1">
        <v>43565</v>
      </c>
      <c r="B5712">
        <v>122139</v>
      </c>
      <c r="C5712" t="s">
        <v>1318</v>
      </c>
      <c r="D5712" t="s">
        <v>5086</v>
      </c>
      <c r="E5712" s="2">
        <v>807</v>
      </c>
    </row>
    <row r="5713" spans="1:5" x14ac:dyDescent="0.25">
      <c r="A5713" s="1">
        <v>43565</v>
      </c>
      <c r="B5713">
        <v>122140</v>
      </c>
      <c r="C5713" t="s">
        <v>7</v>
      </c>
      <c r="D5713" t="s">
        <v>5087</v>
      </c>
      <c r="E5713" s="2">
        <v>60</v>
      </c>
    </row>
    <row r="5714" spans="1:5" x14ac:dyDescent="0.25">
      <c r="A5714" s="1">
        <v>43565</v>
      </c>
      <c r="B5714">
        <v>122141</v>
      </c>
      <c r="C5714" t="s">
        <v>3394</v>
      </c>
      <c r="D5714" t="s">
        <v>5088</v>
      </c>
      <c r="E5714" s="2">
        <v>1003.4</v>
      </c>
    </row>
    <row r="5715" spans="1:5" x14ac:dyDescent="0.25">
      <c r="A5715" s="1">
        <v>43565</v>
      </c>
      <c r="B5715">
        <v>122142</v>
      </c>
      <c r="C5715" t="s">
        <v>5089</v>
      </c>
      <c r="D5715" t="s">
        <v>5090</v>
      </c>
      <c r="E5715" s="2">
        <v>1650</v>
      </c>
    </row>
    <row r="5716" spans="1:5" x14ac:dyDescent="0.25">
      <c r="A5716" s="1">
        <v>43565</v>
      </c>
      <c r="B5716">
        <v>122143</v>
      </c>
      <c r="C5716" t="s">
        <v>4266</v>
      </c>
      <c r="D5716" t="s">
        <v>5091</v>
      </c>
      <c r="E5716" s="2">
        <v>600</v>
      </c>
    </row>
    <row r="5717" spans="1:5" x14ac:dyDescent="0.25">
      <c r="A5717" s="1">
        <v>43565</v>
      </c>
      <c r="B5717">
        <v>122144</v>
      </c>
      <c r="C5717" t="s">
        <v>1324</v>
      </c>
      <c r="D5717" t="s">
        <v>5092</v>
      </c>
      <c r="E5717" s="2">
        <v>32</v>
      </c>
    </row>
    <row r="5718" spans="1:5" x14ac:dyDescent="0.25">
      <c r="A5718" s="1">
        <v>43565</v>
      </c>
      <c r="B5718">
        <v>122145</v>
      </c>
      <c r="C5718" t="s">
        <v>4273</v>
      </c>
      <c r="D5718" t="s">
        <v>5093</v>
      </c>
      <c r="E5718" s="2">
        <v>6550</v>
      </c>
    </row>
    <row r="5719" spans="1:5" x14ac:dyDescent="0.25">
      <c r="A5719" s="1">
        <v>43565</v>
      </c>
      <c r="B5719">
        <v>122146</v>
      </c>
      <c r="C5719" t="s">
        <v>125</v>
      </c>
      <c r="D5719" t="s">
        <v>5094</v>
      </c>
      <c r="E5719" s="2">
        <v>227.11</v>
      </c>
    </row>
    <row r="5720" spans="1:5" x14ac:dyDescent="0.25">
      <c r="A5720" s="1">
        <v>43565</v>
      </c>
      <c r="B5720">
        <v>122146</v>
      </c>
      <c r="C5720" t="s">
        <v>125</v>
      </c>
      <c r="D5720" t="s">
        <v>5095</v>
      </c>
      <c r="E5720" s="2">
        <v>130.74</v>
      </c>
    </row>
    <row r="5721" spans="1:5" x14ac:dyDescent="0.25">
      <c r="A5721" s="1">
        <v>43565</v>
      </c>
      <c r="B5721">
        <v>122146</v>
      </c>
      <c r="C5721" t="s">
        <v>125</v>
      </c>
      <c r="D5721" t="s">
        <v>416</v>
      </c>
      <c r="E5721" s="3">
        <v>-9.9600000000000009</v>
      </c>
    </row>
    <row r="5722" spans="1:5" x14ac:dyDescent="0.25">
      <c r="A5722" s="1">
        <v>43565</v>
      </c>
      <c r="B5722">
        <v>122146</v>
      </c>
      <c r="C5722" t="s">
        <v>125</v>
      </c>
      <c r="D5722" t="s">
        <v>5096</v>
      </c>
      <c r="E5722" s="2">
        <v>75.33</v>
      </c>
    </row>
    <row r="5723" spans="1:5" x14ac:dyDescent="0.25">
      <c r="A5723" s="1">
        <v>43565</v>
      </c>
      <c r="B5723">
        <v>122146</v>
      </c>
      <c r="C5723" t="s">
        <v>125</v>
      </c>
      <c r="D5723" t="s">
        <v>4623</v>
      </c>
      <c r="E5723" s="2">
        <v>148.97999999999999</v>
      </c>
    </row>
    <row r="5724" spans="1:5" x14ac:dyDescent="0.25">
      <c r="A5724" s="1">
        <v>43565</v>
      </c>
      <c r="B5724">
        <v>122147</v>
      </c>
      <c r="C5724" t="s">
        <v>1762</v>
      </c>
      <c r="D5724" t="s">
        <v>5097</v>
      </c>
      <c r="E5724" s="2">
        <v>50</v>
      </c>
    </row>
    <row r="5725" spans="1:5" x14ac:dyDescent="0.25">
      <c r="A5725" s="1">
        <v>43565</v>
      </c>
      <c r="B5725">
        <v>122148</v>
      </c>
      <c r="C5725" t="s">
        <v>5098</v>
      </c>
      <c r="D5725" t="s">
        <v>5099</v>
      </c>
      <c r="E5725" s="2">
        <v>150</v>
      </c>
    </row>
    <row r="5726" spans="1:5" x14ac:dyDescent="0.25">
      <c r="A5726" s="1">
        <v>43565</v>
      </c>
      <c r="B5726">
        <v>122149</v>
      </c>
      <c r="C5726" t="s">
        <v>5100</v>
      </c>
      <c r="D5726" t="s">
        <v>5101</v>
      </c>
      <c r="E5726" s="2">
        <v>109.96</v>
      </c>
    </row>
    <row r="5727" spans="1:5" x14ac:dyDescent="0.25">
      <c r="A5727" s="1">
        <v>43565</v>
      </c>
      <c r="B5727">
        <v>122150</v>
      </c>
      <c r="C5727" t="s">
        <v>44</v>
      </c>
      <c r="D5727" t="s">
        <v>5102</v>
      </c>
      <c r="E5727" s="2">
        <v>105.93</v>
      </c>
    </row>
    <row r="5728" spans="1:5" x14ac:dyDescent="0.25">
      <c r="A5728" s="1">
        <v>43565</v>
      </c>
      <c r="B5728">
        <v>122151</v>
      </c>
      <c r="C5728" t="s">
        <v>44</v>
      </c>
      <c r="D5728" t="s">
        <v>5103</v>
      </c>
      <c r="E5728" s="2">
        <v>73.84</v>
      </c>
    </row>
    <row r="5729" spans="1:5" x14ac:dyDescent="0.25">
      <c r="A5729" s="1">
        <v>43565</v>
      </c>
      <c r="B5729">
        <v>122152</v>
      </c>
      <c r="C5729" t="s">
        <v>5104</v>
      </c>
      <c r="D5729" t="s">
        <v>5105</v>
      </c>
      <c r="E5729" s="2">
        <v>500</v>
      </c>
    </row>
    <row r="5730" spans="1:5" x14ac:dyDescent="0.25">
      <c r="A5730" s="1">
        <v>43565</v>
      </c>
      <c r="B5730">
        <v>122153</v>
      </c>
      <c r="C5730" t="s">
        <v>614</v>
      </c>
      <c r="D5730" t="s">
        <v>5106</v>
      </c>
      <c r="E5730" s="2">
        <v>420</v>
      </c>
    </row>
    <row r="5731" spans="1:5" x14ac:dyDescent="0.25">
      <c r="A5731" s="1">
        <v>43565</v>
      </c>
      <c r="B5731">
        <v>122154</v>
      </c>
      <c r="C5731" t="s">
        <v>5107</v>
      </c>
      <c r="D5731" t="s">
        <v>5108</v>
      </c>
      <c r="E5731" s="2">
        <v>337.6</v>
      </c>
    </row>
    <row r="5732" spans="1:5" x14ac:dyDescent="0.25">
      <c r="A5732" s="1">
        <v>43565</v>
      </c>
      <c r="B5732">
        <v>122155</v>
      </c>
      <c r="C5732" t="s">
        <v>74</v>
      </c>
      <c r="D5732" t="s">
        <v>5109</v>
      </c>
      <c r="E5732" s="2">
        <v>10.88</v>
      </c>
    </row>
    <row r="5733" spans="1:5" x14ac:dyDescent="0.25">
      <c r="A5733" s="1">
        <v>43565</v>
      </c>
      <c r="B5733">
        <v>122156</v>
      </c>
      <c r="C5733" t="s">
        <v>302</v>
      </c>
      <c r="D5733" t="s">
        <v>5110</v>
      </c>
      <c r="E5733" s="2">
        <v>136</v>
      </c>
    </row>
    <row r="5734" spans="1:5" x14ac:dyDescent="0.25">
      <c r="A5734" s="1">
        <v>43565</v>
      </c>
      <c r="B5734">
        <v>122157</v>
      </c>
      <c r="C5734" t="s">
        <v>5111</v>
      </c>
      <c r="D5734" t="s">
        <v>5092</v>
      </c>
      <c r="E5734" s="2">
        <v>872</v>
      </c>
    </row>
    <row r="5735" spans="1:5" x14ac:dyDescent="0.25">
      <c r="A5735" s="1">
        <v>43565</v>
      </c>
      <c r="B5735">
        <v>122158</v>
      </c>
      <c r="C5735" t="s">
        <v>5112</v>
      </c>
      <c r="D5735" t="s">
        <v>5113</v>
      </c>
      <c r="E5735" s="2">
        <v>106</v>
      </c>
    </row>
    <row r="5736" spans="1:5" x14ac:dyDescent="0.25">
      <c r="A5736" s="1">
        <v>43565</v>
      </c>
      <c r="B5736">
        <v>122159</v>
      </c>
      <c r="C5736" t="s">
        <v>213</v>
      </c>
      <c r="D5736" t="s">
        <v>424</v>
      </c>
      <c r="E5736" s="2">
        <v>180.31</v>
      </c>
    </row>
    <row r="5737" spans="1:5" x14ac:dyDescent="0.25">
      <c r="A5737" s="1">
        <v>43565</v>
      </c>
      <c r="B5737">
        <v>122160</v>
      </c>
      <c r="C5737" t="s">
        <v>2153</v>
      </c>
      <c r="D5737" t="s">
        <v>5114</v>
      </c>
      <c r="E5737" s="2">
        <v>1146.25</v>
      </c>
    </row>
    <row r="5738" spans="1:5" x14ac:dyDescent="0.25">
      <c r="A5738" s="1">
        <v>43565</v>
      </c>
      <c r="B5738">
        <v>122161</v>
      </c>
      <c r="C5738" t="s">
        <v>1773</v>
      </c>
      <c r="D5738" t="s">
        <v>5115</v>
      </c>
      <c r="E5738" s="2">
        <v>1000</v>
      </c>
    </row>
    <row r="5739" spans="1:5" x14ac:dyDescent="0.25">
      <c r="A5739" s="1">
        <v>43565</v>
      </c>
      <c r="B5739">
        <v>122162</v>
      </c>
      <c r="C5739" t="s">
        <v>5116</v>
      </c>
      <c r="D5739" t="s">
        <v>5117</v>
      </c>
      <c r="E5739" s="2">
        <v>313.95999999999998</v>
      </c>
    </row>
    <row r="5740" spans="1:5" x14ac:dyDescent="0.25">
      <c r="A5740" s="1">
        <v>43565</v>
      </c>
      <c r="B5740">
        <v>122163</v>
      </c>
      <c r="C5740" t="s">
        <v>4135</v>
      </c>
      <c r="D5740" t="s">
        <v>5118</v>
      </c>
      <c r="E5740" s="2">
        <v>1867.5</v>
      </c>
    </row>
    <row r="5741" spans="1:5" x14ac:dyDescent="0.25">
      <c r="A5741" s="1">
        <v>43565</v>
      </c>
      <c r="B5741">
        <v>122164</v>
      </c>
      <c r="C5741" t="s">
        <v>19</v>
      </c>
      <c r="D5741" t="s">
        <v>5119</v>
      </c>
      <c r="E5741" s="2">
        <v>270</v>
      </c>
    </row>
    <row r="5742" spans="1:5" x14ac:dyDescent="0.25">
      <c r="A5742" s="1">
        <v>43565</v>
      </c>
      <c r="B5742">
        <v>181900280</v>
      </c>
      <c r="C5742" t="s">
        <v>4166</v>
      </c>
      <c r="D5742" t="s">
        <v>5120</v>
      </c>
      <c r="E5742" s="2">
        <v>100</v>
      </c>
    </row>
    <row r="5743" spans="1:5" x14ac:dyDescent="0.25">
      <c r="A5743" s="1">
        <v>43565</v>
      </c>
      <c r="B5743">
        <v>181900281</v>
      </c>
      <c r="C5743" t="s">
        <v>2265</v>
      </c>
      <c r="D5743" t="s">
        <v>5121</v>
      </c>
      <c r="E5743" s="2">
        <v>21.22</v>
      </c>
    </row>
    <row r="5744" spans="1:5" x14ac:dyDescent="0.25">
      <c r="A5744" s="1">
        <v>43566</v>
      </c>
      <c r="B5744">
        <v>122165</v>
      </c>
      <c r="C5744" t="s">
        <v>226</v>
      </c>
      <c r="D5744" t="s">
        <v>5122</v>
      </c>
      <c r="E5744" s="2">
        <f>322.07+51.13</f>
        <v>373.2</v>
      </c>
    </row>
    <row r="5745" spans="1:5" x14ac:dyDescent="0.25">
      <c r="A5745" s="1">
        <v>43566</v>
      </c>
      <c r="B5745">
        <v>122166</v>
      </c>
      <c r="C5745" t="s">
        <v>1920</v>
      </c>
      <c r="D5745" t="s">
        <v>5123</v>
      </c>
      <c r="E5745" s="2">
        <v>159.65</v>
      </c>
    </row>
    <row r="5746" spans="1:5" x14ac:dyDescent="0.25">
      <c r="A5746" s="1">
        <v>43566</v>
      </c>
      <c r="B5746">
        <v>122167</v>
      </c>
      <c r="C5746" t="s">
        <v>2165</v>
      </c>
      <c r="D5746" t="s">
        <v>5124</v>
      </c>
      <c r="E5746" s="2">
        <v>3498.4</v>
      </c>
    </row>
    <row r="5747" spans="1:5" x14ac:dyDescent="0.25">
      <c r="A5747" s="1">
        <v>43566</v>
      </c>
      <c r="B5747">
        <v>122168</v>
      </c>
      <c r="C5747" t="s">
        <v>2526</v>
      </c>
      <c r="D5747" t="s">
        <v>5125</v>
      </c>
      <c r="E5747" s="2">
        <v>157.9</v>
      </c>
    </row>
    <row r="5748" spans="1:5" x14ac:dyDescent="0.25">
      <c r="A5748" s="1">
        <v>43566</v>
      </c>
      <c r="B5748">
        <v>122169</v>
      </c>
      <c r="C5748" t="s">
        <v>235</v>
      </c>
      <c r="D5748" t="s">
        <v>5126</v>
      </c>
      <c r="E5748" s="2">
        <v>215</v>
      </c>
    </row>
    <row r="5749" spans="1:5" x14ac:dyDescent="0.25">
      <c r="A5749" s="1">
        <v>43566</v>
      </c>
      <c r="B5749">
        <v>122169</v>
      </c>
      <c r="C5749" t="s">
        <v>235</v>
      </c>
      <c r="D5749" t="s">
        <v>5127</v>
      </c>
      <c r="E5749" s="2">
        <v>320</v>
      </c>
    </row>
    <row r="5750" spans="1:5" x14ac:dyDescent="0.25">
      <c r="A5750" s="1">
        <v>43566</v>
      </c>
      <c r="B5750">
        <v>122170</v>
      </c>
      <c r="C5750" t="s">
        <v>5128</v>
      </c>
      <c r="D5750" t="s">
        <v>5129</v>
      </c>
      <c r="E5750" s="2">
        <v>300</v>
      </c>
    </row>
    <row r="5751" spans="1:5" x14ac:dyDescent="0.25">
      <c r="A5751" s="1">
        <v>43566</v>
      </c>
      <c r="B5751">
        <v>122173</v>
      </c>
      <c r="C5751" t="s">
        <v>238</v>
      </c>
      <c r="D5751" t="s">
        <v>437</v>
      </c>
      <c r="E5751" s="2">
        <f>319.36+205.26+380.65+111.21+935.35+74.13+333.77+361.49+135.45+916.96</f>
        <v>3773.63</v>
      </c>
    </row>
    <row r="5752" spans="1:5" x14ac:dyDescent="0.25">
      <c r="A5752" s="1">
        <v>43566</v>
      </c>
      <c r="B5752">
        <v>122174</v>
      </c>
      <c r="C5752" t="s">
        <v>821</v>
      </c>
      <c r="D5752" t="s">
        <v>5130</v>
      </c>
      <c r="E5752" s="2">
        <v>169.54</v>
      </c>
    </row>
    <row r="5753" spans="1:5" x14ac:dyDescent="0.25">
      <c r="A5753" s="1">
        <v>43566</v>
      </c>
      <c r="B5753">
        <v>122175</v>
      </c>
      <c r="C5753" t="s">
        <v>1638</v>
      </c>
      <c r="D5753" t="s">
        <v>1639</v>
      </c>
      <c r="E5753" s="2">
        <f>5315+2160</f>
        <v>7475</v>
      </c>
    </row>
    <row r="5754" spans="1:5" x14ac:dyDescent="0.25">
      <c r="A5754" s="1">
        <v>43566</v>
      </c>
      <c r="B5754">
        <v>122176</v>
      </c>
      <c r="C5754" t="s">
        <v>5131</v>
      </c>
      <c r="D5754" t="s">
        <v>5132</v>
      </c>
      <c r="E5754" s="2">
        <v>480</v>
      </c>
    </row>
    <row r="5755" spans="1:5" x14ac:dyDescent="0.25">
      <c r="A5755" s="1">
        <v>43566</v>
      </c>
      <c r="B5755">
        <v>122177</v>
      </c>
      <c r="C5755" t="s">
        <v>5133</v>
      </c>
      <c r="D5755" t="s">
        <v>5134</v>
      </c>
      <c r="E5755" s="2">
        <v>2905.04</v>
      </c>
    </row>
    <row r="5756" spans="1:5" x14ac:dyDescent="0.25">
      <c r="A5756" s="1">
        <v>43566</v>
      </c>
      <c r="B5756">
        <v>122178</v>
      </c>
      <c r="C5756" t="s">
        <v>67</v>
      </c>
      <c r="D5756" t="s">
        <v>5135</v>
      </c>
      <c r="E5756" s="2">
        <v>1133.78</v>
      </c>
    </row>
    <row r="5757" spans="1:5" x14ac:dyDescent="0.25">
      <c r="A5757" s="1">
        <v>43566</v>
      </c>
      <c r="B5757">
        <v>122178</v>
      </c>
      <c r="C5757" t="s">
        <v>67</v>
      </c>
      <c r="D5757" t="s">
        <v>5136</v>
      </c>
      <c r="E5757" s="2">
        <v>321</v>
      </c>
    </row>
    <row r="5758" spans="1:5" x14ac:dyDescent="0.25">
      <c r="A5758" s="1">
        <v>43566</v>
      </c>
      <c r="B5758">
        <v>122178</v>
      </c>
      <c r="C5758" t="s">
        <v>67</v>
      </c>
      <c r="D5758" t="s">
        <v>5137</v>
      </c>
      <c r="E5758" s="2">
        <v>2503.8000000000002</v>
      </c>
    </row>
    <row r="5759" spans="1:5" x14ac:dyDescent="0.25">
      <c r="A5759" s="1">
        <v>43566</v>
      </c>
      <c r="B5759">
        <v>122178</v>
      </c>
      <c r="C5759" t="s">
        <v>67</v>
      </c>
      <c r="D5759" t="s">
        <v>5138</v>
      </c>
      <c r="E5759" s="2">
        <v>1573.81</v>
      </c>
    </row>
    <row r="5760" spans="1:5" x14ac:dyDescent="0.25">
      <c r="A5760" s="1">
        <v>43566</v>
      </c>
      <c r="B5760">
        <v>122178</v>
      </c>
      <c r="C5760" t="s">
        <v>67</v>
      </c>
      <c r="D5760" t="s">
        <v>5139</v>
      </c>
      <c r="E5760" s="2">
        <v>11340</v>
      </c>
    </row>
    <row r="5761" spans="1:5" x14ac:dyDescent="0.25">
      <c r="A5761" s="1">
        <v>43566</v>
      </c>
      <c r="B5761">
        <v>122178</v>
      </c>
      <c r="C5761" t="s">
        <v>67</v>
      </c>
      <c r="D5761" t="s">
        <v>5140</v>
      </c>
      <c r="E5761" s="2">
        <v>2487.7800000000002</v>
      </c>
    </row>
    <row r="5762" spans="1:5" x14ac:dyDescent="0.25">
      <c r="A5762" s="1">
        <v>43566</v>
      </c>
      <c r="B5762">
        <v>122179</v>
      </c>
      <c r="C5762" t="s">
        <v>662</v>
      </c>
      <c r="D5762" t="s">
        <v>5141</v>
      </c>
      <c r="E5762" s="2">
        <v>272.02</v>
      </c>
    </row>
    <row r="5763" spans="1:5" x14ac:dyDescent="0.25">
      <c r="A5763" s="1">
        <v>43566</v>
      </c>
      <c r="B5763">
        <v>122179</v>
      </c>
      <c r="C5763" t="s">
        <v>662</v>
      </c>
      <c r="D5763" t="s">
        <v>5142</v>
      </c>
      <c r="E5763" s="2">
        <v>924.64</v>
      </c>
    </row>
    <row r="5764" spans="1:5" x14ac:dyDescent="0.25">
      <c r="A5764" s="1">
        <v>43566</v>
      </c>
      <c r="B5764">
        <v>122179</v>
      </c>
      <c r="C5764" t="s">
        <v>662</v>
      </c>
      <c r="D5764" t="s">
        <v>5143</v>
      </c>
      <c r="E5764" s="2">
        <v>408.36</v>
      </c>
    </row>
    <row r="5765" spans="1:5" x14ac:dyDescent="0.25">
      <c r="A5765" s="1">
        <v>43566</v>
      </c>
      <c r="B5765">
        <v>122179</v>
      </c>
      <c r="C5765" t="s">
        <v>662</v>
      </c>
      <c r="D5765" t="s">
        <v>5144</v>
      </c>
      <c r="E5765" s="2">
        <v>1450.95</v>
      </c>
    </row>
    <row r="5766" spans="1:5" x14ac:dyDescent="0.25">
      <c r="A5766" s="1">
        <v>43566</v>
      </c>
      <c r="B5766">
        <v>122180</v>
      </c>
      <c r="C5766" t="s">
        <v>243</v>
      </c>
      <c r="D5766" t="s">
        <v>5145</v>
      </c>
      <c r="E5766" s="2">
        <v>618</v>
      </c>
    </row>
    <row r="5767" spans="1:5" x14ac:dyDescent="0.25">
      <c r="A5767" s="1">
        <v>43566</v>
      </c>
      <c r="B5767">
        <v>122181</v>
      </c>
      <c r="C5767" t="s">
        <v>405</v>
      </c>
      <c r="D5767" t="s">
        <v>5146</v>
      </c>
      <c r="E5767" s="2">
        <v>293</v>
      </c>
    </row>
    <row r="5768" spans="1:5" x14ac:dyDescent="0.25">
      <c r="A5768" s="1">
        <v>43566</v>
      </c>
      <c r="B5768">
        <v>122182</v>
      </c>
      <c r="C5768" t="s">
        <v>244</v>
      </c>
      <c r="D5768" t="s">
        <v>5147</v>
      </c>
      <c r="E5768" s="2">
        <v>614.46</v>
      </c>
    </row>
    <row r="5769" spans="1:5" x14ac:dyDescent="0.25">
      <c r="A5769" s="1">
        <v>43566</v>
      </c>
      <c r="B5769">
        <v>122183</v>
      </c>
      <c r="C5769" t="s">
        <v>5148</v>
      </c>
      <c r="D5769" t="s">
        <v>5149</v>
      </c>
      <c r="E5769" s="2">
        <v>475</v>
      </c>
    </row>
    <row r="5770" spans="1:5" x14ac:dyDescent="0.25">
      <c r="A5770" s="1">
        <v>43566</v>
      </c>
      <c r="B5770">
        <v>122184</v>
      </c>
      <c r="C5770" t="s">
        <v>68</v>
      </c>
      <c r="D5770" t="s">
        <v>3603</v>
      </c>
      <c r="E5770" s="2">
        <v>1607.22</v>
      </c>
    </row>
    <row r="5771" spans="1:5" x14ac:dyDescent="0.25">
      <c r="A5771" s="1">
        <v>43566</v>
      </c>
      <c r="B5771">
        <v>122184</v>
      </c>
      <c r="C5771" t="s">
        <v>68</v>
      </c>
      <c r="D5771" t="s">
        <v>5150</v>
      </c>
      <c r="E5771" s="2">
        <v>592.73</v>
      </c>
    </row>
    <row r="5772" spans="1:5" x14ac:dyDescent="0.25">
      <c r="A5772" s="1">
        <v>43566</v>
      </c>
      <c r="B5772">
        <v>122184</v>
      </c>
      <c r="C5772" t="s">
        <v>68</v>
      </c>
      <c r="D5772" t="s">
        <v>5151</v>
      </c>
      <c r="E5772" s="2">
        <v>446.46</v>
      </c>
    </row>
    <row r="5773" spans="1:5" x14ac:dyDescent="0.25">
      <c r="A5773" s="1">
        <v>43566</v>
      </c>
      <c r="B5773">
        <v>122185</v>
      </c>
      <c r="C5773" t="s">
        <v>5152</v>
      </c>
      <c r="D5773" t="s">
        <v>5153</v>
      </c>
      <c r="E5773" s="2">
        <v>550</v>
      </c>
    </row>
    <row r="5774" spans="1:5" x14ac:dyDescent="0.25">
      <c r="A5774" s="1">
        <v>43566</v>
      </c>
      <c r="B5774">
        <v>122195</v>
      </c>
      <c r="C5774" t="s">
        <v>110</v>
      </c>
      <c r="D5774" t="s">
        <v>2010</v>
      </c>
      <c r="E5774" s="2">
        <f>267.92+466.45+687.82+672.8+165.11+1102.86+5731.43+2577.68+835.47+1332.55+5427.04+1253.58+1039.4+2145.16+428.87+24.67+497.4+19.77+149.71+24.51+14.79+19.77+14.79+0.04+8.97+125.06+174.96+3695.12+592.38+1706.19+73.81+727.73+8.29+9.1+1512.95+12302.86+152.22+7746.71+8.29+6573.46+6849.82</f>
        <v>67167.510000000009</v>
      </c>
    </row>
    <row r="5775" spans="1:5" x14ac:dyDescent="0.25">
      <c r="A5775" s="1">
        <v>43566</v>
      </c>
      <c r="B5775">
        <v>122196</v>
      </c>
      <c r="C5775" t="s">
        <v>846</v>
      </c>
      <c r="D5775" t="s">
        <v>5154</v>
      </c>
      <c r="E5775" s="2">
        <v>160</v>
      </c>
    </row>
    <row r="5776" spans="1:5" x14ac:dyDescent="0.25">
      <c r="A5776" s="1">
        <v>43566</v>
      </c>
      <c r="B5776">
        <v>122197</v>
      </c>
      <c r="C5776" t="s">
        <v>3299</v>
      </c>
      <c r="D5776" t="s">
        <v>5155</v>
      </c>
      <c r="E5776" s="2">
        <v>331.5</v>
      </c>
    </row>
    <row r="5777" spans="1:5" x14ac:dyDescent="0.25">
      <c r="A5777" s="1">
        <v>43566</v>
      </c>
      <c r="B5777">
        <v>122198</v>
      </c>
      <c r="C5777" t="s">
        <v>5156</v>
      </c>
      <c r="D5777" t="s">
        <v>5157</v>
      </c>
      <c r="E5777" s="2">
        <v>999.99</v>
      </c>
    </row>
    <row r="5778" spans="1:5" x14ac:dyDescent="0.25">
      <c r="A5778" s="1">
        <v>43566</v>
      </c>
      <c r="B5778">
        <v>122199</v>
      </c>
      <c r="C5778" t="s">
        <v>5156</v>
      </c>
      <c r="D5778" t="s">
        <v>5157</v>
      </c>
      <c r="E5778" s="2">
        <v>999.99</v>
      </c>
    </row>
    <row r="5779" spans="1:5" x14ac:dyDescent="0.25">
      <c r="A5779" s="1">
        <v>43566</v>
      </c>
      <c r="B5779">
        <v>122200</v>
      </c>
      <c r="C5779" t="s">
        <v>1004</v>
      </c>
      <c r="D5779" t="s">
        <v>5158</v>
      </c>
      <c r="E5779" s="2">
        <v>515</v>
      </c>
    </row>
    <row r="5780" spans="1:5" x14ac:dyDescent="0.25">
      <c r="A5780" s="1">
        <v>43566</v>
      </c>
      <c r="B5780">
        <v>122201</v>
      </c>
      <c r="C5780" t="s">
        <v>1004</v>
      </c>
      <c r="D5780" t="s">
        <v>5159</v>
      </c>
      <c r="E5780" s="2">
        <v>210</v>
      </c>
    </row>
    <row r="5781" spans="1:5" x14ac:dyDescent="0.25">
      <c r="A5781" s="1">
        <v>43566</v>
      </c>
      <c r="B5781">
        <v>122202</v>
      </c>
      <c r="C5781" t="s">
        <v>256</v>
      </c>
      <c r="D5781" t="s">
        <v>2131</v>
      </c>
      <c r="E5781" s="2">
        <v>2057.98</v>
      </c>
    </row>
    <row r="5782" spans="1:5" x14ac:dyDescent="0.25">
      <c r="A5782" s="1">
        <v>43566</v>
      </c>
      <c r="B5782">
        <v>122203</v>
      </c>
      <c r="C5782" t="s">
        <v>3449</v>
      </c>
      <c r="D5782" t="s">
        <v>5160</v>
      </c>
      <c r="E5782" s="2">
        <v>1246.02</v>
      </c>
    </row>
    <row r="5783" spans="1:5" x14ac:dyDescent="0.25">
      <c r="A5783" s="1">
        <v>43566</v>
      </c>
      <c r="B5783">
        <v>122204</v>
      </c>
      <c r="C5783" t="s">
        <v>120</v>
      </c>
      <c r="D5783" t="s">
        <v>4996</v>
      </c>
      <c r="E5783" s="2">
        <v>60</v>
      </c>
    </row>
    <row r="5784" spans="1:5" x14ac:dyDescent="0.25">
      <c r="A5784" s="1">
        <v>43566</v>
      </c>
      <c r="B5784">
        <v>122210</v>
      </c>
      <c r="C5784" t="s">
        <v>125</v>
      </c>
      <c r="D5784" t="s">
        <v>5161</v>
      </c>
      <c r="E5784" s="2">
        <v>92.67</v>
      </c>
    </row>
    <row r="5785" spans="1:5" x14ac:dyDescent="0.25">
      <c r="A5785" s="1">
        <v>43566</v>
      </c>
      <c r="B5785">
        <v>122210</v>
      </c>
      <c r="C5785" t="s">
        <v>125</v>
      </c>
      <c r="D5785" t="s">
        <v>5162</v>
      </c>
      <c r="E5785" s="2">
        <v>35.79</v>
      </c>
    </row>
    <row r="5786" spans="1:5" x14ac:dyDescent="0.25">
      <c r="A5786" s="1">
        <v>43566</v>
      </c>
      <c r="B5786">
        <v>122210</v>
      </c>
      <c r="C5786" t="s">
        <v>125</v>
      </c>
      <c r="D5786" t="s">
        <v>5163</v>
      </c>
      <c r="E5786" s="2">
        <v>54.16</v>
      </c>
    </row>
    <row r="5787" spans="1:5" x14ac:dyDescent="0.25">
      <c r="A5787" s="1">
        <v>43566</v>
      </c>
      <c r="B5787">
        <v>122210</v>
      </c>
      <c r="C5787" t="s">
        <v>125</v>
      </c>
      <c r="D5787" t="s">
        <v>5164</v>
      </c>
      <c r="E5787" s="2">
        <f>28.74+23.93</f>
        <v>52.67</v>
      </c>
    </row>
    <row r="5788" spans="1:5" x14ac:dyDescent="0.25">
      <c r="A5788" s="1">
        <v>43566</v>
      </c>
      <c r="B5788">
        <v>122210</v>
      </c>
      <c r="C5788" t="s">
        <v>125</v>
      </c>
      <c r="D5788" t="s">
        <v>5165</v>
      </c>
      <c r="E5788" s="2">
        <v>51.2</v>
      </c>
    </row>
    <row r="5789" spans="1:5" x14ac:dyDescent="0.25">
      <c r="A5789" s="1">
        <v>43566</v>
      </c>
      <c r="B5789">
        <v>122210</v>
      </c>
      <c r="C5789" t="s">
        <v>125</v>
      </c>
      <c r="D5789" t="s">
        <v>5166</v>
      </c>
      <c r="E5789" s="2">
        <v>432.82</v>
      </c>
    </row>
    <row r="5790" spans="1:5" x14ac:dyDescent="0.25">
      <c r="A5790" s="1">
        <v>43566</v>
      </c>
      <c r="B5790">
        <v>122210</v>
      </c>
      <c r="C5790" t="s">
        <v>125</v>
      </c>
      <c r="D5790" t="s">
        <v>5167</v>
      </c>
      <c r="E5790" s="2">
        <v>41.03</v>
      </c>
    </row>
    <row r="5791" spans="1:5" x14ac:dyDescent="0.25">
      <c r="A5791" s="1">
        <v>43566</v>
      </c>
      <c r="B5791">
        <v>122210</v>
      </c>
      <c r="C5791" t="s">
        <v>125</v>
      </c>
      <c r="D5791" t="s">
        <v>5168</v>
      </c>
      <c r="E5791" s="2">
        <v>29.98</v>
      </c>
    </row>
    <row r="5792" spans="1:5" x14ac:dyDescent="0.25">
      <c r="A5792" s="1">
        <v>43566</v>
      </c>
      <c r="B5792">
        <v>122210</v>
      </c>
      <c r="C5792" t="s">
        <v>125</v>
      </c>
      <c r="D5792" t="s">
        <v>416</v>
      </c>
      <c r="E5792" s="3">
        <v>-12.97</v>
      </c>
    </row>
    <row r="5793" spans="1:5" x14ac:dyDescent="0.25">
      <c r="A5793" s="1">
        <v>43566</v>
      </c>
      <c r="B5793">
        <v>122210</v>
      </c>
      <c r="C5793" t="s">
        <v>125</v>
      </c>
      <c r="D5793" t="s">
        <v>5169</v>
      </c>
      <c r="E5793" s="2">
        <v>37.86</v>
      </c>
    </row>
    <row r="5794" spans="1:5" x14ac:dyDescent="0.25">
      <c r="A5794" s="1">
        <v>43566</v>
      </c>
      <c r="B5794">
        <v>122210</v>
      </c>
      <c r="C5794" t="s">
        <v>125</v>
      </c>
      <c r="D5794" t="s">
        <v>5164</v>
      </c>
      <c r="E5794" s="2">
        <v>4.6100000000000003</v>
      </c>
    </row>
    <row r="5795" spans="1:5" x14ac:dyDescent="0.25">
      <c r="A5795" s="1">
        <v>43566</v>
      </c>
      <c r="B5795">
        <v>122210</v>
      </c>
      <c r="C5795" t="s">
        <v>125</v>
      </c>
      <c r="D5795" t="s">
        <v>5170</v>
      </c>
      <c r="E5795" s="2">
        <v>50.64</v>
      </c>
    </row>
    <row r="5796" spans="1:5" x14ac:dyDescent="0.25">
      <c r="A5796" s="1">
        <v>43566</v>
      </c>
      <c r="B5796">
        <v>122210</v>
      </c>
      <c r="C5796" t="s">
        <v>125</v>
      </c>
      <c r="D5796" t="s">
        <v>5171</v>
      </c>
      <c r="E5796" s="2">
        <v>34.619999999999997</v>
      </c>
    </row>
    <row r="5797" spans="1:5" x14ac:dyDescent="0.25">
      <c r="A5797" s="1">
        <v>43566</v>
      </c>
      <c r="B5797">
        <v>122210</v>
      </c>
      <c r="C5797" t="s">
        <v>125</v>
      </c>
      <c r="D5797" t="s">
        <v>5164</v>
      </c>
      <c r="E5797" s="2">
        <v>18.079999999999998</v>
      </c>
    </row>
    <row r="5798" spans="1:5" x14ac:dyDescent="0.25">
      <c r="A5798" s="1">
        <v>43566</v>
      </c>
      <c r="B5798">
        <v>122210</v>
      </c>
      <c r="C5798" t="s">
        <v>125</v>
      </c>
      <c r="D5798" t="s">
        <v>5172</v>
      </c>
      <c r="E5798" s="2">
        <v>534.1</v>
      </c>
    </row>
    <row r="5799" spans="1:5" x14ac:dyDescent="0.25">
      <c r="A5799" s="1">
        <v>43566</v>
      </c>
      <c r="B5799">
        <v>122210</v>
      </c>
      <c r="C5799" t="s">
        <v>125</v>
      </c>
      <c r="D5799" t="s">
        <v>5164</v>
      </c>
      <c r="E5799" s="2">
        <v>13.56</v>
      </c>
    </row>
    <row r="5800" spans="1:5" x14ac:dyDescent="0.25">
      <c r="A5800" s="1">
        <v>43566</v>
      </c>
      <c r="B5800">
        <v>122210</v>
      </c>
      <c r="C5800" t="s">
        <v>125</v>
      </c>
      <c r="D5800" t="s">
        <v>5173</v>
      </c>
      <c r="E5800" s="2">
        <v>95.76</v>
      </c>
    </row>
    <row r="5801" spans="1:5" x14ac:dyDescent="0.25">
      <c r="A5801" s="1">
        <v>43566</v>
      </c>
      <c r="B5801">
        <v>122210</v>
      </c>
      <c r="C5801" t="s">
        <v>125</v>
      </c>
      <c r="D5801" t="s">
        <v>5164</v>
      </c>
      <c r="E5801" s="2">
        <v>9.4600000000000009</v>
      </c>
    </row>
    <row r="5802" spans="1:5" x14ac:dyDescent="0.25">
      <c r="A5802" s="1">
        <v>43566</v>
      </c>
      <c r="B5802">
        <v>122211</v>
      </c>
      <c r="C5802" t="s">
        <v>1670</v>
      </c>
      <c r="D5802" t="s">
        <v>5174</v>
      </c>
      <c r="E5802" s="2">
        <v>630.67999999999995</v>
      </c>
    </row>
    <row r="5803" spans="1:5" x14ac:dyDescent="0.25">
      <c r="A5803" s="1">
        <v>43566</v>
      </c>
      <c r="B5803">
        <v>122212</v>
      </c>
      <c r="C5803" t="s">
        <v>5175</v>
      </c>
      <c r="D5803" t="s">
        <v>5176</v>
      </c>
      <c r="E5803" s="2">
        <v>3000</v>
      </c>
    </row>
    <row r="5804" spans="1:5" x14ac:dyDescent="0.25">
      <c r="A5804" s="1">
        <v>43566</v>
      </c>
      <c r="B5804">
        <v>122213</v>
      </c>
      <c r="C5804" t="s">
        <v>5177</v>
      </c>
      <c r="D5804" t="s">
        <v>5178</v>
      </c>
      <c r="E5804" s="2">
        <v>50346.92</v>
      </c>
    </row>
    <row r="5805" spans="1:5" x14ac:dyDescent="0.25">
      <c r="A5805" s="1">
        <v>43566</v>
      </c>
      <c r="B5805">
        <v>122213</v>
      </c>
      <c r="C5805" t="s">
        <v>5177</v>
      </c>
      <c r="D5805" t="s">
        <v>5178</v>
      </c>
      <c r="E5805" s="2">
        <v>19686</v>
      </c>
    </row>
    <row r="5806" spans="1:5" x14ac:dyDescent="0.25">
      <c r="A5806" s="1">
        <v>43566</v>
      </c>
      <c r="B5806">
        <v>122214</v>
      </c>
      <c r="C5806" t="s">
        <v>130</v>
      </c>
      <c r="D5806" t="s">
        <v>4996</v>
      </c>
      <c r="E5806" s="2">
        <v>60</v>
      </c>
    </row>
    <row r="5807" spans="1:5" x14ac:dyDescent="0.25">
      <c r="A5807" s="1">
        <v>43566</v>
      </c>
      <c r="B5807">
        <v>122217</v>
      </c>
      <c r="C5807" t="s">
        <v>274</v>
      </c>
      <c r="D5807" t="s">
        <v>5179</v>
      </c>
      <c r="E5807" s="2">
        <v>724.68</v>
      </c>
    </row>
    <row r="5808" spans="1:5" x14ac:dyDescent="0.25">
      <c r="A5808" s="1">
        <v>43566</v>
      </c>
      <c r="B5808">
        <v>122217</v>
      </c>
      <c r="C5808" t="s">
        <v>274</v>
      </c>
      <c r="D5808" t="s">
        <v>5180</v>
      </c>
      <c r="E5808" s="2">
        <v>202.12</v>
      </c>
    </row>
    <row r="5809" spans="1:5" x14ac:dyDescent="0.25">
      <c r="A5809" s="1">
        <v>43566</v>
      </c>
      <c r="B5809">
        <v>122217</v>
      </c>
      <c r="C5809" t="s">
        <v>274</v>
      </c>
      <c r="D5809" t="s">
        <v>5181</v>
      </c>
      <c r="E5809" s="2">
        <v>5479.04</v>
      </c>
    </row>
    <row r="5810" spans="1:5" x14ac:dyDescent="0.25">
      <c r="A5810" s="1">
        <v>43566</v>
      </c>
      <c r="B5810">
        <v>122217</v>
      </c>
      <c r="C5810" t="s">
        <v>274</v>
      </c>
      <c r="D5810" t="s">
        <v>5182</v>
      </c>
      <c r="E5810" s="2">
        <v>11678.5</v>
      </c>
    </row>
    <row r="5811" spans="1:5" x14ac:dyDescent="0.25">
      <c r="A5811" s="1">
        <v>43566</v>
      </c>
      <c r="B5811">
        <v>122217</v>
      </c>
      <c r="C5811" t="s">
        <v>274</v>
      </c>
      <c r="D5811" t="s">
        <v>5183</v>
      </c>
      <c r="E5811" s="2">
        <f>558.5+2246.54</f>
        <v>2805.04</v>
      </c>
    </row>
    <row r="5812" spans="1:5" x14ac:dyDescent="0.25">
      <c r="A5812" s="1">
        <v>43566</v>
      </c>
      <c r="B5812">
        <v>122218</v>
      </c>
      <c r="C5812" t="s">
        <v>5184</v>
      </c>
      <c r="D5812" t="s">
        <v>5185</v>
      </c>
      <c r="E5812" s="2">
        <v>3236.83</v>
      </c>
    </row>
    <row r="5813" spans="1:5" x14ac:dyDescent="0.25">
      <c r="A5813" s="1">
        <v>43566</v>
      </c>
      <c r="B5813">
        <v>122218</v>
      </c>
      <c r="C5813" t="s">
        <v>5184</v>
      </c>
      <c r="D5813" t="s">
        <v>5186</v>
      </c>
      <c r="E5813" s="2">
        <v>39240</v>
      </c>
    </row>
    <row r="5814" spans="1:5" x14ac:dyDescent="0.25">
      <c r="A5814" s="1">
        <v>43566</v>
      </c>
      <c r="B5814">
        <v>122219</v>
      </c>
      <c r="C5814" t="s">
        <v>616</v>
      </c>
      <c r="D5814" t="s">
        <v>5187</v>
      </c>
      <c r="E5814" s="2">
        <v>255.55</v>
      </c>
    </row>
    <row r="5815" spans="1:5" x14ac:dyDescent="0.25">
      <c r="A5815" s="1">
        <v>43566</v>
      </c>
      <c r="B5815">
        <v>122220</v>
      </c>
      <c r="C5815" t="s">
        <v>714</v>
      </c>
      <c r="D5815" t="s">
        <v>5188</v>
      </c>
      <c r="E5815" s="2">
        <v>324</v>
      </c>
    </row>
    <row r="5816" spans="1:5" x14ac:dyDescent="0.25">
      <c r="A5816" s="1">
        <v>43566</v>
      </c>
      <c r="B5816">
        <v>122221</v>
      </c>
      <c r="C5816" t="s">
        <v>1823</v>
      </c>
      <c r="D5816" t="s">
        <v>5189</v>
      </c>
      <c r="E5816" s="2">
        <v>70.260000000000005</v>
      </c>
    </row>
    <row r="5817" spans="1:5" x14ac:dyDescent="0.25">
      <c r="A5817" s="1">
        <v>43566</v>
      </c>
      <c r="B5817">
        <v>122222</v>
      </c>
      <c r="C5817" t="s">
        <v>47</v>
      </c>
      <c r="D5817" t="s">
        <v>5190</v>
      </c>
      <c r="E5817" s="2">
        <v>163.43</v>
      </c>
    </row>
    <row r="5818" spans="1:5" x14ac:dyDescent="0.25">
      <c r="A5818" s="1">
        <v>43566</v>
      </c>
      <c r="B5818">
        <v>122223</v>
      </c>
      <c r="C5818" t="s">
        <v>74</v>
      </c>
      <c r="D5818" t="s">
        <v>1678</v>
      </c>
      <c r="E5818" s="2">
        <v>664.7</v>
      </c>
    </row>
    <row r="5819" spans="1:5" x14ac:dyDescent="0.25">
      <c r="A5819" s="1">
        <v>43566</v>
      </c>
      <c r="B5819">
        <v>122223</v>
      </c>
      <c r="C5819" t="s">
        <v>74</v>
      </c>
      <c r="D5819" t="s">
        <v>5021</v>
      </c>
      <c r="E5819" s="2">
        <v>6.39</v>
      </c>
    </row>
    <row r="5820" spans="1:5" x14ac:dyDescent="0.25">
      <c r="A5820" s="1">
        <v>43566</v>
      </c>
      <c r="B5820">
        <v>122224</v>
      </c>
      <c r="C5820" t="s">
        <v>283</v>
      </c>
      <c r="D5820" t="s">
        <v>441</v>
      </c>
      <c r="E5820" s="2">
        <v>1014.17</v>
      </c>
    </row>
    <row r="5821" spans="1:5" x14ac:dyDescent="0.25">
      <c r="A5821" s="1">
        <v>43566</v>
      </c>
      <c r="B5821">
        <v>122225</v>
      </c>
      <c r="C5821" t="s">
        <v>5191</v>
      </c>
      <c r="D5821" t="s">
        <v>5192</v>
      </c>
      <c r="E5821" s="2">
        <v>271.25</v>
      </c>
    </row>
    <row r="5822" spans="1:5" x14ac:dyDescent="0.25">
      <c r="A5822" s="1">
        <v>43566</v>
      </c>
      <c r="B5822">
        <v>122226</v>
      </c>
      <c r="C5822" t="s">
        <v>5193</v>
      </c>
      <c r="D5822" t="s">
        <v>5194</v>
      </c>
      <c r="E5822" s="2">
        <v>515</v>
      </c>
    </row>
    <row r="5823" spans="1:5" x14ac:dyDescent="0.25">
      <c r="A5823" s="1">
        <v>43566</v>
      </c>
      <c r="B5823">
        <v>122227</v>
      </c>
      <c r="C5823" t="s">
        <v>336</v>
      </c>
      <c r="D5823" t="s">
        <v>5195</v>
      </c>
      <c r="E5823" s="2">
        <v>161.25</v>
      </c>
    </row>
    <row r="5824" spans="1:5" x14ac:dyDescent="0.25">
      <c r="A5824" s="1">
        <v>43566</v>
      </c>
      <c r="B5824">
        <v>122228</v>
      </c>
      <c r="C5824" t="s">
        <v>75</v>
      </c>
      <c r="D5824" t="s">
        <v>5196</v>
      </c>
      <c r="E5824" s="2">
        <v>25.26</v>
      </c>
    </row>
    <row r="5825" spans="1:5" x14ac:dyDescent="0.25">
      <c r="A5825" s="1">
        <v>43566</v>
      </c>
      <c r="B5825">
        <v>122228</v>
      </c>
      <c r="C5825" t="s">
        <v>75</v>
      </c>
      <c r="D5825" t="s">
        <v>5197</v>
      </c>
      <c r="E5825" s="2">
        <v>9.5399999999999991</v>
      </c>
    </row>
    <row r="5826" spans="1:5" x14ac:dyDescent="0.25">
      <c r="A5826" s="1">
        <v>43566</v>
      </c>
      <c r="B5826">
        <v>122229</v>
      </c>
      <c r="C5826" t="s">
        <v>1026</v>
      </c>
      <c r="D5826" t="s">
        <v>5198</v>
      </c>
      <c r="E5826" s="2">
        <v>255.31</v>
      </c>
    </row>
    <row r="5827" spans="1:5" x14ac:dyDescent="0.25">
      <c r="A5827" s="1">
        <v>43566</v>
      </c>
      <c r="B5827">
        <v>122232</v>
      </c>
      <c r="C5827" t="s">
        <v>11</v>
      </c>
      <c r="D5827" t="s">
        <v>5199</v>
      </c>
      <c r="E5827" s="2">
        <f>42.56+29.98</f>
        <v>72.540000000000006</v>
      </c>
    </row>
    <row r="5828" spans="1:5" x14ac:dyDescent="0.25">
      <c r="A5828" s="1">
        <v>43566</v>
      </c>
      <c r="B5828">
        <v>122232</v>
      </c>
      <c r="C5828" t="s">
        <v>11</v>
      </c>
      <c r="D5828" t="s">
        <v>5200</v>
      </c>
      <c r="E5828" s="2">
        <f>94.1+41.99+28.98</f>
        <v>165.07</v>
      </c>
    </row>
    <row r="5829" spans="1:5" x14ac:dyDescent="0.25">
      <c r="A5829" s="1">
        <v>43566</v>
      </c>
      <c r="B5829">
        <v>122232</v>
      </c>
      <c r="C5829" t="s">
        <v>11</v>
      </c>
      <c r="D5829" t="s">
        <v>5201</v>
      </c>
      <c r="E5829" s="2">
        <v>998</v>
      </c>
    </row>
    <row r="5830" spans="1:5" x14ac:dyDescent="0.25">
      <c r="A5830" s="1">
        <v>43566</v>
      </c>
      <c r="B5830">
        <v>122232</v>
      </c>
      <c r="C5830" t="s">
        <v>11</v>
      </c>
      <c r="D5830" t="s">
        <v>5202</v>
      </c>
      <c r="E5830" s="2">
        <v>58</v>
      </c>
    </row>
    <row r="5831" spans="1:5" x14ac:dyDescent="0.25">
      <c r="A5831" s="1">
        <v>43566</v>
      </c>
      <c r="B5831">
        <v>122232</v>
      </c>
      <c r="C5831" t="s">
        <v>11</v>
      </c>
      <c r="D5831" t="s">
        <v>3346</v>
      </c>
      <c r="E5831" s="2">
        <v>97.2</v>
      </c>
    </row>
    <row r="5832" spans="1:5" x14ac:dyDescent="0.25">
      <c r="A5832" s="1">
        <v>43566</v>
      </c>
      <c r="B5832">
        <v>122232</v>
      </c>
      <c r="C5832" t="s">
        <v>11</v>
      </c>
      <c r="D5832" t="s">
        <v>5203</v>
      </c>
      <c r="E5832" s="2">
        <v>94.59</v>
      </c>
    </row>
    <row r="5833" spans="1:5" x14ac:dyDescent="0.25">
      <c r="A5833" s="1">
        <v>43566</v>
      </c>
      <c r="B5833">
        <v>122232</v>
      </c>
      <c r="C5833" t="s">
        <v>11</v>
      </c>
      <c r="D5833" t="s">
        <v>3346</v>
      </c>
      <c r="E5833" s="2">
        <v>599.83000000000004</v>
      </c>
    </row>
    <row r="5834" spans="1:5" x14ac:dyDescent="0.25">
      <c r="A5834" s="1">
        <v>43566</v>
      </c>
      <c r="B5834">
        <v>122233</v>
      </c>
      <c r="C5834" t="s">
        <v>12</v>
      </c>
      <c r="D5834" t="s">
        <v>5204</v>
      </c>
      <c r="E5834" s="2">
        <v>112.24</v>
      </c>
    </row>
    <row r="5835" spans="1:5" x14ac:dyDescent="0.25">
      <c r="A5835" s="1">
        <v>43566</v>
      </c>
      <c r="B5835">
        <v>122234</v>
      </c>
      <c r="C5835" t="s">
        <v>5205</v>
      </c>
      <c r="D5835" t="s">
        <v>5206</v>
      </c>
      <c r="E5835" s="2">
        <v>1099</v>
      </c>
    </row>
    <row r="5836" spans="1:5" x14ac:dyDescent="0.25">
      <c r="A5836" s="1">
        <v>43566</v>
      </c>
      <c r="B5836">
        <v>122235</v>
      </c>
      <c r="C5836" t="s">
        <v>5075</v>
      </c>
      <c r="D5836" t="s">
        <v>5207</v>
      </c>
      <c r="E5836" s="2">
        <v>169.3</v>
      </c>
    </row>
    <row r="5837" spans="1:5" x14ac:dyDescent="0.25">
      <c r="A5837" s="1">
        <v>43566</v>
      </c>
      <c r="B5837">
        <v>122236</v>
      </c>
      <c r="C5837" t="s">
        <v>50</v>
      </c>
      <c r="D5837" t="s">
        <v>2047</v>
      </c>
      <c r="E5837" s="2">
        <v>2792.5</v>
      </c>
    </row>
    <row r="5838" spans="1:5" x14ac:dyDescent="0.25">
      <c r="A5838" s="1">
        <v>43566</v>
      </c>
      <c r="B5838">
        <v>122237</v>
      </c>
      <c r="C5838" t="s">
        <v>2225</v>
      </c>
      <c r="D5838" t="s">
        <v>481</v>
      </c>
      <c r="E5838" s="2">
        <v>73</v>
      </c>
    </row>
    <row r="5839" spans="1:5" x14ac:dyDescent="0.25">
      <c r="A5839" s="1">
        <v>43566</v>
      </c>
      <c r="B5839">
        <v>122238</v>
      </c>
      <c r="C5839" t="s">
        <v>51</v>
      </c>
      <c r="D5839" t="s">
        <v>52</v>
      </c>
      <c r="E5839" s="2">
        <v>221.84</v>
      </c>
    </row>
    <row r="5840" spans="1:5" x14ac:dyDescent="0.25">
      <c r="A5840" s="1">
        <v>43566</v>
      </c>
      <c r="B5840">
        <v>122239</v>
      </c>
      <c r="C5840" t="s">
        <v>152</v>
      </c>
      <c r="D5840" t="s">
        <v>5208</v>
      </c>
      <c r="E5840" s="2">
        <v>137.36000000000001</v>
      </c>
    </row>
    <row r="5841" spans="1:5" x14ac:dyDescent="0.25">
      <c r="A5841" s="1">
        <v>43566</v>
      </c>
      <c r="B5841">
        <v>122240</v>
      </c>
      <c r="C5841" t="s">
        <v>80</v>
      </c>
      <c r="D5841" t="s">
        <v>153</v>
      </c>
      <c r="E5841" s="2">
        <v>66.89</v>
      </c>
    </row>
    <row r="5842" spans="1:5" x14ac:dyDescent="0.25">
      <c r="A5842" s="1">
        <v>43566</v>
      </c>
      <c r="B5842">
        <v>122241</v>
      </c>
      <c r="C5842" t="s">
        <v>1110</v>
      </c>
      <c r="D5842" t="s">
        <v>5025</v>
      </c>
      <c r="E5842" s="2">
        <v>513.59</v>
      </c>
    </row>
    <row r="5843" spans="1:5" x14ac:dyDescent="0.25">
      <c r="A5843" s="1">
        <v>43566</v>
      </c>
      <c r="B5843">
        <v>122242</v>
      </c>
      <c r="C5843" t="s">
        <v>302</v>
      </c>
      <c r="D5843" t="s">
        <v>5209</v>
      </c>
      <c r="E5843" s="2">
        <v>334.1</v>
      </c>
    </row>
    <row r="5844" spans="1:5" x14ac:dyDescent="0.25">
      <c r="A5844" s="1">
        <v>43566</v>
      </c>
      <c r="B5844">
        <v>122242</v>
      </c>
      <c r="C5844" t="s">
        <v>302</v>
      </c>
      <c r="D5844" t="s">
        <v>5210</v>
      </c>
      <c r="E5844" s="2">
        <v>118.8</v>
      </c>
    </row>
    <row r="5845" spans="1:5" x14ac:dyDescent="0.25">
      <c r="A5845" s="1">
        <v>43566</v>
      </c>
      <c r="B5845">
        <v>122243</v>
      </c>
      <c r="C5845" t="s">
        <v>5211</v>
      </c>
      <c r="D5845" t="s">
        <v>5212</v>
      </c>
      <c r="E5845" s="2">
        <v>499</v>
      </c>
    </row>
    <row r="5846" spans="1:5" x14ac:dyDescent="0.25">
      <c r="A5846" s="1">
        <v>43566</v>
      </c>
      <c r="B5846">
        <v>122244</v>
      </c>
      <c r="C5846" t="s">
        <v>2591</v>
      </c>
      <c r="D5846" t="s">
        <v>5213</v>
      </c>
      <c r="E5846" s="2">
        <v>1245.5</v>
      </c>
    </row>
    <row r="5847" spans="1:5" x14ac:dyDescent="0.25">
      <c r="A5847" s="1">
        <v>43566</v>
      </c>
      <c r="B5847">
        <v>122245</v>
      </c>
      <c r="C5847" t="s">
        <v>158</v>
      </c>
      <c r="D5847" t="s">
        <v>416</v>
      </c>
      <c r="E5847" s="3">
        <v>-59.41</v>
      </c>
    </row>
    <row r="5848" spans="1:5" x14ac:dyDescent="0.25">
      <c r="A5848" s="1">
        <v>43566</v>
      </c>
      <c r="B5848">
        <v>122245</v>
      </c>
      <c r="C5848" t="s">
        <v>158</v>
      </c>
      <c r="D5848" t="s">
        <v>5214</v>
      </c>
      <c r="E5848" s="2">
        <v>697.92</v>
      </c>
    </row>
    <row r="5849" spans="1:5" x14ac:dyDescent="0.25">
      <c r="A5849" s="1">
        <v>43566</v>
      </c>
      <c r="B5849">
        <v>122246</v>
      </c>
      <c r="C5849" t="s">
        <v>161</v>
      </c>
      <c r="D5849" t="s">
        <v>1269</v>
      </c>
      <c r="E5849" s="2">
        <v>7359</v>
      </c>
    </row>
    <row r="5850" spans="1:5" x14ac:dyDescent="0.25">
      <c r="A5850" s="1">
        <v>43566</v>
      </c>
      <c r="B5850">
        <v>122247</v>
      </c>
      <c r="C5850" t="s">
        <v>768</v>
      </c>
      <c r="D5850" t="s">
        <v>5215</v>
      </c>
      <c r="E5850" s="2">
        <v>358.59</v>
      </c>
    </row>
    <row r="5851" spans="1:5" x14ac:dyDescent="0.25">
      <c r="A5851" s="1">
        <v>43566</v>
      </c>
      <c r="B5851">
        <v>122247</v>
      </c>
      <c r="C5851" t="s">
        <v>768</v>
      </c>
      <c r="D5851" t="s">
        <v>5216</v>
      </c>
      <c r="E5851" s="2">
        <v>2640</v>
      </c>
    </row>
    <row r="5852" spans="1:5" x14ac:dyDescent="0.25">
      <c r="A5852" s="1">
        <v>43566</v>
      </c>
      <c r="B5852">
        <v>122248</v>
      </c>
      <c r="C5852" t="s">
        <v>1516</v>
      </c>
      <c r="D5852" t="s">
        <v>3674</v>
      </c>
      <c r="E5852" s="2">
        <v>120</v>
      </c>
    </row>
    <row r="5853" spans="1:5" x14ac:dyDescent="0.25">
      <c r="A5853" s="1">
        <v>43566</v>
      </c>
      <c r="B5853">
        <v>122249</v>
      </c>
      <c r="C5853" t="s">
        <v>314</v>
      </c>
      <c r="D5853" t="s">
        <v>885</v>
      </c>
      <c r="E5853" s="2">
        <v>252</v>
      </c>
    </row>
    <row r="5854" spans="1:5" x14ac:dyDescent="0.25">
      <c r="A5854" s="1">
        <v>43566</v>
      </c>
      <c r="B5854">
        <v>122251</v>
      </c>
      <c r="C5854" t="s">
        <v>318</v>
      </c>
      <c r="D5854" t="s">
        <v>4816</v>
      </c>
      <c r="E5854" s="2">
        <v>83076.56</v>
      </c>
    </row>
    <row r="5855" spans="1:5" x14ac:dyDescent="0.25">
      <c r="A5855" s="1">
        <v>43566</v>
      </c>
      <c r="B5855">
        <v>122251</v>
      </c>
      <c r="C5855" t="s">
        <v>318</v>
      </c>
      <c r="D5855" t="s">
        <v>5217</v>
      </c>
      <c r="E5855" s="2">
        <v>12525.78</v>
      </c>
    </row>
    <row r="5856" spans="1:5" x14ac:dyDescent="0.25">
      <c r="A5856" s="1">
        <v>43566</v>
      </c>
      <c r="B5856">
        <v>122251</v>
      </c>
      <c r="C5856" t="s">
        <v>318</v>
      </c>
      <c r="D5856" t="s">
        <v>5218</v>
      </c>
      <c r="E5856" s="2">
        <v>2107.0300000000002</v>
      </c>
    </row>
    <row r="5857" spans="1:5" x14ac:dyDescent="0.25">
      <c r="A5857" s="1">
        <v>43566</v>
      </c>
      <c r="B5857">
        <v>122252</v>
      </c>
      <c r="C5857" t="s">
        <v>166</v>
      </c>
      <c r="D5857" t="s">
        <v>5219</v>
      </c>
      <c r="E5857" s="2">
        <v>135</v>
      </c>
    </row>
    <row r="5858" spans="1:5" x14ac:dyDescent="0.25">
      <c r="A5858" s="1">
        <v>43566</v>
      </c>
      <c r="B5858">
        <v>122253</v>
      </c>
      <c r="C5858" t="s">
        <v>3198</v>
      </c>
      <c r="D5858" t="s">
        <v>5220</v>
      </c>
      <c r="E5858" s="2">
        <v>450</v>
      </c>
    </row>
    <row r="5859" spans="1:5" x14ac:dyDescent="0.25">
      <c r="A5859" s="1">
        <v>43566</v>
      </c>
      <c r="B5859">
        <v>122254</v>
      </c>
      <c r="C5859" t="s">
        <v>5221</v>
      </c>
      <c r="D5859" t="s">
        <v>5222</v>
      </c>
      <c r="E5859" s="2">
        <v>625</v>
      </c>
    </row>
    <row r="5860" spans="1:5" x14ac:dyDescent="0.25">
      <c r="A5860" s="1">
        <v>43566</v>
      </c>
      <c r="B5860">
        <v>122255</v>
      </c>
      <c r="C5860" t="s">
        <v>1261</v>
      </c>
      <c r="D5860" t="s">
        <v>690</v>
      </c>
      <c r="E5860" s="2">
        <f>740.5+497.5</f>
        <v>1238</v>
      </c>
    </row>
    <row r="5861" spans="1:5" x14ac:dyDescent="0.25">
      <c r="A5861" s="1">
        <v>43566</v>
      </c>
      <c r="B5861">
        <v>122256</v>
      </c>
      <c r="C5861" t="s">
        <v>88</v>
      </c>
      <c r="D5861" t="s">
        <v>5223</v>
      </c>
      <c r="E5861" s="2">
        <v>285</v>
      </c>
    </row>
    <row r="5862" spans="1:5" x14ac:dyDescent="0.25">
      <c r="A5862" s="1">
        <v>43566</v>
      </c>
      <c r="B5862">
        <v>122256</v>
      </c>
      <c r="C5862" t="s">
        <v>88</v>
      </c>
      <c r="D5862" t="s">
        <v>5224</v>
      </c>
      <c r="E5862" s="2">
        <v>918.75</v>
      </c>
    </row>
    <row r="5863" spans="1:5" x14ac:dyDescent="0.25">
      <c r="A5863" s="1">
        <v>43566</v>
      </c>
      <c r="B5863">
        <v>122257</v>
      </c>
      <c r="C5863" t="s">
        <v>174</v>
      </c>
      <c r="D5863" t="s">
        <v>3202</v>
      </c>
      <c r="E5863" s="2">
        <v>1941.06</v>
      </c>
    </row>
    <row r="5864" spans="1:5" x14ac:dyDescent="0.25">
      <c r="A5864" s="1">
        <v>43566</v>
      </c>
      <c r="B5864">
        <v>122258</v>
      </c>
      <c r="C5864" t="s">
        <v>1729</v>
      </c>
      <c r="D5864" t="s">
        <v>5197</v>
      </c>
      <c r="E5864" s="2">
        <v>48.22</v>
      </c>
    </row>
    <row r="5865" spans="1:5" x14ac:dyDescent="0.25">
      <c r="A5865" s="1">
        <v>43566</v>
      </c>
      <c r="B5865">
        <v>122258</v>
      </c>
      <c r="C5865" t="s">
        <v>1729</v>
      </c>
      <c r="D5865" t="s">
        <v>5225</v>
      </c>
      <c r="E5865" s="2">
        <v>66.02</v>
      </c>
    </row>
    <row r="5866" spans="1:5" x14ac:dyDescent="0.25">
      <c r="A5866" s="1">
        <v>43566</v>
      </c>
      <c r="B5866">
        <v>122259</v>
      </c>
      <c r="C5866" t="s">
        <v>385</v>
      </c>
      <c r="D5866" t="s">
        <v>5226</v>
      </c>
      <c r="E5866" s="2">
        <v>314.75</v>
      </c>
    </row>
    <row r="5867" spans="1:5" x14ac:dyDescent="0.25">
      <c r="A5867" s="1">
        <v>43566</v>
      </c>
      <c r="B5867">
        <v>122260</v>
      </c>
      <c r="C5867" t="s">
        <v>5227</v>
      </c>
      <c r="D5867" t="s">
        <v>5228</v>
      </c>
      <c r="E5867" s="2">
        <v>931</v>
      </c>
    </row>
    <row r="5868" spans="1:5" x14ac:dyDescent="0.25">
      <c r="A5868" s="1">
        <v>43566</v>
      </c>
      <c r="B5868">
        <v>122261</v>
      </c>
      <c r="C5868" t="s">
        <v>4135</v>
      </c>
      <c r="D5868" t="s">
        <v>5229</v>
      </c>
      <c r="E5868" s="2">
        <f>355.5+1863</f>
        <v>2218.5</v>
      </c>
    </row>
    <row r="5869" spans="1:5" x14ac:dyDescent="0.25">
      <c r="A5869" s="1">
        <v>43566</v>
      </c>
      <c r="B5869">
        <v>122262</v>
      </c>
      <c r="C5869" t="s">
        <v>181</v>
      </c>
      <c r="D5869" t="s">
        <v>182</v>
      </c>
      <c r="E5869" s="2">
        <v>1709.55</v>
      </c>
    </row>
    <row r="5870" spans="1:5" x14ac:dyDescent="0.25">
      <c r="A5870" s="1">
        <v>43566</v>
      </c>
      <c r="B5870">
        <v>122264</v>
      </c>
      <c r="C5870" t="s">
        <v>388</v>
      </c>
      <c r="D5870" t="s">
        <v>4574</v>
      </c>
      <c r="E5870" s="2">
        <f>1785.74+1777.14+571.6+1145.45+4542.36</f>
        <v>9822.2900000000009</v>
      </c>
    </row>
    <row r="5871" spans="1:5" x14ac:dyDescent="0.25">
      <c r="A5871" s="1">
        <v>43566</v>
      </c>
      <c r="B5871">
        <v>122265</v>
      </c>
      <c r="C5871" t="s">
        <v>780</v>
      </c>
      <c r="D5871" t="s">
        <v>3387</v>
      </c>
      <c r="E5871" s="2">
        <v>282.23</v>
      </c>
    </row>
    <row r="5872" spans="1:5" x14ac:dyDescent="0.25">
      <c r="A5872" s="1">
        <v>43566</v>
      </c>
      <c r="B5872">
        <v>122266</v>
      </c>
      <c r="C5872" t="s">
        <v>2985</v>
      </c>
      <c r="D5872" t="s">
        <v>2763</v>
      </c>
      <c r="E5872" s="2">
        <v>800.8</v>
      </c>
    </row>
    <row r="5873" spans="1:5" x14ac:dyDescent="0.25">
      <c r="A5873" s="1">
        <v>43566</v>
      </c>
      <c r="B5873">
        <v>122267</v>
      </c>
      <c r="C5873" t="s">
        <v>1281</v>
      </c>
      <c r="D5873" t="s">
        <v>5230</v>
      </c>
      <c r="E5873" s="2">
        <v>296.22000000000003</v>
      </c>
    </row>
    <row r="5874" spans="1:5" x14ac:dyDescent="0.25">
      <c r="A5874" s="1">
        <v>43566</v>
      </c>
      <c r="B5874">
        <v>181900282</v>
      </c>
      <c r="C5874" t="s">
        <v>910</v>
      </c>
      <c r="D5874" t="s">
        <v>5231</v>
      </c>
      <c r="E5874" s="2">
        <v>103.56</v>
      </c>
    </row>
    <row r="5875" spans="1:5" x14ac:dyDescent="0.25">
      <c r="A5875" s="1">
        <v>43566</v>
      </c>
      <c r="B5875">
        <v>181900283</v>
      </c>
      <c r="C5875" t="s">
        <v>48</v>
      </c>
      <c r="D5875" t="s">
        <v>5232</v>
      </c>
      <c r="E5875" s="2">
        <v>12687.03</v>
      </c>
    </row>
    <row r="5876" spans="1:5" x14ac:dyDescent="0.25">
      <c r="A5876" s="1">
        <v>43566</v>
      </c>
      <c r="B5876">
        <v>181900284</v>
      </c>
      <c r="C5876" t="s">
        <v>5233</v>
      </c>
      <c r="D5876" t="s">
        <v>5231</v>
      </c>
      <c r="E5876" s="2">
        <v>79.31</v>
      </c>
    </row>
    <row r="5877" spans="1:5" x14ac:dyDescent="0.25">
      <c r="A5877" s="1">
        <v>43566</v>
      </c>
      <c r="B5877">
        <v>181900285</v>
      </c>
      <c r="C5877" t="s">
        <v>5234</v>
      </c>
      <c r="D5877" t="s">
        <v>5235</v>
      </c>
      <c r="E5877" s="2">
        <v>95</v>
      </c>
    </row>
    <row r="5878" spans="1:5" x14ac:dyDescent="0.25">
      <c r="A5878" s="1">
        <v>43567</v>
      </c>
      <c r="B5878">
        <v>122268</v>
      </c>
      <c r="C5878" t="s">
        <v>1920</v>
      </c>
      <c r="D5878" t="s">
        <v>5236</v>
      </c>
      <c r="E5878" s="2">
        <v>1170</v>
      </c>
    </row>
    <row r="5879" spans="1:5" x14ac:dyDescent="0.25">
      <c r="A5879" s="1">
        <v>43571</v>
      </c>
      <c r="B5879">
        <v>122269</v>
      </c>
      <c r="C5879" t="s">
        <v>4832</v>
      </c>
      <c r="D5879" t="s">
        <v>5237</v>
      </c>
      <c r="E5879" s="2">
        <v>554.4</v>
      </c>
    </row>
    <row r="5880" spans="1:5" x14ac:dyDescent="0.25">
      <c r="A5880" s="1">
        <v>43571</v>
      </c>
      <c r="B5880">
        <v>181900286</v>
      </c>
      <c r="C5880" t="s">
        <v>394</v>
      </c>
      <c r="D5880" t="s">
        <v>5238</v>
      </c>
      <c r="E5880" s="2">
        <v>700</v>
      </c>
    </row>
    <row r="5881" spans="1:5" x14ac:dyDescent="0.25">
      <c r="A5881" s="1">
        <v>43572</v>
      </c>
      <c r="B5881">
        <v>122270</v>
      </c>
      <c r="C5881" t="s">
        <v>188</v>
      </c>
      <c r="D5881" t="s">
        <v>3822</v>
      </c>
      <c r="E5881" s="2">
        <v>110.06</v>
      </c>
    </row>
    <row r="5882" spans="1:5" x14ac:dyDescent="0.25">
      <c r="A5882" s="1">
        <v>43572</v>
      </c>
      <c r="B5882">
        <v>122271</v>
      </c>
      <c r="C5882" t="s">
        <v>64</v>
      </c>
      <c r="D5882" t="s">
        <v>5239</v>
      </c>
      <c r="E5882" s="2">
        <v>880</v>
      </c>
    </row>
    <row r="5883" spans="1:5" x14ac:dyDescent="0.25">
      <c r="A5883" s="1">
        <v>43572</v>
      </c>
      <c r="B5883">
        <v>122271</v>
      </c>
      <c r="C5883" t="s">
        <v>64</v>
      </c>
      <c r="D5883" t="s">
        <v>5240</v>
      </c>
      <c r="E5883" s="2">
        <v>304</v>
      </c>
    </row>
    <row r="5884" spans="1:5" x14ac:dyDescent="0.25">
      <c r="A5884" s="1">
        <v>43572</v>
      </c>
      <c r="B5884">
        <v>122272</v>
      </c>
      <c r="C5884" t="s">
        <v>1312</v>
      </c>
      <c r="D5884" t="s">
        <v>5241</v>
      </c>
      <c r="E5884" s="2">
        <v>200</v>
      </c>
    </row>
    <row r="5885" spans="1:5" x14ac:dyDescent="0.25">
      <c r="A5885" s="1">
        <v>43572</v>
      </c>
      <c r="B5885">
        <v>122273</v>
      </c>
      <c r="C5885" t="s">
        <v>5242</v>
      </c>
      <c r="D5885" t="s">
        <v>5243</v>
      </c>
      <c r="E5885" s="2">
        <v>372</v>
      </c>
    </row>
    <row r="5886" spans="1:5" x14ac:dyDescent="0.25">
      <c r="A5886" s="1">
        <v>43572</v>
      </c>
      <c r="B5886">
        <v>122274</v>
      </c>
      <c r="C5886" t="s">
        <v>662</v>
      </c>
      <c r="D5886" t="s">
        <v>5244</v>
      </c>
      <c r="E5886" s="2">
        <v>272.02</v>
      </c>
    </row>
    <row r="5887" spans="1:5" x14ac:dyDescent="0.25">
      <c r="A5887" s="1">
        <v>43572</v>
      </c>
      <c r="B5887">
        <v>122275</v>
      </c>
      <c r="C5887" t="s">
        <v>31</v>
      </c>
      <c r="D5887" t="s">
        <v>1086</v>
      </c>
      <c r="E5887" s="2">
        <v>202.8</v>
      </c>
    </row>
    <row r="5888" spans="1:5" x14ac:dyDescent="0.25">
      <c r="A5888" s="1">
        <v>43572</v>
      </c>
      <c r="B5888">
        <v>122276</v>
      </c>
      <c r="C5888" t="s">
        <v>5245</v>
      </c>
      <c r="D5888" t="s">
        <v>5246</v>
      </c>
      <c r="E5888" s="2">
        <v>1496</v>
      </c>
    </row>
    <row r="5889" spans="1:5" x14ac:dyDescent="0.25">
      <c r="A5889" s="1">
        <v>43572</v>
      </c>
      <c r="B5889">
        <v>122277</v>
      </c>
      <c r="C5889" t="s">
        <v>68</v>
      </c>
      <c r="D5889" t="s">
        <v>5247</v>
      </c>
      <c r="E5889" s="2">
        <v>336.25</v>
      </c>
    </row>
    <row r="5890" spans="1:5" x14ac:dyDescent="0.25">
      <c r="A5890" s="1">
        <v>43572</v>
      </c>
      <c r="B5890">
        <v>122278</v>
      </c>
      <c r="C5890" t="s">
        <v>1092</v>
      </c>
      <c r="D5890" t="s">
        <v>5248</v>
      </c>
      <c r="E5890" s="2">
        <v>83</v>
      </c>
    </row>
    <row r="5891" spans="1:5" x14ac:dyDescent="0.25">
      <c r="A5891" s="1">
        <v>43572</v>
      </c>
      <c r="B5891">
        <v>122278</v>
      </c>
      <c r="C5891" t="s">
        <v>1092</v>
      </c>
      <c r="D5891" t="s">
        <v>5249</v>
      </c>
      <c r="E5891" s="2">
        <v>83</v>
      </c>
    </row>
    <row r="5892" spans="1:5" x14ac:dyDescent="0.25">
      <c r="A5892" s="1">
        <v>43572</v>
      </c>
      <c r="B5892">
        <v>122279</v>
      </c>
      <c r="C5892" t="s">
        <v>1004</v>
      </c>
      <c r="D5892" t="s">
        <v>5250</v>
      </c>
      <c r="E5892" s="2">
        <v>249</v>
      </c>
    </row>
    <row r="5893" spans="1:5" x14ac:dyDescent="0.25">
      <c r="A5893" s="1">
        <v>43572</v>
      </c>
      <c r="B5893">
        <v>122280</v>
      </c>
      <c r="C5893" t="s">
        <v>123</v>
      </c>
      <c r="D5893" t="s">
        <v>5251</v>
      </c>
      <c r="E5893" s="2">
        <v>201.48</v>
      </c>
    </row>
    <row r="5894" spans="1:5" x14ac:dyDescent="0.25">
      <c r="A5894" s="1">
        <v>43572</v>
      </c>
      <c r="B5894">
        <v>122280</v>
      </c>
      <c r="C5894" t="s">
        <v>123</v>
      </c>
      <c r="D5894" t="s">
        <v>5252</v>
      </c>
      <c r="E5894" s="2">
        <v>47.13</v>
      </c>
    </row>
    <row r="5895" spans="1:5" x14ac:dyDescent="0.25">
      <c r="A5895" s="1">
        <v>43572</v>
      </c>
      <c r="B5895">
        <v>122280</v>
      </c>
      <c r="C5895" t="s">
        <v>123</v>
      </c>
      <c r="D5895" t="s">
        <v>5253</v>
      </c>
      <c r="E5895" s="2">
        <v>81.680000000000007</v>
      </c>
    </row>
    <row r="5896" spans="1:5" x14ac:dyDescent="0.25">
      <c r="A5896" s="1">
        <v>43572</v>
      </c>
      <c r="B5896">
        <v>122280</v>
      </c>
      <c r="C5896" t="s">
        <v>123</v>
      </c>
      <c r="D5896" t="s">
        <v>5254</v>
      </c>
      <c r="E5896" s="2">
        <v>197.4</v>
      </c>
    </row>
    <row r="5897" spans="1:5" x14ac:dyDescent="0.25">
      <c r="A5897" s="1">
        <v>43572</v>
      </c>
      <c r="B5897">
        <v>122282</v>
      </c>
      <c r="C5897" t="s">
        <v>365</v>
      </c>
      <c r="D5897" t="s">
        <v>5255</v>
      </c>
      <c r="E5897" s="2">
        <f>44.75+80.55+150.58+207.97</f>
        <v>483.85</v>
      </c>
    </row>
    <row r="5898" spans="1:5" x14ac:dyDescent="0.25">
      <c r="A5898" s="1">
        <v>43572</v>
      </c>
      <c r="B5898">
        <v>122282</v>
      </c>
      <c r="C5898" t="s">
        <v>365</v>
      </c>
      <c r="D5898" t="s">
        <v>5256</v>
      </c>
      <c r="E5898" s="2">
        <v>87.15</v>
      </c>
    </row>
    <row r="5899" spans="1:5" x14ac:dyDescent="0.25">
      <c r="A5899" s="1">
        <v>43572</v>
      </c>
      <c r="B5899">
        <v>122283</v>
      </c>
      <c r="C5899" t="s">
        <v>2393</v>
      </c>
      <c r="D5899" t="s">
        <v>5257</v>
      </c>
      <c r="E5899" s="2">
        <v>30</v>
      </c>
    </row>
    <row r="5900" spans="1:5" x14ac:dyDescent="0.25">
      <c r="A5900" s="1">
        <v>43572</v>
      </c>
      <c r="B5900">
        <v>122284</v>
      </c>
      <c r="C5900" t="s">
        <v>3009</v>
      </c>
      <c r="D5900" t="s">
        <v>5258</v>
      </c>
      <c r="E5900" s="2">
        <v>600.35</v>
      </c>
    </row>
    <row r="5901" spans="1:5" x14ac:dyDescent="0.25">
      <c r="A5901" s="1">
        <v>43572</v>
      </c>
      <c r="B5901">
        <v>122284</v>
      </c>
      <c r="C5901" t="s">
        <v>3009</v>
      </c>
      <c r="D5901" t="s">
        <v>5259</v>
      </c>
      <c r="E5901" s="2">
        <v>363.83</v>
      </c>
    </row>
    <row r="5902" spans="1:5" x14ac:dyDescent="0.25">
      <c r="A5902" s="1">
        <v>43572</v>
      </c>
      <c r="B5902">
        <v>122285</v>
      </c>
      <c r="C5902" t="s">
        <v>5260</v>
      </c>
      <c r="D5902" t="s">
        <v>5261</v>
      </c>
      <c r="E5902" s="2">
        <v>360</v>
      </c>
    </row>
    <row r="5903" spans="1:5" x14ac:dyDescent="0.25">
      <c r="A5903" s="1">
        <v>43572</v>
      </c>
      <c r="B5903">
        <v>122286</v>
      </c>
      <c r="C5903" t="s">
        <v>1946</v>
      </c>
      <c r="D5903" t="s">
        <v>5262</v>
      </c>
      <c r="E5903" s="2">
        <v>91.6</v>
      </c>
    </row>
    <row r="5904" spans="1:5" x14ac:dyDescent="0.25">
      <c r="A5904" s="1">
        <v>43572</v>
      </c>
      <c r="B5904">
        <v>122287</v>
      </c>
      <c r="C5904" t="s">
        <v>74</v>
      </c>
      <c r="D5904" t="s">
        <v>5263</v>
      </c>
      <c r="E5904" s="2">
        <v>89.98</v>
      </c>
    </row>
    <row r="5905" spans="1:5" x14ac:dyDescent="0.25">
      <c r="A5905" s="1">
        <v>43572</v>
      </c>
      <c r="B5905">
        <v>122287</v>
      </c>
      <c r="C5905" t="s">
        <v>74</v>
      </c>
      <c r="D5905" t="s">
        <v>5264</v>
      </c>
      <c r="E5905" s="2">
        <v>444.7</v>
      </c>
    </row>
    <row r="5906" spans="1:5" x14ac:dyDescent="0.25">
      <c r="A5906" s="1">
        <v>43572</v>
      </c>
      <c r="B5906">
        <v>122287</v>
      </c>
      <c r="C5906" t="s">
        <v>74</v>
      </c>
      <c r="D5906" t="s">
        <v>228</v>
      </c>
      <c r="E5906" s="2">
        <v>47.99</v>
      </c>
    </row>
    <row r="5907" spans="1:5" x14ac:dyDescent="0.25">
      <c r="A5907" s="1">
        <v>43572</v>
      </c>
      <c r="B5907">
        <v>122288</v>
      </c>
      <c r="C5907" t="s">
        <v>1767</v>
      </c>
      <c r="D5907" t="s">
        <v>5265</v>
      </c>
      <c r="E5907" s="2">
        <v>128.69999999999999</v>
      </c>
    </row>
    <row r="5908" spans="1:5" x14ac:dyDescent="0.25">
      <c r="A5908" s="1">
        <v>43572</v>
      </c>
      <c r="B5908">
        <v>122289</v>
      </c>
      <c r="C5908" t="s">
        <v>5266</v>
      </c>
      <c r="D5908" t="s">
        <v>5267</v>
      </c>
      <c r="E5908" s="2">
        <v>1045</v>
      </c>
    </row>
    <row r="5909" spans="1:5" x14ac:dyDescent="0.25">
      <c r="A5909" s="1">
        <v>43572</v>
      </c>
      <c r="B5909">
        <v>122290</v>
      </c>
      <c r="C5909" t="s">
        <v>80</v>
      </c>
      <c r="D5909" t="s">
        <v>4313</v>
      </c>
      <c r="E5909" s="2">
        <v>147.79</v>
      </c>
    </row>
    <row r="5910" spans="1:5" x14ac:dyDescent="0.25">
      <c r="A5910" s="1">
        <v>43572</v>
      </c>
      <c r="B5910">
        <v>122291</v>
      </c>
      <c r="C5910" t="s">
        <v>4282</v>
      </c>
      <c r="D5910" t="s">
        <v>5268</v>
      </c>
      <c r="E5910" s="2">
        <v>300</v>
      </c>
    </row>
    <row r="5911" spans="1:5" x14ac:dyDescent="0.25">
      <c r="A5911" s="1">
        <v>43572</v>
      </c>
      <c r="B5911">
        <v>122292</v>
      </c>
      <c r="C5911" t="s">
        <v>1729</v>
      </c>
      <c r="D5911" t="s">
        <v>5269</v>
      </c>
      <c r="E5911" s="2">
        <v>22.6</v>
      </c>
    </row>
    <row r="5912" spans="1:5" x14ac:dyDescent="0.25">
      <c r="A5912" s="1">
        <v>43572</v>
      </c>
      <c r="B5912">
        <v>122293</v>
      </c>
      <c r="C5912" t="s">
        <v>5270</v>
      </c>
      <c r="D5912" t="s">
        <v>5271</v>
      </c>
      <c r="E5912" s="2">
        <v>802.11</v>
      </c>
    </row>
    <row r="5913" spans="1:5" x14ac:dyDescent="0.25">
      <c r="A5913" s="1">
        <v>43572</v>
      </c>
      <c r="B5913">
        <v>122294</v>
      </c>
      <c r="C5913" t="s">
        <v>19</v>
      </c>
      <c r="D5913" t="s">
        <v>5272</v>
      </c>
      <c r="E5913" s="2">
        <v>400</v>
      </c>
    </row>
    <row r="5914" spans="1:5" x14ac:dyDescent="0.25">
      <c r="A5914" s="1">
        <v>43572</v>
      </c>
      <c r="B5914">
        <v>181900287</v>
      </c>
      <c r="C5914" t="s">
        <v>393</v>
      </c>
      <c r="D5914" t="s">
        <v>5273</v>
      </c>
      <c r="E5914" s="2">
        <v>121.06</v>
      </c>
    </row>
    <row r="5915" spans="1:5" x14ac:dyDescent="0.25">
      <c r="A5915" s="1">
        <v>43572</v>
      </c>
      <c r="B5915">
        <v>181900288</v>
      </c>
      <c r="C5915" t="s">
        <v>4194</v>
      </c>
      <c r="D5915" t="s">
        <v>5274</v>
      </c>
      <c r="E5915" s="2">
        <v>141</v>
      </c>
    </row>
    <row r="5916" spans="1:5" x14ac:dyDescent="0.25">
      <c r="A5916" s="1">
        <v>43573</v>
      </c>
      <c r="B5916">
        <v>122295</v>
      </c>
      <c r="C5916" t="s">
        <v>1920</v>
      </c>
      <c r="D5916" t="s">
        <v>5275</v>
      </c>
      <c r="E5916" s="2">
        <v>32.869999999999997</v>
      </c>
    </row>
    <row r="5917" spans="1:5" x14ac:dyDescent="0.25">
      <c r="A5917" s="1">
        <v>43573</v>
      </c>
      <c r="B5917">
        <v>122296</v>
      </c>
      <c r="C5917" t="s">
        <v>96</v>
      </c>
      <c r="D5917" t="s">
        <v>4996</v>
      </c>
      <c r="E5917" s="2">
        <v>60</v>
      </c>
    </row>
    <row r="5918" spans="1:5" x14ac:dyDescent="0.25">
      <c r="A5918" s="1">
        <v>43573</v>
      </c>
      <c r="B5918">
        <v>122297</v>
      </c>
      <c r="C5918" t="s">
        <v>5276</v>
      </c>
      <c r="D5918" t="s">
        <v>5277</v>
      </c>
      <c r="E5918" s="2">
        <v>80.599999999999994</v>
      </c>
    </row>
    <row r="5919" spans="1:5" x14ac:dyDescent="0.25">
      <c r="A5919" s="1">
        <v>43573</v>
      </c>
      <c r="B5919">
        <v>122298</v>
      </c>
      <c r="C5919" t="s">
        <v>97</v>
      </c>
      <c r="D5919" t="s">
        <v>5278</v>
      </c>
      <c r="E5919" s="2">
        <v>2104.9899999999998</v>
      </c>
    </row>
    <row r="5920" spans="1:5" x14ac:dyDescent="0.25">
      <c r="A5920" s="1">
        <v>43573</v>
      </c>
      <c r="B5920">
        <v>122299</v>
      </c>
      <c r="C5920" t="s">
        <v>25</v>
      </c>
      <c r="D5920" t="s">
        <v>5279</v>
      </c>
      <c r="E5920" s="2">
        <v>103.53</v>
      </c>
    </row>
    <row r="5921" spans="1:5" x14ac:dyDescent="0.25">
      <c r="A5921" s="1">
        <v>43573</v>
      </c>
      <c r="B5921">
        <v>122300</v>
      </c>
      <c r="C5921" t="s">
        <v>5280</v>
      </c>
      <c r="D5921" t="s">
        <v>5281</v>
      </c>
      <c r="E5921" s="2">
        <v>39.049999999999997</v>
      </c>
    </row>
    <row r="5922" spans="1:5" x14ac:dyDescent="0.25">
      <c r="A5922" s="1">
        <v>43573</v>
      </c>
      <c r="B5922">
        <v>122301</v>
      </c>
      <c r="C5922" t="s">
        <v>3102</v>
      </c>
      <c r="D5922" t="s">
        <v>5282</v>
      </c>
      <c r="E5922" s="2">
        <v>400</v>
      </c>
    </row>
    <row r="5923" spans="1:5" x14ac:dyDescent="0.25">
      <c r="A5923" s="1">
        <v>43573</v>
      </c>
      <c r="B5923">
        <v>122302</v>
      </c>
      <c r="C5923" t="s">
        <v>5133</v>
      </c>
      <c r="D5923" t="s">
        <v>5134</v>
      </c>
      <c r="E5923" s="2">
        <v>300</v>
      </c>
    </row>
    <row r="5924" spans="1:5" x14ac:dyDescent="0.25">
      <c r="A5924" s="1">
        <v>43573</v>
      </c>
      <c r="B5924">
        <v>122303</v>
      </c>
      <c r="C5924" t="s">
        <v>1156</v>
      </c>
      <c r="D5924" t="s">
        <v>5283</v>
      </c>
      <c r="E5924" s="2">
        <v>492.72</v>
      </c>
    </row>
    <row r="5925" spans="1:5" x14ac:dyDescent="0.25">
      <c r="A5925" s="1">
        <v>43573</v>
      </c>
      <c r="B5925">
        <v>122304</v>
      </c>
      <c r="C5925" t="s">
        <v>243</v>
      </c>
      <c r="D5925" t="s">
        <v>5284</v>
      </c>
      <c r="E5925" s="2">
        <v>45</v>
      </c>
    </row>
    <row r="5926" spans="1:5" x14ac:dyDescent="0.25">
      <c r="A5926" s="1">
        <v>43573</v>
      </c>
      <c r="B5926">
        <v>122305</v>
      </c>
      <c r="C5926" t="s">
        <v>5285</v>
      </c>
      <c r="D5926" t="s">
        <v>5281</v>
      </c>
      <c r="E5926" s="2">
        <v>78.2</v>
      </c>
    </row>
    <row r="5927" spans="1:5" x14ac:dyDescent="0.25">
      <c r="A5927" s="1">
        <v>43573</v>
      </c>
      <c r="B5927">
        <v>122306</v>
      </c>
      <c r="C5927" t="s">
        <v>247</v>
      </c>
      <c r="D5927" t="s">
        <v>1798</v>
      </c>
      <c r="E5927" s="2">
        <v>1373.98</v>
      </c>
    </row>
    <row r="5928" spans="1:5" x14ac:dyDescent="0.25">
      <c r="A5928" s="1">
        <v>43573</v>
      </c>
      <c r="B5928">
        <v>122308</v>
      </c>
      <c r="C5928" t="s">
        <v>106</v>
      </c>
      <c r="D5928" t="s">
        <v>1798</v>
      </c>
      <c r="E5928" s="2">
        <f>106.65+49.48+625.59+393.29+189.72+1452.97+1519.85</f>
        <v>4337.5499999999993</v>
      </c>
    </row>
    <row r="5929" spans="1:5" x14ac:dyDescent="0.25">
      <c r="A5929" s="1">
        <v>43573</v>
      </c>
      <c r="B5929">
        <v>122309</v>
      </c>
      <c r="C5929" t="s">
        <v>5286</v>
      </c>
      <c r="D5929" t="s">
        <v>5287</v>
      </c>
      <c r="E5929" s="2">
        <v>450</v>
      </c>
    </row>
    <row r="5930" spans="1:5" x14ac:dyDescent="0.25">
      <c r="A5930" s="1">
        <v>43573</v>
      </c>
      <c r="B5930">
        <v>122310</v>
      </c>
      <c r="C5930" t="s">
        <v>31</v>
      </c>
      <c r="D5930" t="s">
        <v>5288</v>
      </c>
      <c r="E5930" s="2">
        <v>217.92</v>
      </c>
    </row>
    <row r="5931" spans="1:5" x14ac:dyDescent="0.25">
      <c r="A5931" s="1">
        <v>43573</v>
      </c>
      <c r="B5931">
        <v>122311</v>
      </c>
      <c r="C5931" t="s">
        <v>5289</v>
      </c>
      <c r="D5931" t="s">
        <v>5290</v>
      </c>
      <c r="E5931" s="2">
        <v>145</v>
      </c>
    </row>
    <row r="5932" spans="1:5" x14ac:dyDescent="0.25">
      <c r="A5932" s="1">
        <v>43573</v>
      </c>
      <c r="B5932">
        <v>122312</v>
      </c>
      <c r="C5932" t="s">
        <v>68</v>
      </c>
      <c r="D5932" t="s">
        <v>5291</v>
      </c>
      <c r="E5932" s="2">
        <v>1120</v>
      </c>
    </row>
    <row r="5933" spans="1:5" x14ac:dyDescent="0.25">
      <c r="A5933" s="1">
        <v>43573</v>
      </c>
      <c r="B5933">
        <v>122312</v>
      </c>
      <c r="C5933" t="s">
        <v>68</v>
      </c>
      <c r="D5933" t="s">
        <v>5291</v>
      </c>
      <c r="E5933" s="2">
        <v>4485</v>
      </c>
    </row>
    <row r="5934" spans="1:5" x14ac:dyDescent="0.25">
      <c r="A5934" s="1">
        <v>43573</v>
      </c>
      <c r="B5934">
        <v>122313</v>
      </c>
      <c r="C5934" t="s">
        <v>1177</v>
      </c>
      <c r="D5934" t="s">
        <v>5292</v>
      </c>
      <c r="E5934" s="2">
        <v>54</v>
      </c>
    </row>
    <row r="5935" spans="1:5" x14ac:dyDescent="0.25">
      <c r="A5935" s="1">
        <v>43573</v>
      </c>
      <c r="B5935">
        <v>122314</v>
      </c>
      <c r="C5935" t="s">
        <v>5293</v>
      </c>
      <c r="D5935" t="s">
        <v>5294</v>
      </c>
      <c r="E5935" s="2">
        <v>165.73</v>
      </c>
    </row>
    <row r="5936" spans="1:5" x14ac:dyDescent="0.25">
      <c r="A5936" s="1">
        <v>43573</v>
      </c>
      <c r="B5936">
        <v>122315</v>
      </c>
      <c r="C5936" t="s">
        <v>1330</v>
      </c>
      <c r="D5936" t="s">
        <v>5295</v>
      </c>
      <c r="E5936" s="2">
        <v>2369</v>
      </c>
    </row>
    <row r="5937" spans="1:5" x14ac:dyDescent="0.25">
      <c r="A5937" s="1">
        <v>43573</v>
      </c>
      <c r="B5937">
        <v>122316</v>
      </c>
      <c r="C5937" t="s">
        <v>5296</v>
      </c>
      <c r="D5937" t="s">
        <v>5297</v>
      </c>
      <c r="E5937" s="2">
        <v>249.25</v>
      </c>
    </row>
    <row r="5938" spans="1:5" x14ac:dyDescent="0.25">
      <c r="A5938" s="1">
        <v>43573</v>
      </c>
      <c r="B5938">
        <v>122317</v>
      </c>
      <c r="C5938" t="s">
        <v>118</v>
      </c>
      <c r="D5938" t="s">
        <v>5298</v>
      </c>
      <c r="E5938" s="2">
        <v>11340</v>
      </c>
    </row>
    <row r="5939" spans="1:5" x14ac:dyDescent="0.25">
      <c r="A5939" s="1">
        <v>43573</v>
      </c>
      <c r="B5939">
        <v>122318</v>
      </c>
      <c r="C5939" t="s">
        <v>692</v>
      </c>
      <c r="D5939" t="s">
        <v>5299</v>
      </c>
      <c r="E5939" s="2">
        <v>75.97</v>
      </c>
    </row>
    <row r="5940" spans="1:5" x14ac:dyDescent="0.25">
      <c r="A5940" s="1">
        <v>43573</v>
      </c>
      <c r="B5940">
        <v>122319</v>
      </c>
      <c r="C5940" t="s">
        <v>5300</v>
      </c>
      <c r="D5940" t="s">
        <v>5301</v>
      </c>
      <c r="E5940" s="2">
        <v>376.08</v>
      </c>
    </row>
    <row r="5941" spans="1:5" x14ac:dyDescent="0.25">
      <c r="A5941" s="1">
        <v>43573</v>
      </c>
      <c r="B5941">
        <v>122352</v>
      </c>
      <c r="C5941" t="s">
        <v>123</v>
      </c>
      <c r="D5941" t="s">
        <v>5302</v>
      </c>
      <c r="E5941" s="2">
        <v>106.87</v>
      </c>
    </row>
    <row r="5942" spans="1:5" x14ac:dyDescent="0.25">
      <c r="A5942" s="1">
        <v>43573</v>
      </c>
      <c r="B5942">
        <v>122352</v>
      </c>
      <c r="C5942" t="s">
        <v>123</v>
      </c>
      <c r="D5942" t="s">
        <v>5303</v>
      </c>
      <c r="E5942" s="2">
        <f>81.68*23</f>
        <v>1878.64</v>
      </c>
    </row>
    <row r="5943" spans="1:5" x14ac:dyDescent="0.25">
      <c r="A5943" s="1">
        <v>43573</v>
      </c>
      <c r="B5943">
        <v>122352</v>
      </c>
      <c r="C5943" t="s">
        <v>123</v>
      </c>
      <c r="D5943" t="s">
        <v>5304</v>
      </c>
      <c r="E5943" s="2">
        <f>81.68+81.68</f>
        <v>163.36000000000001</v>
      </c>
    </row>
    <row r="5944" spans="1:5" x14ac:dyDescent="0.25">
      <c r="A5944" s="1">
        <v>43573</v>
      </c>
      <c r="B5944">
        <v>122352</v>
      </c>
      <c r="C5944" t="s">
        <v>123</v>
      </c>
      <c r="D5944" t="s">
        <v>3721</v>
      </c>
      <c r="E5944" s="2">
        <f>81.68+81.68</f>
        <v>163.36000000000001</v>
      </c>
    </row>
    <row r="5945" spans="1:5" x14ac:dyDescent="0.25">
      <c r="A5945" s="1">
        <v>43573</v>
      </c>
      <c r="B5945">
        <v>122352</v>
      </c>
      <c r="C5945" t="s">
        <v>123</v>
      </c>
      <c r="D5945" t="s">
        <v>5305</v>
      </c>
      <c r="E5945" s="2">
        <f>81.68+163.36+81.68</f>
        <v>326.72000000000003</v>
      </c>
    </row>
    <row r="5946" spans="1:5" x14ac:dyDescent="0.25">
      <c r="A5946" s="1">
        <v>43573</v>
      </c>
      <c r="B5946">
        <v>122352</v>
      </c>
      <c r="C5946" t="s">
        <v>123</v>
      </c>
      <c r="D5946" t="s">
        <v>5306</v>
      </c>
      <c r="E5946" s="2">
        <f>163.36+163.36</f>
        <v>326.72000000000003</v>
      </c>
    </row>
    <row r="5947" spans="1:5" x14ac:dyDescent="0.25">
      <c r="A5947" s="1">
        <v>43573</v>
      </c>
      <c r="B5947">
        <v>122352</v>
      </c>
      <c r="C5947" t="s">
        <v>123</v>
      </c>
      <c r="D5947" t="s">
        <v>5307</v>
      </c>
      <c r="E5947" s="2">
        <v>122.52</v>
      </c>
    </row>
    <row r="5948" spans="1:5" x14ac:dyDescent="0.25">
      <c r="A5948" s="1">
        <v>43573</v>
      </c>
      <c r="B5948">
        <v>122352</v>
      </c>
      <c r="C5948" t="s">
        <v>123</v>
      </c>
      <c r="D5948" t="s">
        <v>5308</v>
      </c>
      <c r="E5948" s="2">
        <v>27.23</v>
      </c>
    </row>
    <row r="5949" spans="1:5" x14ac:dyDescent="0.25">
      <c r="A5949" s="1">
        <v>43573</v>
      </c>
      <c r="B5949">
        <v>122352</v>
      </c>
      <c r="C5949" t="s">
        <v>123</v>
      </c>
      <c r="D5949" t="s">
        <v>5309</v>
      </c>
      <c r="E5949" s="2">
        <v>81.680000000000007</v>
      </c>
    </row>
    <row r="5950" spans="1:5" x14ac:dyDescent="0.25">
      <c r="A5950" s="1">
        <v>43573</v>
      </c>
      <c r="B5950">
        <v>122352</v>
      </c>
      <c r="C5950" t="s">
        <v>123</v>
      </c>
      <c r="D5950" t="s">
        <v>3714</v>
      </c>
      <c r="E5950" s="2">
        <f>81.68*3</f>
        <v>245.04000000000002</v>
      </c>
    </row>
    <row r="5951" spans="1:5" x14ac:dyDescent="0.25">
      <c r="A5951" s="1">
        <v>43573</v>
      </c>
      <c r="B5951">
        <v>122352</v>
      </c>
      <c r="C5951" t="s">
        <v>123</v>
      </c>
      <c r="D5951" t="s">
        <v>5310</v>
      </c>
      <c r="E5951" s="2">
        <v>81.680000000000007</v>
      </c>
    </row>
    <row r="5952" spans="1:5" x14ac:dyDescent="0.25">
      <c r="A5952" s="1">
        <v>43573</v>
      </c>
      <c r="B5952">
        <v>122352</v>
      </c>
      <c r="C5952" t="s">
        <v>123</v>
      </c>
      <c r="D5952" t="s">
        <v>3715</v>
      </c>
      <c r="E5952" s="2">
        <v>81.680000000000007</v>
      </c>
    </row>
    <row r="5953" spans="1:5" x14ac:dyDescent="0.25">
      <c r="A5953" s="1">
        <v>43573</v>
      </c>
      <c r="B5953">
        <v>122352</v>
      </c>
      <c r="C5953" t="s">
        <v>123</v>
      </c>
      <c r="D5953" t="s">
        <v>5310</v>
      </c>
      <c r="E5953" s="2">
        <f>81.68*3</f>
        <v>245.04000000000002</v>
      </c>
    </row>
    <row r="5954" spans="1:5" x14ac:dyDescent="0.25">
      <c r="A5954" s="1">
        <v>43573</v>
      </c>
      <c r="B5954">
        <v>122352</v>
      </c>
      <c r="C5954" t="s">
        <v>123</v>
      </c>
      <c r="D5954" t="s">
        <v>5311</v>
      </c>
      <c r="E5954" s="2">
        <v>663.65</v>
      </c>
    </row>
    <row r="5955" spans="1:5" x14ac:dyDescent="0.25">
      <c r="A5955" s="1">
        <v>43573</v>
      </c>
      <c r="B5955">
        <v>122352</v>
      </c>
      <c r="C5955" t="s">
        <v>123</v>
      </c>
      <c r="D5955" t="s">
        <v>5311</v>
      </c>
      <c r="E5955" s="2">
        <v>234.83</v>
      </c>
    </row>
    <row r="5956" spans="1:5" x14ac:dyDescent="0.25">
      <c r="A5956" s="1">
        <v>43573</v>
      </c>
      <c r="B5956">
        <v>122352</v>
      </c>
      <c r="C5956" t="s">
        <v>123</v>
      </c>
      <c r="D5956" t="s">
        <v>5312</v>
      </c>
      <c r="E5956" s="2">
        <v>103.46</v>
      </c>
    </row>
    <row r="5957" spans="1:5" x14ac:dyDescent="0.25">
      <c r="A5957" s="1">
        <v>43573</v>
      </c>
      <c r="B5957">
        <v>122352</v>
      </c>
      <c r="C5957" t="s">
        <v>123</v>
      </c>
      <c r="D5957" t="s">
        <v>3715</v>
      </c>
      <c r="E5957" s="2">
        <f>81.68*5</f>
        <v>408.40000000000003</v>
      </c>
    </row>
    <row r="5958" spans="1:5" x14ac:dyDescent="0.25">
      <c r="A5958" s="1">
        <v>43573</v>
      </c>
      <c r="B5958">
        <v>122352</v>
      </c>
      <c r="C5958" t="s">
        <v>123</v>
      </c>
      <c r="D5958" t="s">
        <v>3716</v>
      </c>
      <c r="E5958" s="2">
        <f>81.68*6</f>
        <v>490.08000000000004</v>
      </c>
    </row>
    <row r="5959" spans="1:5" x14ac:dyDescent="0.25">
      <c r="A5959" s="1">
        <v>43573</v>
      </c>
      <c r="B5959">
        <v>122352</v>
      </c>
      <c r="C5959" t="s">
        <v>123</v>
      </c>
      <c r="D5959" t="s">
        <v>5313</v>
      </c>
      <c r="E5959" s="2">
        <v>163.36000000000001</v>
      </c>
    </row>
    <row r="5960" spans="1:5" x14ac:dyDescent="0.25">
      <c r="A5960" s="1">
        <v>43573</v>
      </c>
      <c r="B5960">
        <v>122352</v>
      </c>
      <c r="C5960" t="s">
        <v>123</v>
      </c>
      <c r="D5960" t="s">
        <v>1190</v>
      </c>
      <c r="E5960" s="2">
        <v>25.19</v>
      </c>
    </row>
    <row r="5961" spans="1:5" x14ac:dyDescent="0.25">
      <c r="A5961" s="1">
        <v>43573</v>
      </c>
      <c r="B5961">
        <v>122352</v>
      </c>
      <c r="C5961" t="s">
        <v>123</v>
      </c>
      <c r="D5961" t="s">
        <v>5314</v>
      </c>
      <c r="E5961" s="2">
        <v>57.86</v>
      </c>
    </row>
    <row r="5962" spans="1:5" x14ac:dyDescent="0.25">
      <c r="A5962" s="1">
        <v>43573</v>
      </c>
      <c r="B5962">
        <v>122352</v>
      </c>
      <c r="C5962" t="s">
        <v>123</v>
      </c>
      <c r="D5962" t="s">
        <v>4760</v>
      </c>
      <c r="E5962" s="2">
        <v>163.36000000000001</v>
      </c>
    </row>
    <row r="5963" spans="1:5" x14ac:dyDescent="0.25">
      <c r="A5963" s="1">
        <v>43573</v>
      </c>
      <c r="B5963">
        <v>122352</v>
      </c>
      <c r="C5963" t="s">
        <v>123</v>
      </c>
      <c r="D5963" t="s">
        <v>5315</v>
      </c>
      <c r="E5963" s="2">
        <f>132.73+112.31</f>
        <v>245.04</v>
      </c>
    </row>
    <row r="5964" spans="1:5" x14ac:dyDescent="0.25">
      <c r="A5964" s="1">
        <v>43573</v>
      </c>
      <c r="B5964">
        <v>122352</v>
      </c>
      <c r="C5964" t="s">
        <v>123</v>
      </c>
      <c r="D5964" t="s">
        <v>5316</v>
      </c>
      <c r="E5964" s="2">
        <f>91.89+71.47</f>
        <v>163.36000000000001</v>
      </c>
    </row>
    <row r="5965" spans="1:5" x14ac:dyDescent="0.25">
      <c r="A5965" s="1">
        <v>43573</v>
      </c>
      <c r="B5965">
        <v>122352</v>
      </c>
      <c r="C5965" t="s">
        <v>123</v>
      </c>
      <c r="D5965" t="s">
        <v>5317</v>
      </c>
      <c r="E5965" s="2">
        <v>568.36</v>
      </c>
    </row>
    <row r="5966" spans="1:5" x14ac:dyDescent="0.25">
      <c r="A5966" s="1">
        <v>43573</v>
      </c>
      <c r="B5966">
        <v>122352</v>
      </c>
      <c r="C5966" t="s">
        <v>123</v>
      </c>
      <c r="D5966" t="s">
        <v>5318</v>
      </c>
      <c r="E5966" s="2">
        <v>81.680000000000007</v>
      </c>
    </row>
    <row r="5967" spans="1:5" x14ac:dyDescent="0.25">
      <c r="A5967" s="1">
        <v>43573</v>
      </c>
      <c r="B5967">
        <v>122352</v>
      </c>
      <c r="C5967" t="s">
        <v>123</v>
      </c>
      <c r="D5967" t="s">
        <v>5319</v>
      </c>
      <c r="E5967" s="2">
        <v>16.34</v>
      </c>
    </row>
    <row r="5968" spans="1:5" x14ac:dyDescent="0.25">
      <c r="A5968" s="1">
        <v>43573</v>
      </c>
      <c r="B5968">
        <v>122352</v>
      </c>
      <c r="C5968" t="s">
        <v>123</v>
      </c>
      <c r="D5968" t="s">
        <v>4763</v>
      </c>
      <c r="E5968" s="2">
        <f>81.68*6</f>
        <v>490.08000000000004</v>
      </c>
    </row>
    <row r="5969" spans="1:5" x14ac:dyDescent="0.25">
      <c r="A5969" s="1">
        <v>43573</v>
      </c>
      <c r="B5969">
        <v>122352</v>
      </c>
      <c r="C5969" t="s">
        <v>123</v>
      </c>
      <c r="D5969" t="s">
        <v>5320</v>
      </c>
      <c r="E5969" s="2">
        <v>81.680000000000007</v>
      </c>
    </row>
    <row r="5970" spans="1:5" x14ac:dyDescent="0.25">
      <c r="A5970" s="1">
        <v>43573</v>
      </c>
      <c r="B5970">
        <v>122352</v>
      </c>
      <c r="C5970" t="s">
        <v>123</v>
      </c>
      <c r="D5970" t="s">
        <v>5321</v>
      </c>
      <c r="E5970" s="2">
        <v>125.92</v>
      </c>
    </row>
    <row r="5971" spans="1:5" x14ac:dyDescent="0.25">
      <c r="A5971" s="1">
        <v>43573</v>
      </c>
      <c r="B5971">
        <v>122352</v>
      </c>
      <c r="C5971" t="s">
        <v>123</v>
      </c>
      <c r="D5971" t="s">
        <v>5322</v>
      </c>
      <c r="E5971" s="2">
        <f>122.52+23.82+248.44+245.04+61.26+428.82</f>
        <v>1129.8999999999999</v>
      </c>
    </row>
    <row r="5972" spans="1:5" x14ac:dyDescent="0.25">
      <c r="A5972" s="1">
        <v>43573</v>
      </c>
      <c r="B5972">
        <v>122352</v>
      </c>
      <c r="C5972" t="s">
        <v>123</v>
      </c>
      <c r="D5972" t="s">
        <v>5323</v>
      </c>
      <c r="E5972" s="2">
        <f>74.87+59.9</f>
        <v>134.77000000000001</v>
      </c>
    </row>
    <row r="5973" spans="1:5" x14ac:dyDescent="0.25">
      <c r="A5973" s="1">
        <v>43573</v>
      </c>
      <c r="B5973">
        <v>122352</v>
      </c>
      <c r="C5973" t="s">
        <v>123</v>
      </c>
      <c r="D5973" t="s">
        <v>5324</v>
      </c>
      <c r="E5973" s="2">
        <v>449.24</v>
      </c>
    </row>
    <row r="5974" spans="1:5" x14ac:dyDescent="0.25">
      <c r="A5974" s="1">
        <v>43573</v>
      </c>
      <c r="B5974">
        <v>122352</v>
      </c>
      <c r="C5974" t="s">
        <v>123</v>
      </c>
      <c r="D5974" t="s">
        <v>5325</v>
      </c>
      <c r="E5974" s="2">
        <v>673.68</v>
      </c>
    </row>
    <row r="5975" spans="1:5" x14ac:dyDescent="0.25">
      <c r="A5975" s="1">
        <v>43573</v>
      </c>
      <c r="B5975">
        <v>122352</v>
      </c>
      <c r="C5975" t="s">
        <v>123</v>
      </c>
      <c r="D5975" t="s">
        <v>5326</v>
      </c>
      <c r="E5975" s="2">
        <v>175.62</v>
      </c>
    </row>
    <row r="5976" spans="1:5" x14ac:dyDescent="0.25">
      <c r="A5976" s="1">
        <v>43573</v>
      </c>
      <c r="B5976">
        <v>122352</v>
      </c>
      <c r="C5976" t="s">
        <v>123</v>
      </c>
      <c r="D5976" t="s">
        <v>5313</v>
      </c>
      <c r="E5976" s="2">
        <v>73.510000000000005</v>
      </c>
    </row>
    <row r="5977" spans="1:5" x14ac:dyDescent="0.25">
      <c r="A5977" s="1">
        <v>43573</v>
      </c>
      <c r="B5977">
        <v>122352</v>
      </c>
      <c r="C5977" t="s">
        <v>123</v>
      </c>
      <c r="D5977" t="s">
        <v>5302</v>
      </c>
      <c r="E5977" s="2">
        <f>40.84+81.68+15.65</f>
        <v>138.17000000000002</v>
      </c>
    </row>
    <row r="5978" spans="1:5" x14ac:dyDescent="0.25">
      <c r="A5978" s="1">
        <v>43573</v>
      </c>
      <c r="B5978">
        <v>122352</v>
      </c>
      <c r="C5978" t="s">
        <v>123</v>
      </c>
      <c r="D5978" t="s">
        <v>5327</v>
      </c>
      <c r="E5978" s="2">
        <v>250</v>
      </c>
    </row>
    <row r="5979" spans="1:5" x14ac:dyDescent="0.25">
      <c r="A5979" s="1">
        <v>43573</v>
      </c>
      <c r="B5979">
        <v>122352</v>
      </c>
      <c r="C5979" t="s">
        <v>123</v>
      </c>
      <c r="D5979" t="s">
        <v>5328</v>
      </c>
      <c r="E5979" s="2">
        <v>20.23</v>
      </c>
    </row>
    <row r="5980" spans="1:5" x14ac:dyDescent="0.25">
      <c r="A5980" s="1">
        <v>43573</v>
      </c>
      <c r="B5980">
        <v>122353</v>
      </c>
      <c r="C5980" t="s">
        <v>259</v>
      </c>
      <c r="D5980" t="s">
        <v>5329</v>
      </c>
      <c r="E5980" s="2">
        <f>2577.84+146.5</f>
        <v>2724.34</v>
      </c>
    </row>
    <row r="5981" spans="1:5" x14ac:dyDescent="0.25">
      <c r="A5981" s="1">
        <v>43573</v>
      </c>
      <c r="B5981">
        <v>122353</v>
      </c>
      <c r="C5981" t="s">
        <v>259</v>
      </c>
      <c r="D5981" t="s">
        <v>5330</v>
      </c>
      <c r="E5981" s="2">
        <v>1250.06</v>
      </c>
    </row>
    <row r="5982" spans="1:5" x14ac:dyDescent="0.25">
      <c r="A5982" s="1">
        <v>43573</v>
      </c>
      <c r="B5982">
        <v>122354</v>
      </c>
      <c r="C5982" t="s">
        <v>5331</v>
      </c>
      <c r="D5982" t="s">
        <v>5332</v>
      </c>
      <c r="E5982" s="2">
        <v>7485</v>
      </c>
    </row>
    <row r="5983" spans="1:5" x14ac:dyDescent="0.25">
      <c r="A5983" s="1">
        <v>43573</v>
      </c>
      <c r="B5983">
        <v>122356</v>
      </c>
      <c r="C5983" t="s">
        <v>274</v>
      </c>
      <c r="D5983" t="s">
        <v>5333</v>
      </c>
      <c r="E5983" s="2">
        <v>1069.8599999999999</v>
      </c>
    </row>
    <row r="5984" spans="1:5" x14ac:dyDescent="0.25">
      <c r="A5984" s="1">
        <v>43573</v>
      </c>
      <c r="B5984">
        <v>122356</v>
      </c>
      <c r="C5984" t="s">
        <v>274</v>
      </c>
      <c r="D5984" t="s">
        <v>5334</v>
      </c>
      <c r="E5984" s="2">
        <v>613.52</v>
      </c>
    </row>
    <row r="5985" spans="1:5" x14ac:dyDescent="0.25">
      <c r="A5985" s="1">
        <v>43573</v>
      </c>
      <c r="B5985">
        <v>122356</v>
      </c>
      <c r="C5985" t="s">
        <v>274</v>
      </c>
      <c r="D5985" t="s">
        <v>5335</v>
      </c>
      <c r="E5985" s="2">
        <v>350.08</v>
      </c>
    </row>
    <row r="5986" spans="1:5" x14ac:dyDescent="0.25">
      <c r="A5986" s="1">
        <v>43573</v>
      </c>
      <c r="B5986">
        <v>122356</v>
      </c>
      <c r="C5986" t="s">
        <v>274</v>
      </c>
      <c r="D5986" t="s">
        <v>5336</v>
      </c>
      <c r="E5986" s="2">
        <f>3203.05+295.07</f>
        <v>3498.1200000000003</v>
      </c>
    </row>
    <row r="5987" spans="1:5" x14ac:dyDescent="0.25">
      <c r="A5987" s="1">
        <v>43573</v>
      </c>
      <c r="B5987">
        <v>122357</v>
      </c>
      <c r="C5987" t="s">
        <v>5337</v>
      </c>
      <c r="D5987" t="s">
        <v>5338</v>
      </c>
      <c r="E5987" s="2">
        <v>185</v>
      </c>
    </row>
    <row r="5988" spans="1:5" x14ac:dyDescent="0.25">
      <c r="A5988" s="1">
        <v>43573</v>
      </c>
      <c r="B5988">
        <v>122358</v>
      </c>
      <c r="C5988" t="s">
        <v>5339</v>
      </c>
      <c r="D5988" t="s">
        <v>5340</v>
      </c>
      <c r="E5988" s="2">
        <v>39.049999999999997</v>
      </c>
    </row>
    <row r="5989" spans="1:5" x14ac:dyDescent="0.25">
      <c r="A5989" s="1">
        <v>43573</v>
      </c>
      <c r="B5989">
        <v>122359</v>
      </c>
      <c r="C5989" t="s">
        <v>276</v>
      </c>
      <c r="D5989" t="s">
        <v>5341</v>
      </c>
      <c r="E5989" s="2">
        <v>55.9</v>
      </c>
    </row>
    <row r="5990" spans="1:5" x14ac:dyDescent="0.25">
      <c r="A5990" s="1">
        <v>43573</v>
      </c>
      <c r="B5990">
        <v>122360</v>
      </c>
      <c r="C5990" t="s">
        <v>708</v>
      </c>
      <c r="D5990" t="s">
        <v>5342</v>
      </c>
      <c r="E5990" s="2">
        <v>5530.12</v>
      </c>
    </row>
    <row r="5991" spans="1:5" x14ac:dyDescent="0.25">
      <c r="A5991" s="1">
        <v>43573</v>
      </c>
      <c r="B5991">
        <v>122361</v>
      </c>
      <c r="C5991" t="s">
        <v>1823</v>
      </c>
      <c r="D5991" t="s">
        <v>5343</v>
      </c>
      <c r="E5991" s="2">
        <v>115.44</v>
      </c>
    </row>
    <row r="5992" spans="1:5" x14ac:dyDescent="0.25">
      <c r="A5992" s="1">
        <v>43573</v>
      </c>
      <c r="B5992">
        <v>122362</v>
      </c>
      <c r="C5992" t="s">
        <v>1946</v>
      </c>
      <c r="D5992" t="s">
        <v>5344</v>
      </c>
      <c r="E5992" s="2">
        <v>199.2</v>
      </c>
    </row>
    <row r="5993" spans="1:5" x14ac:dyDescent="0.25">
      <c r="A5993" s="1">
        <v>43573</v>
      </c>
      <c r="B5993">
        <v>122363</v>
      </c>
      <c r="C5993" t="s">
        <v>74</v>
      </c>
      <c r="D5993" t="s">
        <v>3645</v>
      </c>
      <c r="E5993" s="2">
        <v>1156</v>
      </c>
    </row>
    <row r="5994" spans="1:5" x14ac:dyDescent="0.25">
      <c r="A5994" s="1">
        <v>43573</v>
      </c>
      <c r="B5994">
        <v>122363</v>
      </c>
      <c r="C5994" t="s">
        <v>74</v>
      </c>
      <c r="D5994" t="s">
        <v>1016</v>
      </c>
      <c r="E5994" s="3">
        <v>-956.8</v>
      </c>
    </row>
    <row r="5995" spans="1:5" x14ac:dyDescent="0.25">
      <c r="A5995" s="1">
        <v>43573</v>
      </c>
      <c r="B5995">
        <v>122363</v>
      </c>
      <c r="C5995" t="s">
        <v>74</v>
      </c>
      <c r="D5995" t="s">
        <v>1680</v>
      </c>
      <c r="E5995" s="2">
        <f>924.8+956.8</f>
        <v>1881.6</v>
      </c>
    </row>
    <row r="5996" spans="1:5" x14ac:dyDescent="0.25">
      <c r="A5996" s="1">
        <v>43573</v>
      </c>
      <c r="B5996">
        <v>122363</v>
      </c>
      <c r="C5996" t="s">
        <v>74</v>
      </c>
      <c r="D5996" t="s">
        <v>5345</v>
      </c>
      <c r="E5996" s="2">
        <v>151.05000000000001</v>
      </c>
    </row>
    <row r="5997" spans="1:5" x14ac:dyDescent="0.25">
      <c r="A5997" s="1">
        <v>43573</v>
      </c>
      <c r="B5997">
        <v>122364</v>
      </c>
      <c r="C5997" t="s">
        <v>5346</v>
      </c>
      <c r="D5997" t="s">
        <v>5347</v>
      </c>
      <c r="E5997" s="2">
        <v>3922.8</v>
      </c>
    </row>
    <row r="5998" spans="1:5" x14ac:dyDescent="0.25">
      <c r="A5998" s="1">
        <v>43573</v>
      </c>
      <c r="B5998">
        <v>122365</v>
      </c>
      <c r="C5998" t="s">
        <v>377</v>
      </c>
      <c r="D5998" t="s">
        <v>5348</v>
      </c>
      <c r="E5998" s="2">
        <v>95.75</v>
      </c>
    </row>
    <row r="5999" spans="1:5" x14ac:dyDescent="0.25">
      <c r="A5999" s="1">
        <v>43573</v>
      </c>
      <c r="B5999">
        <v>122366</v>
      </c>
      <c r="C5999" t="s">
        <v>1026</v>
      </c>
      <c r="D5999" t="s">
        <v>5349</v>
      </c>
      <c r="E5999" s="2">
        <v>239.98</v>
      </c>
    </row>
    <row r="6000" spans="1:5" x14ac:dyDescent="0.25">
      <c r="A6000" s="1">
        <v>43573</v>
      </c>
      <c r="B6000">
        <v>122367</v>
      </c>
      <c r="C6000" t="s">
        <v>739</v>
      </c>
      <c r="D6000" t="s">
        <v>4816</v>
      </c>
      <c r="E6000" s="2">
        <v>18303.650000000001</v>
      </c>
    </row>
    <row r="6001" spans="1:5" x14ac:dyDescent="0.25">
      <c r="A6001" s="1">
        <v>43573</v>
      </c>
      <c r="B6001">
        <v>122368</v>
      </c>
      <c r="C6001" t="s">
        <v>1491</v>
      </c>
      <c r="D6001" t="s">
        <v>5350</v>
      </c>
      <c r="E6001" s="2">
        <v>2483.8000000000002</v>
      </c>
    </row>
    <row r="6002" spans="1:5" x14ac:dyDescent="0.25">
      <c r="A6002" s="1">
        <v>43573</v>
      </c>
      <c r="B6002">
        <v>122369</v>
      </c>
      <c r="C6002" t="s">
        <v>1345</v>
      </c>
      <c r="D6002" t="s">
        <v>5351</v>
      </c>
      <c r="E6002" s="2">
        <v>271.99</v>
      </c>
    </row>
    <row r="6003" spans="1:5" x14ac:dyDescent="0.25">
      <c r="A6003" s="1">
        <v>43573</v>
      </c>
      <c r="B6003">
        <v>122370</v>
      </c>
      <c r="C6003" t="s">
        <v>50</v>
      </c>
      <c r="D6003" t="s">
        <v>2047</v>
      </c>
      <c r="E6003" s="2">
        <v>2792.5</v>
      </c>
    </row>
    <row r="6004" spans="1:5" x14ac:dyDescent="0.25">
      <c r="A6004" s="1">
        <v>43573</v>
      </c>
      <c r="B6004">
        <v>122371</v>
      </c>
      <c r="C6004" t="s">
        <v>51</v>
      </c>
      <c r="D6004" t="s">
        <v>52</v>
      </c>
      <c r="E6004" s="2">
        <v>12.49</v>
      </c>
    </row>
    <row r="6005" spans="1:5" x14ac:dyDescent="0.25">
      <c r="A6005" s="1">
        <v>43573</v>
      </c>
      <c r="B6005">
        <v>122371</v>
      </c>
      <c r="C6005" t="s">
        <v>51</v>
      </c>
      <c r="D6005" t="s">
        <v>52</v>
      </c>
      <c r="E6005" s="2">
        <v>110.06</v>
      </c>
    </row>
    <row r="6006" spans="1:5" x14ac:dyDescent="0.25">
      <c r="A6006" s="1">
        <v>43573</v>
      </c>
      <c r="B6006">
        <v>122371</v>
      </c>
      <c r="C6006" t="s">
        <v>51</v>
      </c>
      <c r="D6006" t="s">
        <v>5352</v>
      </c>
      <c r="E6006" s="2">
        <v>136.75</v>
      </c>
    </row>
    <row r="6007" spans="1:5" x14ac:dyDescent="0.25">
      <c r="A6007" s="1">
        <v>43573</v>
      </c>
      <c r="B6007">
        <v>122371</v>
      </c>
      <c r="C6007" t="s">
        <v>51</v>
      </c>
      <c r="D6007" t="s">
        <v>5352</v>
      </c>
      <c r="E6007" s="2">
        <v>12.93</v>
      </c>
    </row>
    <row r="6008" spans="1:5" x14ac:dyDescent="0.25">
      <c r="A6008" s="1">
        <v>43573</v>
      </c>
      <c r="B6008">
        <v>122372</v>
      </c>
      <c r="C6008" t="s">
        <v>298</v>
      </c>
      <c r="D6008" t="s">
        <v>4816</v>
      </c>
      <c r="E6008" s="2">
        <v>16501.169999999998</v>
      </c>
    </row>
    <row r="6009" spans="1:5" x14ac:dyDescent="0.25">
      <c r="A6009" s="1">
        <v>43573</v>
      </c>
      <c r="B6009">
        <v>122373</v>
      </c>
      <c r="C6009" t="s">
        <v>80</v>
      </c>
      <c r="D6009" t="s">
        <v>5353</v>
      </c>
      <c r="E6009" s="2">
        <f>18.43+88.8</f>
        <v>107.22999999999999</v>
      </c>
    </row>
    <row r="6010" spans="1:5" x14ac:dyDescent="0.25">
      <c r="A6010" s="1">
        <v>43573</v>
      </c>
      <c r="B6010">
        <v>122373</v>
      </c>
      <c r="C6010" t="s">
        <v>80</v>
      </c>
      <c r="D6010" t="s">
        <v>3754</v>
      </c>
      <c r="E6010" s="2">
        <f>70.61+57.12</f>
        <v>127.72999999999999</v>
      </c>
    </row>
    <row r="6011" spans="1:5" x14ac:dyDescent="0.25">
      <c r="A6011" s="1">
        <v>43573</v>
      </c>
      <c r="B6011">
        <v>122374</v>
      </c>
      <c r="C6011" t="s">
        <v>1110</v>
      </c>
      <c r="D6011" t="s">
        <v>5354</v>
      </c>
      <c r="E6011" s="2">
        <v>314.45</v>
      </c>
    </row>
    <row r="6012" spans="1:5" x14ac:dyDescent="0.25">
      <c r="A6012" s="1">
        <v>43573</v>
      </c>
      <c r="B6012">
        <v>122375</v>
      </c>
      <c r="C6012" t="s">
        <v>302</v>
      </c>
      <c r="D6012" t="s">
        <v>5355</v>
      </c>
      <c r="E6012" s="2">
        <v>39.6</v>
      </c>
    </row>
    <row r="6013" spans="1:5" x14ac:dyDescent="0.25">
      <c r="A6013" s="1">
        <v>43573</v>
      </c>
      <c r="B6013">
        <v>122375</v>
      </c>
      <c r="C6013" t="s">
        <v>302</v>
      </c>
      <c r="D6013" t="s">
        <v>5356</v>
      </c>
      <c r="E6013" s="2">
        <v>295</v>
      </c>
    </row>
    <row r="6014" spans="1:5" x14ac:dyDescent="0.25">
      <c r="A6014" s="1">
        <v>43573</v>
      </c>
      <c r="B6014">
        <v>122376</v>
      </c>
      <c r="C6014" t="s">
        <v>1112</v>
      </c>
      <c r="D6014" t="s">
        <v>5357</v>
      </c>
      <c r="E6014" s="2">
        <v>2026.88</v>
      </c>
    </row>
    <row r="6015" spans="1:5" x14ac:dyDescent="0.25">
      <c r="A6015" s="1">
        <v>43573</v>
      </c>
      <c r="B6015">
        <v>122377</v>
      </c>
      <c r="C6015" t="s">
        <v>760</v>
      </c>
      <c r="D6015" t="s">
        <v>5344</v>
      </c>
      <c r="E6015" s="2">
        <v>194.5</v>
      </c>
    </row>
    <row r="6016" spans="1:5" x14ac:dyDescent="0.25">
      <c r="A6016" s="1">
        <v>43573</v>
      </c>
      <c r="B6016">
        <v>122377</v>
      </c>
      <c r="C6016" t="s">
        <v>760</v>
      </c>
      <c r="D6016" t="s">
        <v>5358</v>
      </c>
      <c r="E6016" s="2">
        <v>293.18</v>
      </c>
    </row>
    <row r="6017" spans="1:5" x14ac:dyDescent="0.25">
      <c r="A6017" s="1">
        <v>43573</v>
      </c>
      <c r="B6017">
        <v>122378</v>
      </c>
      <c r="C6017" t="s">
        <v>2591</v>
      </c>
      <c r="D6017" t="s">
        <v>5359</v>
      </c>
      <c r="E6017" s="2">
        <v>979.25</v>
      </c>
    </row>
    <row r="6018" spans="1:5" x14ac:dyDescent="0.25">
      <c r="A6018" s="1">
        <v>43573</v>
      </c>
      <c r="B6018">
        <v>122379</v>
      </c>
      <c r="C6018" t="s">
        <v>765</v>
      </c>
      <c r="D6018" t="s">
        <v>5360</v>
      </c>
      <c r="E6018" s="2">
        <v>11.6</v>
      </c>
    </row>
    <row r="6019" spans="1:5" x14ac:dyDescent="0.25">
      <c r="A6019" s="1">
        <v>43573</v>
      </c>
      <c r="B6019">
        <v>122379</v>
      </c>
      <c r="C6019" t="s">
        <v>765</v>
      </c>
      <c r="D6019" t="s">
        <v>5360</v>
      </c>
      <c r="E6019" s="2">
        <v>46.4</v>
      </c>
    </row>
    <row r="6020" spans="1:5" x14ac:dyDescent="0.25">
      <c r="A6020" s="1">
        <v>43573</v>
      </c>
      <c r="B6020">
        <v>122379</v>
      </c>
      <c r="C6020" t="s">
        <v>765</v>
      </c>
      <c r="D6020" t="s">
        <v>5360</v>
      </c>
      <c r="E6020" s="2">
        <v>148</v>
      </c>
    </row>
    <row r="6021" spans="1:5" x14ac:dyDescent="0.25">
      <c r="A6021" s="1">
        <v>43573</v>
      </c>
      <c r="B6021">
        <v>122380</v>
      </c>
      <c r="C6021" t="s">
        <v>639</v>
      </c>
      <c r="D6021" t="s">
        <v>5361</v>
      </c>
      <c r="E6021" s="2">
        <v>1154.25</v>
      </c>
    </row>
    <row r="6022" spans="1:5" x14ac:dyDescent="0.25">
      <c r="A6022" s="1">
        <v>43573</v>
      </c>
      <c r="B6022">
        <v>122381</v>
      </c>
      <c r="C6022" t="s">
        <v>317</v>
      </c>
      <c r="D6022" t="s">
        <v>5362</v>
      </c>
      <c r="E6022" s="2">
        <v>3500</v>
      </c>
    </row>
    <row r="6023" spans="1:5" x14ac:dyDescent="0.25">
      <c r="A6023" s="1">
        <v>43573</v>
      </c>
      <c r="B6023">
        <v>122382</v>
      </c>
      <c r="C6023" t="s">
        <v>2431</v>
      </c>
      <c r="D6023" t="s">
        <v>4843</v>
      </c>
      <c r="E6023" s="2">
        <v>1619.31</v>
      </c>
    </row>
    <row r="6024" spans="1:5" x14ac:dyDescent="0.25">
      <c r="A6024" s="1">
        <v>43573</v>
      </c>
      <c r="B6024">
        <v>122383</v>
      </c>
      <c r="C6024" t="s">
        <v>57</v>
      </c>
      <c r="D6024" t="s">
        <v>5363</v>
      </c>
      <c r="E6024" s="2">
        <v>39573.03</v>
      </c>
    </row>
    <row r="6025" spans="1:5" x14ac:dyDescent="0.25">
      <c r="A6025" s="1">
        <v>43573</v>
      </c>
      <c r="B6025">
        <v>122384</v>
      </c>
      <c r="C6025" t="s">
        <v>1521</v>
      </c>
      <c r="D6025" t="s">
        <v>5364</v>
      </c>
      <c r="E6025" s="2">
        <v>525</v>
      </c>
    </row>
    <row r="6026" spans="1:5" x14ac:dyDescent="0.25">
      <c r="A6026" s="1">
        <v>43573</v>
      </c>
      <c r="B6026">
        <v>122385</v>
      </c>
      <c r="C6026" t="s">
        <v>642</v>
      </c>
      <c r="D6026" t="s">
        <v>5365</v>
      </c>
      <c r="E6026" s="2">
        <v>630</v>
      </c>
    </row>
    <row r="6027" spans="1:5" x14ac:dyDescent="0.25">
      <c r="A6027" s="1">
        <v>43573</v>
      </c>
      <c r="B6027">
        <v>122386</v>
      </c>
      <c r="C6027" t="s">
        <v>1523</v>
      </c>
      <c r="D6027" t="s">
        <v>5366</v>
      </c>
      <c r="E6027" s="2">
        <v>215</v>
      </c>
    </row>
    <row r="6028" spans="1:5" x14ac:dyDescent="0.25">
      <c r="A6028" s="1">
        <v>43573</v>
      </c>
      <c r="B6028">
        <v>122387</v>
      </c>
      <c r="C6028" t="s">
        <v>1868</v>
      </c>
      <c r="D6028" t="s">
        <v>5367</v>
      </c>
      <c r="E6028" s="2">
        <f>193.42+90.08+43.84</f>
        <v>327.34000000000003</v>
      </c>
    </row>
    <row r="6029" spans="1:5" x14ac:dyDescent="0.25">
      <c r="A6029" s="1">
        <v>43573</v>
      </c>
      <c r="B6029">
        <v>122387</v>
      </c>
      <c r="C6029" t="s">
        <v>1868</v>
      </c>
      <c r="D6029" t="s">
        <v>2080</v>
      </c>
      <c r="E6029" s="2">
        <v>55.44</v>
      </c>
    </row>
    <row r="6030" spans="1:5" x14ac:dyDescent="0.25">
      <c r="A6030" s="1">
        <v>43573</v>
      </c>
      <c r="B6030">
        <v>122388</v>
      </c>
      <c r="C6030" t="s">
        <v>388</v>
      </c>
      <c r="D6030" t="s">
        <v>5368</v>
      </c>
      <c r="E6030" s="2">
        <f>4542.36+1785.74+1145.45+1777.14+568.75</f>
        <v>9819.4399999999987</v>
      </c>
    </row>
    <row r="6031" spans="1:5" x14ac:dyDescent="0.25">
      <c r="A6031" s="1">
        <v>43573</v>
      </c>
      <c r="B6031">
        <v>122389</v>
      </c>
      <c r="C6031" t="s">
        <v>2724</v>
      </c>
      <c r="D6031" t="s">
        <v>5369</v>
      </c>
      <c r="E6031" s="2">
        <v>79.38</v>
      </c>
    </row>
    <row r="6032" spans="1:5" x14ac:dyDescent="0.25">
      <c r="A6032" s="1">
        <v>43573</v>
      </c>
      <c r="B6032">
        <v>122390</v>
      </c>
      <c r="C6032" t="s">
        <v>5370</v>
      </c>
      <c r="D6032" t="s">
        <v>5371</v>
      </c>
      <c r="E6032" s="2">
        <v>118.87</v>
      </c>
    </row>
    <row r="6033" spans="1:5" x14ac:dyDescent="0.25">
      <c r="A6033" s="1">
        <v>43573</v>
      </c>
      <c r="B6033">
        <v>181900289</v>
      </c>
      <c r="C6033" t="s">
        <v>4205</v>
      </c>
      <c r="D6033" t="s">
        <v>5372</v>
      </c>
      <c r="E6033" s="2">
        <v>160</v>
      </c>
    </row>
    <row r="6034" spans="1:5" x14ac:dyDescent="0.25">
      <c r="A6034" s="1">
        <v>43573</v>
      </c>
      <c r="B6034">
        <v>181900290</v>
      </c>
      <c r="C6034" t="s">
        <v>398</v>
      </c>
      <c r="D6034" t="s">
        <v>5373</v>
      </c>
      <c r="E6034" s="2">
        <f>256.9+453.39</f>
        <v>710.29</v>
      </c>
    </row>
    <row r="6035" spans="1:5" x14ac:dyDescent="0.25">
      <c r="A6035" s="1">
        <v>43573</v>
      </c>
      <c r="B6035">
        <v>181900291</v>
      </c>
      <c r="C6035" t="s">
        <v>399</v>
      </c>
      <c r="D6035" t="s">
        <v>5374</v>
      </c>
      <c r="E6035" s="2">
        <v>101.69</v>
      </c>
    </row>
    <row r="6036" spans="1:5" x14ac:dyDescent="0.25">
      <c r="A6036" s="1">
        <v>43573</v>
      </c>
      <c r="B6036">
        <v>181900292</v>
      </c>
      <c r="C6036" t="s">
        <v>2096</v>
      </c>
      <c r="D6036" t="s">
        <v>5374</v>
      </c>
      <c r="E6036" s="2">
        <v>118.96</v>
      </c>
    </row>
    <row r="6037" spans="1:5" x14ac:dyDescent="0.25">
      <c r="A6037" s="1">
        <v>43573</v>
      </c>
      <c r="B6037">
        <v>181900293</v>
      </c>
      <c r="C6037" t="s">
        <v>5375</v>
      </c>
      <c r="D6037" t="s">
        <v>5374</v>
      </c>
      <c r="E6037" s="2">
        <v>70</v>
      </c>
    </row>
    <row r="6038" spans="1:5" x14ac:dyDescent="0.25">
      <c r="A6038" s="1">
        <v>43573</v>
      </c>
      <c r="B6038">
        <v>181900294</v>
      </c>
      <c r="C6038" t="s">
        <v>910</v>
      </c>
      <c r="D6038" t="s">
        <v>5374</v>
      </c>
      <c r="E6038" s="2">
        <v>142.53</v>
      </c>
    </row>
    <row r="6039" spans="1:5" x14ac:dyDescent="0.25">
      <c r="A6039" s="1">
        <v>43579</v>
      </c>
      <c r="B6039">
        <v>122391</v>
      </c>
      <c r="C6039" t="s">
        <v>5376</v>
      </c>
      <c r="D6039" t="s">
        <v>5377</v>
      </c>
      <c r="E6039" s="2">
        <v>1059</v>
      </c>
    </row>
    <row r="6040" spans="1:5" x14ac:dyDescent="0.25">
      <c r="A6040" s="1">
        <v>43579</v>
      </c>
      <c r="B6040">
        <v>122396</v>
      </c>
      <c r="C6040" t="s">
        <v>189</v>
      </c>
      <c r="D6040" t="s">
        <v>5378</v>
      </c>
      <c r="E6040" s="2">
        <v>59.88</v>
      </c>
    </row>
    <row r="6041" spans="1:5" x14ac:dyDescent="0.25">
      <c r="A6041" s="1">
        <v>43579</v>
      </c>
      <c r="B6041">
        <v>122396</v>
      </c>
      <c r="C6041" t="s">
        <v>189</v>
      </c>
      <c r="D6041" t="s">
        <v>5379</v>
      </c>
      <c r="E6041" s="2">
        <f>34.66+14.99</f>
        <v>49.65</v>
      </c>
    </row>
    <row r="6042" spans="1:5" x14ac:dyDescent="0.25">
      <c r="A6042" s="1">
        <v>43579</v>
      </c>
      <c r="B6042">
        <v>122396</v>
      </c>
      <c r="C6042" t="s">
        <v>189</v>
      </c>
      <c r="D6042" t="s">
        <v>1966</v>
      </c>
      <c r="E6042" s="2">
        <v>14.98</v>
      </c>
    </row>
    <row r="6043" spans="1:5" x14ac:dyDescent="0.25">
      <c r="A6043" s="1">
        <v>43579</v>
      </c>
      <c r="B6043">
        <v>122396</v>
      </c>
      <c r="C6043" t="s">
        <v>189</v>
      </c>
      <c r="D6043" t="s">
        <v>5380</v>
      </c>
      <c r="E6043" s="2">
        <v>94.82</v>
      </c>
    </row>
    <row r="6044" spans="1:5" x14ac:dyDescent="0.25">
      <c r="A6044" s="1">
        <v>43579</v>
      </c>
      <c r="B6044">
        <v>122396</v>
      </c>
      <c r="C6044" t="s">
        <v>189</v>
      </c>
      <c r="D6044" t="s">
        <v>5381</v>
      </c>
      <c r="E6044" s="2">
        <v>191.32</v>
      </c>
    </row>
    <row r="6045" spans="1:5" x14ac:dyDescent="0.25">
      <c r="A6045" s="1">
        <v>43579</v>
      </c>
      <c r="B6045">
        <v>122396</v>
      </c>
      <c r="C6045" t="s">
        <v>189</v>
      </c>
      <c r="D6045" t="s">
        <v>5382</v>
      </c>
      <c r="E6045" s="2">
        <v>68.849999999999994</v>
      </c>
    </row>
    <row r="6046" spans="1:5" x14ac:dyDescent="0.25">
      <c r="A6046" s="1">
        <v>43579</v>
      </c>
      <c r="B6046">
        <v>122396</v>
      </c>
      <c r="C6046" t="s">
        <v>189</v>
      </c>
      <c r="D6046" t="s">
        <v>5383</v>
      </c>
      <c r="E6046" s="2">
        <v>49.95</v>
      </c>
    </row>
    <row r="6047" spans="1:5" x14ac:dyDescent="0.25">
      <c r="A6047" s="1">
        <v>43579</v>
      </c>
      <c r="B6047">
        <v>122396</v>
      </c>
      <c r="C6047" t="s">
        <v>189</v>
      </c>
      <c r="D6047" t="s">
        <v>5384</v>
      </c>
      <c r="E6047" s="2">
        <v>137.58000000000001</v>
      </c>
    </row>
    <row r="6048" spans="1:5" x14ac:dyDescent="0.25">
      <c r="A6048" s="1">
        <v>43579</v>
      </c>
      <c r="B6048">
        <v>122396</v>
      </c>
      <c r="C6048" t="s">
        <v>189</v>
      </c>
      <c r="D6048" t="s">
        <v>5385</v>
      </c>
      <c r="E6048" s="2">
        <v>41.05</v>
      </c>
    </row>
    <row r="6049" spans="1:5" x14ac:dyDescent="0.25">
      <c r="A6049" s="1">
        <v>43579</v>
      </c>
      <c r="B6049">
        <v>122396</v>
      </c>
      <c r="C6049" t="s">
        <v>189</v>
      </c>
      <c r="D6049" t="s">
        <v>5386</v>
      </c>
      <c r="E6049" s="2">
        <v>129.93</v>
      </c>
    </row>
    <row r="6050" spans="1:5" x14ac:dyDescent="0.25">
      <c r="A6050" s="1">
        <v>43579</v>
      </c>
      <c r="B6050">
        <v>122396</v>
      </c>
      <c r="C6050" t="s">
        <v>189</v>
      </c>
      <c r="D6050" t="s">
        <v>5387</v>
      </c>
      <c r="E6050" s="2">
        <v>413.5</v>
      </c>
    </row>
    <row r="6051" spans="1:5" x14ac:dyDescent="0.25">
      <c r="A6051" s="1">
        <v>43579</v>
      </c>
      <c r="B6051">
        <v>122396</v>
      </c>
      <c r="C6051" t="s">
        <v>189</v>
      </c>
      <c r="D6051" t="s">
        <v>5388</v>
      </c>
      <c r="E6051" s="2">
        <v>43.96</v>
      </c>
    </row>
    <row r="6052" spans="1:5" x14ac:dyDescent="0.25">
      <c r="A6052" s="1">
        <v>43579</v>
      </c>
      <c r="B6052">
        <v>122396</v>
      </c>
      <c r="C6052" t="s">
        <v>189</v>
      </c>
      <c r="D6052" t="s">
        <v>5388</v>
      </c>
      <c r="E6052" s="2">
        <v>39.99</v>
      </c>
    </row>
    <row r="6053" spans="1:5" x14ac:dyDescent="0.25">
      <c r="A6053" s="1">
        <v>43579</v>
      </c>
      <c r="B6053">
        <v>122396</v>
      </c>
      <c r="C6053" t="s">
        <v>189</v>
      </c>
      <c r="D6053" t="s">
        <v>5388</v>
      </c>
      <c r="E6053" s="2">
        <v>165.12</v>
      </c>
    </row>
    <row r="6054" spans="1:5" x14ac:dyDescent="0.25">
      <c r="A6054" s="1">
        <v>43579</v>
      </c>
      <c r="B6054">
        <v>122396</v>
      </c>
      <c r="C6054" t="s">
        <v>189</v>
      </c>
      <c r="D6054" t="s">
        <v>1028</v>
      </c>
      <c r="E6054" s="2">
        <v>134.96</v>
      </c>
    </row>
    <row r="6055" spans="1:5" x14ac:dyDescent="0.25">
      <c r="A6055" s="1">
        <v>43579</v>
      </c>
      <c r="B6055">
        <v>122396</v>
      </c>
      <c r="C6055" t="s">
        <v>189</v>
      </c>
      <c r="D6055" t="s">
        <v>5389</v>
      </c>
      <c r="E6055" s="2">
        <f>11.44+23.95+19.99+95.8+334.14+13.88+4.2</f>
        <v>503.4</v>
      </c>
    </row>
    <row r="6056" spans="1:5" x14ac:dyDescent="0.25">
      <c r="A6056" s="1">
        <v>43579</v>
      </c>
      <c r="B6056">
        <v>122396</v>
      </c>
      <c r="C6056" t="s">
        <v>189</v>
      </c>
      <c r="D6056" t="s">
        <v>1016</v>
      </c>
      <c r="E6056" s="3">
        <v>-4.2</v>
      </c>
    </row>
    <row r="6057" spans="1:5" x14ac:dyDescent="0.25">
      <c r="A6057" s="1">
        <v>43579</v>
      </c>
      <c r="B6057">
        <v>122396</v>
      </c>
      <c r="C6057" t="s">
        <v>189</v>
      </c>
      <c r="D6057" t="s">
        <v>5389</v>
      </c>
      <c r="E6057" s="2">
        <v>13.49</v>
      </c>
    </row>
    <row r="6058" spans="1:5" x14ac:dyDescent="0.25">
      <c r="A6058" s="1">
        <v>43579</v>
      </c>
      <c r="B6058">
        <v>122396</v>
      </c>
      <c r="C6058" t="s">
        <v>189</v>
      </c>
      <c r="D6058" t="s">
        <v>5390</v>
      </c>
      <c r="E6058" s="3">
        <v>-13.88</v>
      </c>
    </row>
    <row r="6059" spans="1:5" x14ac:dyDescent="0.25">
      <c r="A6059" s="1">
        <v>43579</v>
      </c>
      <c r="B6059">
        <v>122397</v>
      </c>
      <c r="C6059" t="s">
        <v>942</v>
      </c>
      <c r="D6059" t="s">
        <v>5391</v>
      </c>
      <c r="E6059" s="2">
        <v>1500</v>
      </c>
    </row>
    <row r="6060" spans="1:5" x14ac:dyDescent="0.25">
      <c r="A6060" s="1">
        <v>43579</v>
      </c>
      <c r="B6060">
        <v>122398</v>
      </c>
      <c r="C6060" t="s">
        <v>5392</v>
      </c>
      <c r="D6060" t="s">
        <v>5393</v>
      </c>
      <c r="E6060" s="2">
        <v>90.65</v>
      </c>
    </row>
    <row r="6061" spans="1:5" x14ac:dyDescent="0.25">
      <c r="A6061" s="1">
        <v>43579</v>
      </c>
      <c r="B6061">
        <v>122399</v>
      </c>
      <c r="C6061" t="s">
        <v>5394</v>
      </c>
      <c r="D6061" t="s">
        <v>5395</v>
      </c>
      <c r="E6061" s="2">
        <v>76.98</v>
      </c>
    </row>
    <row r="6062" spans="1:5" x14ac:dyDescent="0.25">
      <c r="A6062" s="1">
        <v>43579</v>
      </c>
      <c r="B6062">
        <v>122400</v>
      </c>
      <c r="C6062" t="s">
        <v>7</v>
      </c>
      <c r="D6062" t="s">
        <v>5396</v>
      </c>
      <c r="E6062" s="2">
        <v>90</v>
      </c>
    </row>
    <row r="6063" spans="1:5" x14ac:dyDescent="0.25">
      <c r="A6063" s="1">
        <v>43579</v>
      </c>
      <c r="B6063">
        <v>122400</v>
      </c>
      <c r="C6063" t="s">
        <v>7</v>
      </c>
      <c r="D6063" t="s">
        <v>5397</v>
      </c>
      <c r="E6063" s="2">
        <v>136</v>
      </c>
    </row>
    <row r="6064" spans="1:5" x14ac:dyDescent="0.25">
      <c r="A6064" s="1">
        <v>43579</v>
      </c>
      <c r="B6064">
        <v>122401</v>
      </c>
      <c r="C6064" t="s">
        <v>5398</v>
      </c>
      <c r="D6064" t="s">
        <v>5399</v>
      </c>
      <c r="E6064" s="2">
        <v>630</v>
      </c>
    </row>
    <row r="6065" spans="1:5" x14ac:dyDescent="0.25">
      <c r="A6065" s="1">
        <v>43579</v>
      </c>
      <c r="B6065">
        <v>122402</v>
      </c>
      <c r="C6065" t="s">
        <v>3299</v>
      </c>
      <c r="D6065" t="s">
        <v>5400</v>
      </c>
      <c r="E6065" s="2">
        <v>16</v>
      </c>
    </row>
    <row r="6066" spans="1:5" x14ac:dyDescent="0.25">
      <c r="A6066" s="1">
        <v>43579</v>
      </c>
      <c r="B6066">
        <v>122403</v>
      </c>
      <c r="C6066" t="s">
        <v>1004</v>
      </c>
      <c r="D6066" t="s">
        <v>5401</v>
      </c>
      <c r="E6066" s="2">
        <v>938</v>
      </c>
    </row>
    <row r="6067" spans="1:5" x14ac:dyDescent="0.25">
      <c r="A6067" s="1">
        <v>43579</v>
      </c>
      <c r="B6067">
        <v>122404</v>
      </c>
      <c r="C6067" t="s">
        <v>611</v>
      </c>
      <c r="D6067" t="s">
        <v>5402</v>
      </c>
      <c r="E6067" s="2">
        <v>66</v>
      </c>
    </row>
    <row r="6068" spans="1:5" x14ac:dyDescent="0.25">
      <c r="A6068" s="1">
        <v>43579</v>
      </c>
      <c r="B6068">
        <v>122405</v>
      </c>
      <c r="C6068" t="s">
        <v>3009</v>
      </c>
      <c r="D6068" t="s">
        <v>5403</v>
      </c>
      <c r="E6068" s="2">
        <v>406.35</v>
      </c>
    </row>
    <row r="6069" spans="1:5" x14ac:dyDescent="0.25">
      <c r="A6069" s="1">
        <v>43579</v>
      </c>
      <c r="B6069">
        <v>122406</v>
      </c>
      <c r="C6069" t="s">
        <v>5404</v>
      </c>
      <c r="D6069" t="s">
        <v>5405</v>
      </c>
      <c r="E6069" s="2">
        <v>800</v>
      </c>
    </row>
    <row r="6070" spans="1:5" x14ac:dyDescent="0.25">
      <c r="A6070" s="1">
        <v>43579</v>
      </c>
      <c r="B6070">
        <v>122407</v>
      </c>
      <c r="C6070" t="s">
        <v>5406</v>
      </c>
      <c r="D6070" t="s">
        <v>5407</v>
      </c>
      <c r="E6070" s="2">
        <v>16</v>
      </c>
    </row>
    <row r="6071" spans="1:5" x14ac:dyDescent="0.25">
      <c r="A6071" s="1">
        <v>43579</v>
      </c>
      <c r="B6071">
        <v>122408</v>
      </c>
      <c r="C6071" t="s">
        <v>77</v>
      </c>
      <c r="D6071" t="s">
        <v>4625</v>
      </c>
      <c r="E6071" s="2">
        <v>175</v>
      </c>
    </row>
    <row r="6072" spans="1:5" x14ac:dyDescent="0.25">
      <c r="A6072" s="1">
        <v>43579</v>
      </c>
      <c r="B6072">
        <v>122409</v>
      </c>
      <c r="C6072" t="s">
        <v>765</v>
      </c>
      <c r="D6072" t="s">
        <v>5408</v>
      </c>
      <c r="E6072" s="2">
        <v>1740.6</v>
      </c>
    </row>
    <row r="6073" spans="1:5" x14ac:dyDescent="0.25">
      <c r="A6073" s="1">
        <v>43579</v>
      </c>
      <c r="B6073">
        <v>122418</v>
      </c>
      <c r="C6073" t="s">
        <v>222</v>
      </c>
      <c r="D6073" t="s">
        <v>5409</v>
      </c>
      <c r="E6073" s="2">
        <v>45.88</v>
      </c>
    </row>
    <row r="6074" spans="1:5" x14ac:dyDescent="0.25">
      <c r="A6074" s="1">
        <v>43579</v>
      </c>
      <c r="B6074">
        <v>122418</v>
      </c>
      <c r="C6074" t="s">
        <v>222</v>
      </c>
      <c r="D6074" t="s">
        <v>5410</v>
      </c>
      <c r="E6074" s="2">
        <v>74.92</v>
      </c>
    </row>
    <row r="6075" spans="1:5" x14ac:dyDescent="0.25">
      <c r="A6075" s="1">
        <v>43579</v>
      </c>
      <c r="B6075">
        <v>122418</v>
      </c>
      <c r="C6075" t="s">
        <v>222</v>
      </c>
      <c r="D6075" t="s">
        <v>5411</v>
      </c>
      <c r="E6075" s="2">
        <v>9.75</v>
      </c>
    </row>
    <row r="6076" spans="1:5" x14ac:dyDescent="0.25">
      <c r="A6076" s="1">
        <v>43579</v>
      </c>
      <c r="B6076">
        <v>122418</v>
      </c>
      <c r="C6076" t="s">
        <v>222</v>
      </c>
      <c r="D6076" t="s">
        <v>5412</v>
      </c>
      <c r="E6076" s="2">
        <v>178</v>
      </c>
    </row>
    <row r="6077" spans="1:5" x14ac:dyDescent="0.25">
      <c r="A6077" s="1">
        <v>43579</v>
      </c>
      <c r="B6077">
        <v>122418</v>
      </c>
      <c r="C6077" t="s">
        <v>222</v>
      </c>
      <c r="D6077" t="s">
        <v>5413</v>
      </c>
      <c r="E6077" s="2">
        <v>45.8</v>
      </c>
    </row>
    <row r="6078" spans="1:5" x14ac:dyDescent="0.25">
      <c r="A6078" s="1">
        <v>43579</v>
      </c>
      <c r="B6078">
        <v>122418</v>
      </c>
      <c r="C6078" t="s">
        <v>222</v>
      </c>
      <c r="D6078" t="s">
        <v>1119</v>
      </c>
      <c r="E6078" s="2">
        <v>21.84</v>
      </c>
    </row>
    <row r="6079" spans="1:5" x14ac:dyDescent="0.25">
      <c r="A6079" s="1">
        <v>43579</v>
      </c>
      <c r="B6079">
        <v>122418</v>
      </c>
      <c r="C6079" t="s">
        <v>222</v>
      </c>
      <c r="D6079" t="s">
        <v>1966</v>
      </c>
      <c r="E6079" s="2">
        <v>24.12</v>
      </c>
    </row>
    <row r="6080" spans="1:5" x14ac:dyDescent="0.25">
      <c r="A6080" s="1">
        <v>43579</v>
      </c>
      <c r="B6080">
        <v>122418</v>
      </c>
      <c r="C6080" t="s">
        <v>222</v>
      </c>
      <c r="D6080" t="s">
        <v>270</v>
      </c>
      <c r="E6080" s="2">
        <v>249.95</v>
      </c>
    </row>
    <row r="6081" spans="1:5" x14ac:dyDescent="0.25">
      <c r="A6081" s="1">
        <v>43579</v>
      </c>
      <c r="B6081">
        <v>122418</v>
      </c>
      <c r="C6081" t="s">
        <v>222</v>
      </c>
      <c r="D6081" t="s">
        <v>5414</v>
      </c>
      <c r="E6081" s="2">
        <v>378.25</v>
      </c>
    </row>
    <row r="6082" spans="1:5" x14ac:dyDescent="0.25">
      <c r="A6082" s="1">
        <v>43579</v>
      </c>
      <c r="B6082">
        <v>122418</v>
      </c>
      <c r="C6082" t="s">
        <v>222</v>
      </c>
      <c r="D6082" t="s">
        <v>5415</v>
      </c>
      <c r="E6082" s="2">
        <v>28.2</v>
      </c>
    </row>
    <row r="6083" spans="1:5" x14ac:dyDescent="0.25">
      <c r="A6083" s="1">
        <v>43579</v>
      </c>
      <c r="B6083">
        <v>122418</v>
      </c>
      <c r="C6083" t="s">
        <v>222</v>
      </c>
      <c r="D6083" t="s">
        <v>5415</v>
      </c>
      <c r="E6083" s="2">
        <v>62.6</v>
      </c>
    </row>
    <row r="6084" spans="1:5" x14ac:dyDescent="0.25">
      <c r="A6084" s="1">
        <v>43579</v>
      </c>
      <c r="B6084">
        <v>122418</v>
      </c>
      <c r="C6084" t="s">
        <v>222</v>
      </c>
      <c r="D6084" t="s">
        <v>5416</v>
      </c>
      <c r="E6084" s="2">
        <v>46.16</v>
      </c>
    </row>
    <row r="6085" spans="1:5" x14ac:dyDescent="0.25">
      <c r="A6085" s="1">
        <v>43579</v>
      </c>
      <c r="B6085">
        <v>122418</v>
      </c>
      <c r="C6085" t="s">
        <v>222</v>
      </c>
      <c r="D6085" t="s">
        <v>5417</v>
      </c>
      <c r="E6085" s="2">
        <v>341.69</v>
      </c>
    </row>
    <row r="6086" spans="1:5" x14ac:dyDescent="0.25">
      <c r="A6086" s="1">
        <v>43579</v>
      </c>
      <c r="B6086">
        <v>122418</v>
      </c>
      <c r="C6086" t="s">
        <v>222</v>
      </c>
      <c r="D6086" t="s">
        <v>5418</v>
      </c>
      <c r="E6086" s="2">
        <v>77.290000000000006</v>
      </c>
    </row>
    <row r="6087" spans="1:5" x14ac:dyDescent="0.25">
      <c r="A6087" s="1">
        <v>43579</v>
      </c>
      <c r="B6087">
        <v>122418</v>
      </c>
      <c r="C6087" t="s">
        <v>222</v>
      </c>
      <c r="D6087" t="s">
        <v>5419</v>
      </c>
      <c r="E6087" s="2">
        <f>17.72+43.95</f>
        <v>61.67</v>
      </c>
    </row>
    <row r="6088" spans="1:5" x14ac:dyDescent="0.25">
      <c r="A6088" s="1">
        <v>43579</v>
      </c>
      <c r="B6088">
        <v>122418</v>
      </c>
      <c r="C6088" t="s">
        <v>222</v>
      </c>
      <c r="D6088" t="s">
        <v>2700</v>
      </c>
      <c r="E6088" s="2">
        <v>130.35</v>
      </c>
    </row>
    <row r="6089" spans="1:5" x14ac:dyDescent="0.25">
      <c r="A6089" s="1">
        <v>43579</v>
      </c>
      <c r="B6089">
        <v>122418</v>
      </c>
      <c r="C6089" t="s">
        <v>222</v>
      </c>
      <c r="D6089" t="s">
        <v>5420</v>
      </c>
      <c r="E6089" s="2">
        <v>89.54</v>
      </c>
    </row>
    <row r="6090" spans="1:5" x14ac:dyDescent="0.25">
      <c r="A6090" s="1">
        <v>43579</v>
      </c>
      <c r="B6090">
        <v>122418</v>
      </c>
      <c r="C6090" t="s">
        <v>222</v>
      </c>
      <c r="D6090" t="s">
        <v>3876</v>
      </c>
      <c r="E6090" s="2">
        <v>27.58</v>
      </c>
    </row>
    <row r="6091" spans="1:5" x14ac:dyDescent="0.25">
      <c r="A6091" s="1">
        <v>43579</v>
      </c>
      <c r="B6091">
        <v>122418</v>
      </c>
      <c r="C6091" t="s">
        <v>222</v>
      </c>
      <c r="D6091" t="s">
        <v>5421</v>
      </c>
      <c r="E6091" s="2">
        <f>19.92+180.87</f>
        <v>200.79000000000002</v>
      </c>
    </row>
    <row r="6092" spans="1:5" x14ac:dyDescent="0.25">
      <c r="A6092" s="1">
        <v>43579</v>
      </c>
      <c r="B6092">
        <v>122418</v>
      </c>
      <c r="C6092" t="s">
        <v>222</v>
      </c>
      <c r="D6092" t="s">
        <v>5414</v>
      </c>
      <c r="E6092" s="2">
        <v>63.28</v>
      </c>
    </row>
    <row r="6093" spans="1:5" x14ac:dyDescent="0.25">
      <c r="A6093" s="1">
        <v>43579</v>
      </c>
      <c r="B6093">
        <v>122418</v>
      </c>
      <c r="C6093" t="s">
        <v>222</v>
      </c>
      <c r="D6093" t="s">
        <v>2700</v>
      </c>
      <c r="E6093" s="2">
        <v>40.03</v>
      </c>
    </row>
    <row r="6094" spans="1:5" x14ac:dyDescent="0.25">
      <c r="A6094" s="1">
        <v>43579</v>
      </c>
      <c r="B6094">
        <v>122418</v>
      </c>
      <c r="C6094" t="s">
        <v>222</v>
      </c>
      <c r="D6094" t="s">
        <v>5414</v>
      </c>
      <c r="E6094" s="2">
        <v>23.68</v>
      </c>
    </row>
    <row r="6095" spans="1:5" x14ac:dyDescent="0.25">
      <c r="A6095" s="1">
        <v>43579</v>
      </c>
      <c r="B6095">
        <v>122418</v>
      </c>
      <c r="C6095" t="s">
        <v>222</v>
      </c>
      <c r="D6095" t="s">
        <v>5422</v>
      </c>
      <c r="E6095" s="2">
        <v>104.66</v>
      </c>
    </row>
    <row r="6096" spans="1:5" x14ac:dyDescent="0.25">
      <c r="A6096" s="1">
        <v>43579</v>
      </c>
      <c r="B6096">
        <v>122418</v>
      </c>
      <c r="C6096" t="s">
        <v>222</v>
      </c>
      <c r="D6096" t="s">
        <v>5423</v>
      </c>
      <c r="E6096" s="2">
        <v>16.47</v>
      </c>
    </row>
    <row r="6097" spans="1:5" x14ac:dyDescent="0.25">
      <c r="A6097" s="1">
        <v>43579</v>
      </c>
      <c r="B6097">
        <v>122418</v>
      </c>
      <c r="C6097" t="s">
        <v>222</v>
      </c>
      <c r="D6097" t="s">
        <v>5424</v>
      </c>
      <c r="E6097" s="2">
        <f>87.18+64</f>
        <v>151.18</v>
      </c>
    </row>
    <row r="6098" spans="1:5" x14ac:dyDescent="0.25">
      <c r="A6098" s="1">
        <v>43579</v>
      </c>
      <c r="B6098">
        <v>122418</v>
      </c>
      <c r="C6098" t="s">
        <v>222</v>
      </c>
      <c r="D6098" t="s">
        <v>5425</v>
      </c>
      <c r="E6098" s="2">
        <f>74.71+65.67</f>
        <v>140.38</v>
      </c>
    </row>
    <row r="6099" spans="1:5" x14ac:dyDescent="0.25">
      <c r="A6099" s="1">
        <v>43579</v>
      </c>
      <c r="B6099">
        <v>122418</v>
      </c>
      <c r="C6099" t="s">
        <v>222</v>
      </c>
      <c r="D6099" t="s">
        <v>5426</v>
      </c>
      <c r="E6099" s="2">
        <f>30.47+41.29</f>
        <v>71.759999999999991</v>
      </c>
    </row>
    <row r="6100" spans="1:5" x14ac:dyDescent="0.25">
      <c r="A6100" s="1">
        <v>43579</v>
      </c>
      <c r="B6100">
        <v>122418</v>
      </c>
      <c r="C6100" t="s">
        <v>222</v>
      </c>
      <c r="D6100" t="s">
        <v>5427</v>
      </c>
      <c r="E6100" s="2">
        <v>43.82</v>
      </c>
    </row>
    <row r="6101" spans="1:5" x14ac:dyDescent="0.25">
      <c r="A6101" s="1">
        <v>43579</v>
      </c>
      <c r="B6101">
        <v>122418</v>
      </c>
      <c r="C6101" t="s">
        <v>222</v>
      </c>
      <c r="D6101" t="s">
        <v>5428</v>
      </c>
      <c r="E6101" s="2">
        <v>46.56</v>
      </c>
    </row>
    <row r="6102" spans="1:5" x14ac:dyDescent="0.25">
      <c r="A6102" s="1">
        <v>43579</v>
      </c>
      <c r="B6102">
        <v>122418</v>
      </c>
      <c r="C6102" t="s">
        <v>222</v>
      </c>
      <c r="D6102" t="s">
        <v>3822</v>
      </c>
      <c r="E6102" s="2">
        <v>74.510000000000005</v>
      </c>
    </row>
    <row r="6103" spans="1:5" x14ac:dyDescent="0.25">
      <c r="A6103" s="1">
        <v>43579</v>
      </c>
      <c r="B6103">
        <v>122418</v>
      </c>
      <c r="C6103" t="s">
        <v>222</v>
      </c>
      <c r="D6103" t="s">
        <v>5429</v>
      </c>
      <c r="E6103" s="2">
        <v>147.63999999999999</v>
      </c>
    </row>
    <row r="6104" spans="1:5" x14ac:dyDescent="0.25">
      <c r="A6104" s="1">
        <v>43579</v>
      </c>
      <c r="B6104">
        <v>122418</v>
      </c>
      <c r="C6104" t="s">
        <v>222</v>
      </c>
      <c r="D6104" t="s">
        <v>5430</v>
      </c>
      <c r="E6104" s="2">
        <v>104.8</v>
      </c>
    </row>
    <row r="6105" spans="1:5" x14ac:dyDescent="0.25">
      <c r="A6105" s="1">
        <v>43579</v>
      </c>
      <c r="B6105">
        <v>122418</v>
      </c>
      <c r="C6105" t="s">
        <v>222</v>
      </c>
      <c r="D6105" t="s">
        <v>5414</v>
      </c>
      <c r="E6105" s="2">
        <v>64.08</v>
      </c>
    </row>
    <row r="6106" spans="1:5" x14ac:dyDescent="0.25">
      <c r="A6106" s="1">
        <v>43580</v>
      </c>
      <c r="B6106">
        <v>122419</v>
      </c>
      <c r="C6106" t="s">
        <v>3548</v>
      </c>
      <c r="D6106" t="s">
        <v>5431</v>
      </c>
      <c r="E6106" s="2">
        <v>179.64</v>
      </c>
    </row>
    <row r="6107" spans="1:5" x14ac:dyDescent="0.25">
      <c r="A6107" s="1">
        <v>43580</v>
      </c>
      <c r="B6107">
        <v>122420</v>
      </c>
      <c r="C6107" t="s">
        <v>5432</v>
      </c>
      <c r="D6107" t="s">
        <v>5433</v>
      </c>
      <c r="E6107" s="2">
        <v>492</v>
      </c>
    </row>
    <row r="6108" spans="1:5" x14ac:dyDescent="0.25">
      <c r="A6108" s="1">
        <v>43580</v>
      </c>
      <c r="B6108">
        <v>122421</v>
      </c>
      <c r="C6108" t="s">
        <v>2246</v>
      </c>
      <c r="D6108" t="s">
        <v>5434</v>
      </c>
      <c r="E6108" s="2">
        <v>354</v>
      </c>
    </row>
    <row r="6109" spans="1:5" x14ac:dyDescent="0.25">
      <c r="A6109" s="1">
        <v>43580</v>
      </c>
      <c r="B6109">
        <v>122422</v>
      </c>
      <c r="C6109" t="s">
        <v>1920</v>
      </c>
      <c r="D6109" t="s">
        <v>5435</v>
      </c>
      <c r="E6109" s="2">
        <v>125.13</v>
      </c>
    </row>
    <row r="6110" spans="1:5" x14ac:dyDescent="0.25">
      <c r="A6110" s="1">
        <v>43580</v>
      </c>
      <c r="B6110">
        <v>122422</v>
      </c>
      <c r="C6110" t="s">
        <v>1920</v>
      </c>
      <c r="D6110" t="s">
        <v>5436</v>
      </c>
      <c r="E6110" s="2">
        <v>120.36</v>
      </c>
    </row>
    <row r="6111" spans="1:5" x14ac:dyDescent="0.25">
      <c r="A6111" s="1">
        <v>43580</v>
      </c>
      <c r="B6111">
        <v>122437</v>
      </c>
      <c r="C6111" t="s">
        <v>189</v>
      </c>
      <c r="D6111" t="s">
        <v>416</v>
      </c>
      <c r="E6111" s="3">
        <v>-116.05</v>
      </c>
    </row>
    <row r="6112" spans="1:5" x14ac:dyDescent="0.25">
      <c r="A6112" s="1">
        <v>43580</v>
      </c>
      <c r="B6112">
        <v>122437</v>
      </c>
      <c r="C6112" t="s">
        <v>189</v>
      </c>
      <c r="D6112" t="s">
        <v>5437</v>
      </c>
      <c r="E6112" s="2">
        <f>9.76+14.36</f>
        <v>24.119999999999997</v>
      </c>
    </row>
    <row r="6113" spans="1:5" x14ac:dyDescent="0.25">
      <c r="A6113" s="1">
        <v>43580</v>
      </c>
      <c r="B6113">
        <v>122437</v>
      </c>
      <c r="C6113" t="s">
        <v>189</v>
      </c>
      <c r="D6113" t="s">
        <v>5438</v>
      </c>
      <c r="E6113" s="2">
        <v>91.89</v>
      </c>
    </row>
    <row r="6114" spans="1:5" x14ac:dyDescent="0.25">
      <c r="A6114" s="1">
        <v>43580</v>
      </c>
      <c r="B6114">
        <v>122437</v>
      </c>
      <c r="C6114" t="s">
        <v>189</v>
      </c>
      <c r="D6114" t="s">
        <v>5439</v>
      </c>
      <c r="E6114" s="2">
        <v>50.4</v>
      </c>
    </row>
    <row r="6115" spans="1:5" x14ac:dyDescent="0.25">
      <c r="A6115" s="1">
        <v>43580</v>
      </c>
      <c r="B6115">
        <v>122437</v>
      </c>
      <c r="C6115" t="s">
        <v>189</v>
      </c>
      <c r="D6115" t="s">
        <v>5440</v>
      </c>
      <c r="E6115" s="2">
        <v>209.62</v>
      </c>
    </row>
    <row r="6116" spans="1:5" x14ac:dyDescent="0.25">
      <c r="A6116" s="1">
        <v>43580</v>
      </c>
      <c r="B6116">
        <v>122437</v>
      </c>
      <c r="C6116" t="s">
        <v>189</v>
      </c>
      <c r="D6116" t="s">
        <v>5441</v>
      </c>
      <c r="E6116" s="2">
        <v>2139.77</v>
      </c>
    </row>
    <row r="6117" spans="1:5" x14ac:dyDescent="0.25">
      <c r="A6117" s="1">
        <v>43580</v>
      </c>
      <c r="B6117">
        <v>122437</v>
      </c>
      <c r="C6117" t="s">
        <v>189</v>
      </c>
      <c r="D6117" t="s">
        <v>5442</v>
      </c>
      <c r="E6117" s="2">
        <v>59.99</v>
      </c>
    </row>
    <row r="6118" spans="1:5" x14ac:dyDescent="0.25">
      <c r="A6118" s="1">
        <v>43580</v>
      </c>
      <c r="B6118">
        <v>122437</v>
      </c>
      <c r="C6118" t="s">
        <v>189</v>
      </c>
      <c r="D6118" t="s">
        <v>3496</v>
      </c>
      <c r="E6118" s="2">
        <f>23.69+20.3</f>
        <v>43.99</v>
      </c>
    </row>
    <row r="6119" spans="1:5" x14ac:dyDescent="0.25">
      <c r="A6119" s="1">
        <v>43580</v>
      </c>
      <c r="B6119">
        <v>122437</v>
      </c>
      <c r="C6119" t="s">
        <v>189</v>
      </c>
      <c r="D6119" t="s">
        <v>5441</v>
      </c>
      <c r="E6119" s="2">
        <v>811.76</v>
      </c>
    </row>
    <row r="6120" spans="1:5" x14ac:dyDescent="0.25">
      <c r="A6120" s="1">
        <v>43580</v>
      </c>
      <c r="B6120">
        <v>122437</v>
      </c>
      <c r="C6120" t="s">
        <v>189</v>
      </c>
      <c r="D6120" t="s">
        <v>5443</v>
      </c>
      <c r="E6120" s="2">
        <f>33.96+23.98</f>
        <v>57.94</v>
      </c>
    </row>
    <row r="6121" spans="1:5" x14ac:dyDescent="0.25">
      <c r="A6121" s="1">
        <v>43580</v>
      </c>
      <c r="B6121">
        <v>122437</v>
      </c>
      <c r="C6121" t="s">
        <v>189</v>
      </c>
      <c r="D6121" t="s">
        <v>5444</v>
      </c>
      <c r="E6121" s="2">
        <v>27.18</v>
      </c>
    </row>
    <row r="6122" spans="1:5" x14ac:dyDescent="0.25">
      <c r="A6122" s="1">
        <v>43580</v>
      </c>
      <c r="B6122">
        <v>122437</v>
      </c>
      <c r="C6122" t="s">
        <v>189</v>
      </c>
      <c r="D6122" t="s">
        <v>5437</v>
      </c>
      <c r="E6122" s="2">
        <v>150.4</v>
      </c>
    </row>
    <row r="6123" spans="1:5" x14ac:dyDescent="0.25">
      <c r="A6123" s="1">
        <v>43580</v>
      </c>
      <c r="B6123">
        <v>122437</v>
      </c>
      <c r="C6123" t="s">
        <v>189</v>
      </c>
      <c r="D6123" t="s">
        <v>4677</v>
      </c>
      <c r="E6123" s="2">
        <v>90.95</v>
      </c>
    </row>
    <row r="6124" spans="1:5" x14ac:dyDescent="0.25">
      <c r="A6124" s="1">
        <v>43580</v>
      </c>
      <c r="B6124">
        <v>122437</v>
      </c>
      <c r="C6124" t="s">
        <v>189</v>
      </c>
      <c r="D6124" t="s">
        <v>5445</v>
      </c>
      <c r="E6124" s="2">
        <v>95.94</v>
      </c>
    </row>
    <row r="6125" spans="1:5" x14ac:dyDescent="0.25">
      <c r="A6125" s="1">
        <v>43580</v>
      </c>
      <c r="B6125">
        <v>122437</v>
      </c>
      <c r="C6125" t="s">
        <v>189</v>
      </c>
      <c r="D6125" t="s">
        <v>5446</v>
      </c>
      <c r="E6125" s="2">
        <v>66.78</v>
      </c>
    </row>
    <row r="6126" spans="1:5" x14ac:dyDescent="0.25">
      <c r="A6126" s="1">
        <v>43580</v>
      </c>
      <c r="B6126">
        <v>122437</v>
      </c>
      <c r="C6126" t="s">
        <v>189</v>
      </c>
      <c r="D6126" t="s">
        <v>4677</v>
      </c>
      <c r="E6126" s="2">
        <v>19.03</v>
      </c>
    </row>
    <row r="6127" spans="1:5" x14ac:dyDescent="0.25">
      <c r="A6127" s="1">
        <v>43580</v>
      </c>
      <c r="B6127">
        <v>122437</v>
      </c>
      <c r="C6127" t="s">
        <v>189</v>
      </c>
      <c r="D6127" t="s">
        <v>5447</v>
      </c>
      <c r="E6127" s="2">
        <v>25.77</v>
      </c>
    </row>
    <row r="6128" spans="1:5" x14ac:dyDescent="0.25">
      <c r="A6128" s="1">
        <v>43580</v>
      </c>
      <c r="B6128">
        <v>122437</v>
      </c>
      <c r="C6128" t="s">
        <v>189</v>
      </c>
      <c r="D6128" t="s">
        <v>5448</v>
      </c>
      <c r="E6128" s="2">
        <v>281.85000000000002</v>
      </c>
    </row>
    <row r="6129" spans="1:5" x14ac:dyDescent="0.25">
      <c r="A6129" s="1">
        <v>43580</v>
      </c>
      <c r="B6129">
        <v>122437</v>
      </c>
      <c r="C6129" t="s">
        <v>189</v>
      </c>
      <c r="D6129" t="s">
        <v>5448</v>
      </c>
      <c r="E6129" s="2">
        <v>68.97</v>
      </c>
    </row>
    <row r="6130" spans="1:5" x14ac:dyDescent="0.25">
      <c r="A6130" s="1">
        <v>43580</v>
      </c>
      <c r="B6130">
        <v>122437</v>
      </c>
      <c r="C6130" t="s">
        <v>189</v>
      </c>
      <c r="D6130" t="s">
        <v>5449</v>
      </c>
      <c r="E6130" s="2">
        <v>229.47</v>
      </c>
    </row>
    <row r="6131" spans="1:5" x14ac:dyDescent="0.25">
      <c r="A6131" s="1">
        <v>43580</v>
      </c>
      <c r="B6131">
        <v>122437</v>
      </c>
      <c r="C6131" t="s">
        <v>189</v>
      </c>
      <c r="D6131" t="s">
        <v>481</v>
      </c>
      <c r="E6131" s="2">
        <v>107.82</v>
      </c>
    </row>
    <row r="6132" spans="1:5" x14ac:dyDescent="0.25">
      <c r="A6132" s="1">
        <v>43580</v>
      </c>
      <c r="B6132">
        <v>122437</v>
      </c>
      <c r="C6132" t="s">
        <v>189</v>
      </c>
      <c r="D6132" t="s">
        <v>5450</v>
      </c>
      <c r="E6132" s="2">
        <v>48.28</v>
      </c>
    </row>
    <row r="6133" spans="1:5" x14ac:dyDescent="0.25">
      <c r="A6133" s="1">
        <v>43580</v>
      </c>
      <c r="B6133">
        <v>122437</v>
      </c>
      <c r="C6133" t="s">
        <v>189</v>
      </c>
      <c r="D6133" t="s">
        <v>5451</v>
      </c>
      <c r="E6133" s="2">
        <v>835.94</v>
      </c>
    </row>
    <row r="6134" spans="1:5" x14ac:dyDescent="0.25">
      <c r="A6134" s="1">
        <v>43580</v>
      </c>
      <c r="B6134">
        <v>122437</v>
      </c>
      <c r="C6134" t="s">
        <v>189</v>
      </c>
      <c r="D6134" t="s">
        <v>5452</v>
      </c>
      <c r="E6134" s="2">
        <v>299.85000000000002</v>
      </c>
    </row>
    <row r="6135" spans="1:5" x14ac:dyDescent="0.25">
      <c r="A6135" s="1">
        <v>43580</v>
      </c>
      <c r="B6135">
        <v>122437</v>
      </c>
      <c r="C6135" t="s">
        <v>189</v>
      </c>
      <c r="D6135" t="s">
        <v>5451</v>
      </c>
      <c r="E6135" s="2">
        <v>539.75</v>
      </c>
    </row>
    <row r="6136" spans="1:5" x14ac:dyDescent="0.25">
      <c r="A6136" s="1">
        <v>43580</v>
      </c>
      <c r="B6136">
        <v>122437</v>
      </c>
      <c r="C6136" t="s">
        <v>189</v>
      </c>
      <c r="D6136" t="s">
        <v>5450</v>
      </c>
      <c r="E6136" s="2">
        <v>66.930000000000007</v>
      </c>
    </row>
    <row r="6137" spans="1:5" x14ac:dyDescent="0.25">
      <c r="A6137" s="1">
        <v>43580</v>
      </c>
      <c r="B6137">
        <v>122437</v>
      </c>
      <c r="C6137" t="s">
        <v>189</v>
      </c>
      <c r="D6137" t="s">
        <v>5453</v>
      </c>
      <c r="E6137" s="2">
        <v>128.97</v>
      </c>
    </row>
    <row r="6138" spans="1:5" x14ac:dyDescent="0.25">
      <c r="A6138" s="1">
        <v>43580</v>
      </c>
      <c r="B6138">
        <v>122437</v>
      </c>
      <c r="C6138" t="s">
        <v>189</v>
      </c>
      <c r="D6138" t="s">
        <v>5454</v>
      </c>
      <c r="E6138" s="2">
        <v>42.88</v>
      </c>
    </row>
    <row r="6139" spans="1:5" x14ac:dyDescent="0.25">
      <c r="A6139" s="1">
        <v>43580</v>
      </c>
      <c r="B6139">
        <v>122437</v>
      </c>
      <c r="C6139" t="s">
        <v>189</v>
      </c>
      <c r="D6139" t="s">
        <v>5455</v>
      </c>
      <c r="E6139" s="2">
        <v>56.97</v>
      </c>
    </row>
    <row r="6140" spans="1:5" x14ac:dyDescent="0.25">
      <c r="A6140" s="1">
        <v>43580</v>
      </c>
      <c r="B6140">
        <v>122437</v>
      </c>
      <c r="C6140" t="s">
        <v>189</v>
      </c>
      <c r="D6140" t="s">
        <v>5454</v>
      </c>
      <c r="E6140" s="2">
        <v>19.989999999999998</v>
      </c>
    </row>
    <row r="6141" spans="1:5" x14ac:dyDescent="0.25">
      <c r="A6141" s="1">
        <v>43580</v>
      </c>
      <c r="B6141">
        <v>122437</v>
      </c>
      <c r="C6141" t="s">
        <v>189</v>
      </c>
      <c r="D6141" t="s">
        <v>5454</v>
      </c>
      <c r="E6141" s="2">
        <v>20.91</v>
      </c>
    </row>
    <row r="6142" spans="1:5" x14ac:dyDescent="0.25">
      <c r="A6142" s="1">
        <v>43580</v>
      </c>
      <c r="B6142">
        <v>122437</v>
      </c>
      <c r="C6142" t="s">
        <v>189</v>
      </c>
      <c r="D6142" t="s">
        <v>5456</v>
      </c>
      <c r="E6142" s="2">
        <v>27.49</v>
      </c>
    </row>
    <row r="6143" spans="1:5" x14ac:dyDescent="0.25">
      <c r="A6143" s="1">
        <v>43580</v>
      </c>
      <c r="B6143">
        <v>122437</v>
      </c>
      <c r="C6143" t="s">
        <v>189</v>
      </c>
      <c r="D6143" t="s">
        <v>5454</v>
      </c>
      <c r="E6143" s="2">
        <v>217.61</v>
      </c>
    </row>
    <row r="6144" spans="1:5" x14ac:dyDescent="0.25">
      <c r="A6144" s="1">
        <v>43580</v>
      </c>
      <c r="B6144">
        <v>122437</v>
      </c>
      <c r="C6144" t="s">
        <v>189</v>
      </c>
      <c r="D6144" t="s">
        <v>5457</v>
      </c>
      <c r="E6144" s="2">
        <v>58.7</v>
      </c>
    </row>
    <row r="6145" spans="1:5" x14ac:dyDescent="0.25">
      <c r="A6145" s="1">
        <v>43580</v>
      </c>
      <c r="B6145">
        <v>122437</v>
      </c>
      <c r="C6145" t="s">
        <v>189</v>
      </c>
      <c r="D6145" t="s">
        <v>5458</v>
      </c>
      <c r="E6145" s="2">
        <v>319.99</v>
      </c>
    </row>
    <row r="6146" spans="1:5" x14ac:dyDescent="0.25">
      <c r="A6146" s="1">
        <v>43580</v>
      </c>
      <c r="B6146">
        <v>122437</v>
      </c>
      <c r="C6146" t="s">
        <v>189</v>
      </c>
      <c r="D6146" t="s">
        <v>5459</v>
      </c>
      <c r="E6146" s="2">
        <v>43.98</v>
      </c>
    </row>
    <row r="6147" spans="1:5" x14ac:dyDescent="0.25">
      <c r="A6147" s="1">
        <v>43580</v>
      </c>
      <c r="B6147">
        <v>122437</v>
      </c>
      <c r="C6147" t="s">
        <v>189</v>
      </c>
      <c r="D6147" t="s">
        <v>5460</v>
      </c>
      <c r="E6147" s="2">
        <v>79.95</v>
      </c>
    </row>
    <row r="6148" spans="1:5" x14ac:dyDescent="0.25">
      <c r="A6148" s="1">
        <v>43580</v>
      </c>
      <c r="B6148">
        <v>122437</v>
      </c>
      <c r="C6148" t="s">
        <v>189</v>
      </c>
      <c r="D6148" t="s">
        <v>1047</v>
      </c>
      <c r="E6148" s="2">
        <v>194.1</v>
      </c>
    </row>
    <row r="6149" spans="1:5" x14ac:dyDescent="0.25">
      <c r="A6149" s="1">
        <v>43580</v>
      </c>
      <c r="B6149">
        <v>122437</v>
      </c>
      <c r="C6149" t="s">
        <v>189</v>
      </c>
      <c r="D6149" t="s">
        <v>5461</v>
      </c>
      <c r="E6149" s="2">
        <v>73.67</v>
      </c>
    </row>
    <row r="6150" spans="1:5" x14ac:dyDescent="0.25">
      <c r="A6150" s="1">
        <v>43580</v>
      </c>
      <c r="B6150">
        <v>122437</v>
      </c>
      <c r="C6150" t="s">
        <v>189</v>
      </c>
      <c r="D6150" t="s">
        <v>5462</v>
      </c>
      <c r="E6150" s="2">
        <v>867.75</v>
      </c>
    </row>
    <row r="6151" spans="1:5" x14ac:dyDescent="0.25">
      <c r="A6151" s="1">
        <v>43580</v>
      </c>
      <c r="B6151">
        <v>122437</v>
      </c>
      <c r="C6151" t="s">
        <v>189</v>
      </c>
      <c r="D6151" t="s">
        <v>5463</v>
      </c>
      <c r="E6151" s="2">
        <v>109.9</v>
      </c>
    </row>
    <row r="6152" spans="1:5" x14ac:dyDescent="0.25">
      <c r="A6152" s="1">
        <v>43580</v>
      </c>
      <c r="B6152">
        <v>122437</v>
      </c>
      <c r="C6152" t="s">
        <v>189</v>
      </c>
      <c r="D6152" t="s">
        <v>5442</v>
      </c>
      <c r="E6152" s="2">
        <v>166.5</v>
      </c>
    </row>
    <row r="6153" spans="1:5" x14ac:dyDescent="0.25">
      <c r="A6153" s="1">
        <v>43580</v>
      </c>
      <c r="B6153">
        <v>122437</v>
      </c>
      <c r="C6153" t="s">
        <v>189</v>
      </c>
      <c r="D6153" t="s">
        <v>5464</v>
      </c>
      <c r="E6153" s="2">
        <v>576</v>
      </c>
    </row>
    <row r="6154" spans="1:5" x14ac:dyDescent="0.25">
      <c r="A6154" s="1">
        <v>43580</v>
      </c>
      <c r="B6154">
        <v>122437</v>
      </c>
      <c r="C6154" t="s">
        <v>189</v>
      </c>
      <c r="D6154" t="s">
        <v>4677</v>
      </c>
      <c r="E6154" s="2">
        <v>291.75</v>
      </c>
    </row>
    <row r="6155" spans="1:5" x14ac:dyDescent="0.25">
      <c r="A6155" s="1">
        <v>43580</v>
      </c>
      <c r="B6155">
        <v>122437</v>
      </c>
      <c r="C6155" t="s">
        <v>189</v>
      </c>
      <c r="D6155" t="s">
        <v>1483</v>
      </c>
      <c r="E6155" s="2">
        <v>67.180000000000007</v>
      </c>
    </row>
    <row r="6156" spans="1:5" x14ac:dyDescent="0.25">
      <c r="A6156" s="1">
        <v>43580</v>
      </c>
      <c r="B6156">
        <v>122437</v>
      </c>
      <c r="C6156" t="s">
        <v>189</v>
      </c>
      <c r="D6156" t="s">
        <v>5029</v>
      </c>
      <c r="E6156" s="2">
        <v>124.32</v>
      </c>
    </row>
    <row r="6157" spans="1:5" x14ac:dyDescent="0.25">
      <c r="A6157" s="1">
        <v>43580</v>
      </c>
      <c r="B6157">
        <v>122437</v>
      </c>
      <c r="C6157" t="s">
        <v>189</v>
      </c>
      <c r="D6157" t="s">
        <v>5465</v>
      </c>
      <c r="E6157" s="2">
        <v>13</v>
      </c>
    </row>
    <row r="6158" spans="1:5" x14ac:dyDescent="0.25">
      <c r="A6158" s="1">
        <v>43580</v>
      </c>
      <c r="B6158">
        <v>122437</v>
      </c>
      <c r="C6158" t="s">
        <v>189</v>
      </c>
      <c r="D6158" t="s">
        <v>5466</v>
      </c>
      <c r="E6158" s="2">
        <f>17.6+17.71+34.58+43.2</f>
        <v>113.09</v>
      </c>
    </row>
    <row r="6159" spans="1:5" x14ac:dyDescent="0.25">
      <c r="A6159" s="1">
        <v>43580</v>
      </c>
      <c r="B6159">
        <v>122437</v>
      </c>
      <c r="C6159" t="s">
        <v>189</v>
      </c>
      <c r="D6159" t="s">
        <v>1028</v>
      </c>
      <c r="E6159" s="2">
        <v>264.5</v>
      </c>
    </row>
    <row r="6160" spans="1:5" x14ac:dyDescent="0.25">
      <c r="A6160" s="1">
        <v>43580</v>
      </c>
      <c r="B6160">
        <v>122437</v>
      </c>
      <c r="C6160" t="s">
        <v>189</v>
      </c>
      <c r="D6160" t="s">
        <v>5465</v>
      </c>
      <c r="E6160" s="2">
        <v>28.1</v>
      </c>
    </row>
    <row r="6161" spans="1:5" x14ac:dyDescent="0.25">
      <c r="A6161" s="1">
        <v>43580</v>
      </c>
      <c r="B6161">
        <v>122437</v>
      </c>
      <c r="C6161" t="s">
        <v>189</v>
      </c>
      <c r="D6161" t="s">
        <v>5467</v>
      </c>
      <c r="E6161" s="2">
        <f>33.98+10.98</f>
        <v>44.959999999999994</v>
      </c>
    </row>
    <row r="6162" spans="1:5" x14ac:dyDescent="0.25">
      <c r="A6162" s="1">
        <v>43580</v>
      </c>
      <c r="B6162">
        <v>122437</v>
      </c>
      <c r="C6162" t="s">
        <v>189</v>
      </c>
      <c r="D6162" t="s">
        <v>5462</v>
      </c>
      <c r="E6162" s="2">
        <v>591.57000000000005</v>
      </c>
    </row>
    <row r="6163" spans="1:5" x14ac:dyDescent="0.25">
      <c r="A6163" s="1">
        <v>43580</v>
      </c>
      <c r="B6163">
        <v>122437</v>
      </c>
      <c r="C6163" t="s">
        <v>189</v>
      </c>
      <c r="D6163" t="s">
        <v>2334</v>
      </c>
      <c r="E6163" s="2">
        <v>154.21</v>
      </c>
    </row>
    <row r="6164" spans="1:5" x14ac:dyDescent="0.25">
      <c r="A6164" s="1">
        <v>43580</v>
      </c>
      <c r="B6164">
        <v>122437</v>
      </c>
      <c r="C6164" t="s">
        <v>189</v>
      </c>
      <c r="D6164" t="s">
        <v>5468</v>
      </c>
      <c r="E6164" s="2">
        <v>413.79</v>
      </c>
    </row>
    <row r="6165" spans="1:5" x14ac:dyDescent="0.25">
      <c r="A6165" s="1">
        <v>43580</v>
      </c>
      <c r="B6165">
        <v>122437</v>
      </c>
      <c r="C6165" t="s">
        <v>189</v>
      </c>
      <c r="D6165" t="s">
        <v>4677</v>
      </c>
      <c r="E6165" s="2">
        <v>407.58</v>
      </c>
    </row>
    <row r="6166" spans="1:5" x14ac:dyDescent="0.25">
      <c r="A6166" s="1">
        <v>43580</v>
      </c>
      <c r="B6166">
        <v>122437</v>
      </c>
      <c r="C6166" t="s">
        <v>189</v>
      </c>
      <c r="D6166" t="s">
        <v>5469</v>
      </c>
      <c r="E6166" s="2">
        <v>453.13</v>
      </c>
    </row>
    <row r="6167" spans="1:5" x14ac:dyDescent="0.25">
      <c r="A6167" s="1">
        <v>43580</v>
      </c>
      <c r="B6167">
        <v>122437</v>
      </c>
      <c r="C6167" t="s">
        <v>189</v>
      </c>
      <c r="D6167" t="s">
        <v>2312</v>
      </c>
      <c r="E6167" s="2">
        <v>199.49</v>
      </c>
    </row>
    <row r="6168" spans="1:5" x14ac:dyDescent="0.25">
      <c r="A6168" s="1">
        <v>43580</v>
      </c>
      <c r="B6168">
        <v>122437</v>
      </c>
      <c r="C6168" t="s">
        <v>189</v>
      </c>
      <c r="D6168" t="s">
        <v>5466</v>
      </c>
      <c r="E6168" s="2">
        <v>375.03</v>
      </c>
    </row>
    <row r="6169" spans="1:5" x14ac:dyDescent="0.25">
      <c r="A6169" s="1">
        <v>43580</v>
      </c>
      <c r="B6169">
        <v>122437</v>
      </c>
      <c r="C6169" t="s">
        <v>189</v>
      </c>
      <c r="D6169" t="s">
        <v>5460</v>
      </c>
      <c r="E6169" s="2">
        <v>229.75</v>
      </c>
    </row>
    <row r="6170" spans="1:5" x14ac:dyDescent="0.25">
      <c r="A6170" s="1">
        <v>43580</v>
      </c>
      <c r="B6170">
        <v>122437</v>
      </c>
      <c r="C6170" t="s">
        <v>189</v>
      </c>
      <c r="D6170" t="s">
        <v>5465</v>
      </c>
      <c r="E6170" s="2">
        <v>478.23</v>
      </c>
    </row>
    <row r="6171" spans="1:5" x14ac:dyDescent="0.25">
      <c r="A6171" s="1">
        <v>43580</v>
      </c>
      <c r="B6171">
        <v>122437</v>
      </c>
      <c r="C6171" t="s">
        <v>189</v>
      </c>
      <c r="D6171" t="s">
        <v>5470</v>
      </c>
      <c r="E6171" s="2">
        <v>28.17</v>
      </c>
    </row>
    <row r="6172" spans="1:5" x14ac:dyDescent="0.25">
      <c r="A6172" s="1">
        <v>43580</v>
      </c>
      <c r="B6172">
        <v>122437</v>
      </c>
      <c r="C6172" t="s">
        <v>189</v>
      </c>
      <c r="D6172" t="s">
        <v>5471</v>
      </c>
      <c r="E6172" s="2">
        <v>293.89</v>
      </c>
    </row>
    <row r="6173" spans="1:5" x14ac:dyDescent="0.25">
      <c r="A6173" s="1">
        <v>43580</v>
      </c>
      <c r="B6173">
        <v>122437</v>
      </c>
      <c r="C6173" t="s">
        <v>189</v>
      </c>
      <c r="D6173" t="s">
        <v>5472</v>
      </c>
      <c r="E6173" s="2">
        <v>298.32</v>
      </c>
    </row>
    <row r="6174" spans="1:5" x14ac:dyDescent="0.25">
      <c r="A6174" s="1">
        <v>43580</v>
      </c>
      <c r="B6174">
        <v>122437</v>
      </c>
      <c r="C6174" t="s">
        <v>189</v>
      </c>
      <c r="D6174" t="s">
        <v>5473</v>
      </c>
      <c r="E6174" s="2">
        <v>19.5</v>
      </c>
    </row>
    <row r="6175" spans="1:5" x14ac:dyDescent="0.25">
      <c r="A6175" s="1">
        <v>43580</v>
      </c>
      <c r="B6175">
        <v>122437</v>
      </c>
      <c r="C6175" t="s">
        <v>189</v>
      </c>
      <c r="D6175" t="s">
        <v>5474</v>
      </c>
      <c r="E6175" s="2">
        <v>14.98</v>
      </c>
    </row>
    <row r="6176" spans="1:5" x14ac:dyDescent="0.25">
      <c r="A6176" s="1">
        <v>43580</v>
      </c>
      <c r="B6176">
        <v>122437</v>
      </c>
      <c r="C6176" t="s">
        <v>189</v>
      </c>
      <c r="D6176" t="s">
        <v>3917</v>
      </c>
      <c r="E6176" s="2">
        <v>96.56</v>
      </c>
    </row>
    <row r="6177" spans="1:5" x14ac:dyDescent="0.25">
      <c r="A6177" s="1">
        <v>43580</v>
      </c>
      <c r="B6177">
        <v>122438</v>
      </c>
      <c r="C6177" t="s">
        <v>235</v>
      </c>
      <c r="D6177" t="s">
        <v>5475</v>
      </c>
      <c r="E6177" s="2">
        <v>380</v>
      </c>
    </row>
    <row r="6178" spans="1:5" x14ac:dyDescent="0.25">
      <c r="A6178" s="1">
        <v>43580</v>
      </c>
      <c r="B6178">
        <v>122439</v>
      </c>
      <c r="C6178" t="s">
        <v>22</v>
      </c>
      <c r="D6178" t="s">
        <v>5476</v>
      </c>
      <c r="E6178" s="2">
        <v>38.369999999999997</v>
      </c>
    </row>
    <row r="6179" spans="1:5" x14ac:dyDescent="0.25">
      <c r="A6179" s="1">
        <v>43580</v>
      </c>
      <c r="B6179">
        <v>122440</v>
      </c>
      <c r="C6179" t="s">
        <v>5477</v>
      </c>
      <c r="D6179" t="s">
        <v>5478</v>
      </c>
      <c r="E6179" s="2">
        <v>625.45000000000005</v>
      </c>
    </row>
    <row r="6180" spans="1:5" x14ac:dyDescent="0.25">
      <c r="A6180" s="1">
        <v>43580</v>
      </c>
      <c r="B6180">
        <v>122441</v>
      </c>
      <c r="C6180" t="s">
        <v>343</v>
      </c>
      <c r="D6180" t="s">
        <v>5479</v>
      </c>
      <c r="E6180" s="2">
        <v>371.9</v>
      </c>
    </row>
    <row r="6181" spans="1:5" x14ac:dyDescent="0.25">
      <c r="A6181" s="1">
        <v>43580</v>
      </c>
      <c r="B6181">
        <v>122442</v>
      </c>
      <c r="C6181" t="s">
        <v>1988</v>
      </c>
      <c r="D6181" t="s">
        <v>5480</v>
      </c>
      <c r="E6181" s="2">
        <v>2000</v>
      </c>
    </row>
    <row r="6182" spans="1:5" x14ac:dyDescent="0.25">
      <c r="A6182" s="1">
        <v>43580</v>
      </c>
      <c r="B6182">
        <v>122443</v>
      </c>
      <c r="C6182" t="s">
        <v>1156</v>
      </c>
      <c r="D6182" t="s">
        <v>5481</v>
      </c>
      <c r="E6182" s="2">
        <v>166.72</v>
      </c>
    </row>
    <row r="6183" spans="1:5" x14ac:dyDescent="0.25">
      <c r="A6183" s="1">
        <v>43580</v>
      </c>
      <c r="B6183">
        <v>122443</v>
      </c>
      <c r="C6183" t="s">
        <v>1156</v>
      </c>
      <c r="D6183" t="s">
        <v>5482</v>
      </c>
      <c r="E6183" s="2">
        <v>618.17999999999995</v>
      </c>
    </row>
    <row r="6184" spans="1:5" x14ac:dyDescent="0.25">
      <c r="A6184" s="1">
        <v>43580</v>
      </c>
      <c r="B6184">
        <v>122444</v>
      </c>
      <c r="C6184" t="s">
        <v>5483</v>
      </c>
      <c r="D6184" t="s">
        <v>5484</v>
      </c>
      <c r="E6184" s="2">
        <f>256+16</f>
        <v>272</v>
      </c>
    </row>
    <row r="6185" spans="1:5" x14ac:dyDescent="0.25">
      <c r="A6185" s="1">
        <v>43580</v>
      </c>
      <c r="B6185">
        <v>122445</v>
      </c>
      <c r="C6185" t="s">
        <v>662</v>
      </c>
      <c r="D6185" t="s">
        <v>5485</v>
      </c>
      <c r="E6185" s="2">
        <v>122.55</v>
      </c>
    </row>
    <row r="6186" spans="1:5" x14ac:dyDescent="0.25">
      <c r="A6186" s="1">
        <v>43580</v>
      </c>
      <c r="B6186">
        <v>122446</v>
      </c>
      <c r="C6186" t="s">
        <v>243</v>
      </c>
      <c r="D6186" t="s">
        <v>5486</v>
      </c>
      <c r="E6186" s="2">
        <v>3.83</v>
      </c>
    </row>
    <row r="6187" spans="1:5" x14ac:dyDescent="0.25">
      <c r="A6187" s="1">
        <v>43580</v>
      </c>
      <c r="B6187">
        <v>122446</v>
      </c>
      <c r="C6187" t="s">
        <v>243</v>
      </c>
      <c r="D6187" t="s">
        <v>5482</v>
      </c>
      <c r="E6187" s="2">
        <v>733.6</v>
      </c>
    </row>
    <row r="6188" spans="1:5" x14ac:dyDescent="0.25">
      <c r="A6188" s="1">
        <v>43580</v>
      </c>
      <c r="B6188">
        <v>122447</v>
      </c>
      <c r="C6188" t="s">
        <v>4388</v>
      </c>
      <c r="D6188" t="s">
        <v>5487</v>
      </c>
      <c r="E6188" s="2">
        <v>75</v>
      </c>
    </row>
    <row r="6189" spans="1:5" x14ac:dyDescent="0.25">
      <c r="A6189" s="1">
        <v>43580</v>
      </c>
      <c r="B6189">
        <v>122448</v>
      </c>
      <c r="C6189" t="s">
        <v>247</v>
      </c>
      <c r="D6189" t="s">
        <v>424</v>
      </c>
      <c r="E6189" s="2">
        <f>85.3+2136.47+9255.42+1449.53</f>
        <v>12926.720000000001</v>
      </c>
    </row>
    <row r="6190" spans="1:5" x14ac:dyDescent="0.25">
      <c r="A6190" s="1">
        <v>43580</v>
      </c>
      <c r="B6190">
        <v>122449</v>
      </c>
      <c r="C6190" t="s">
        <v>5488</v>
      </c>
      <c r="D6190" t="s">
        <v>5294</v>
      </c>
      <c r="E6190" s="2">
        <v>60</v>
      </c>
    </row>
    <row r="6191" spans="1:5" x14ac:dyDescent="0.25">
      <c r="A6191" s="1">
        <v>43580</v>
      </c>
      <c r="B6191">
        <v>122450</v>
      </c>
      <c r="C6191" t="s">
        <v>3704</v>
      </c>
      <c r="D6191" t="s">
        <v>5489</v>
      </c>
      <c r="E6191" s="2">
        <v>5.81</v>
      </c>
    </row>
    <row r="6192" spans="1:5" x14ac:dyDescent="0.25">
      <c r="A6192" s="1">
        <v>43580</v>
      </c>
      <c r="B6192">
        <v>122451</v>
      </c>
      <c r="C6192" t="s">
        <v>68</v>
      </c>
      <c r="D6192" t="s">
        <v>2259</v>
      </c>
      <c r="E6192" s="2">
        <v>0</v>
      </c>
    </row>
    <row r="6193" spans="1:5" x14ac:dyDescent="0.25">
      <c r="A6193" s="1">
        <v>43580</v>
      </c>
      <c r="B6193">
        <v>122452</v>
      </c>
      <c r="C6193" t="s">
        <v>842</v>
      </c>
      <c r="D6193" t="s">
        <v>5490</v>
      </c>
      <c r="E6193" s="2">
        <v>257.64999999999998</v>
      </c>
    </row>
    <row r="6194" spans="1:5" x14ac:dyDescent="0.25">
      <c r="A6194" s="1">
        <v>43580</v>
      </c>
      <c r="B6194">
        <v>122453</v>
      </c>
      <c r="C6194" t="s">
        <v>681</v>
      </c>
      <c r="D6194" t="s">
        <v>5491</v>
      </c>
      <c r="E6194" s="2">
        <v>114.77</v>
      </c>
    </row>
    <row r="6195" spans="1:5" x14ac:dyDescent="0.25">
      <c r="A6195" s="1">
        <v>43580</v>
      </c>
      <c r="B6195">
        <v>122454</v>
      </c>
      <c r="C6195" t="s">
        <v>5398</v>
      </c>
      <c r="D6195" t="s">
        <v>5492</v>
      </c>
      <c r="E6195" s="2">
        <v>2579</v>
      </c>
    </row>
    <row r="6196" spans="1:5" x14ac:dyDescent="0.25">
      <c r="A6196" s="1">
        <v>43580</v>
      </c>
      <c r="B6196">
        <v>122455</v>
      </c>
      <c r="C6196" t="s">
        <v>5493</v>
      </c>
      <c r="D6196" t="s">
        <v>5494</v>
      </c>
      <c r="E6196" s="2">
        <v>5068</v>
      </c>
    </row>
    <row r="6197" spans="1:5" x14ac:dyDescent="0.25">
      <c r="A6197" s="1">
        <v>43580</v>
      </c>
      <c r="B6197">
        <v>122456</v>
      </c>
      <c r="C6197" t="s">
        <v>5495</v>
      </c>
      <c r="D6197" t="s">
        <v>5496</v>
      </c>
      <c r="E6197" s="2">
        <v>7900</v>
      </c>
    </row>
    <row r="6198" spans="1:5" x14ac:dyDescent="0.25">
      <c r="A6198" s="1">
        <v>43580</v>
      </c>
      <c r="B6198">
        <v>122457</v>
      </c>
      <c r="C6198" t="s">
        <v>264</v>
      </c>
      <c r="D6198" t="s">
        <v>5497</v>
      </c>
      <c r="E6198" s="2">
        <v>233.86</v>
      </c>
    </row>
    <row r="6199" spans="1:5" x14ac:dyDescent="0.25">
      <c r="A6199" s="1">
        <v>43580</v>
      </c>
      <c r="B6199">
        <v>122458</v>
      </c>
      <c r="C6199" t="s">
        <v>44</v>
      </c>
      <c r="D6199" t="s">
        <v>5498</v>
      </c>
      <c r="E6199" s="2">
        <v>289.77999999999997</v>
      </c>
    </row>
    <row r="6200" spans="1:5" x14ac:dyDescent="0.25">
      <c r="A6200" s="1">
        <v>43580</v>
      </c>
      <c r="B6200">
        <v>122459</v>
      </c>
      <c r="C6200" t="s">
        <v>274</v>
      </c>
      <c r="D6200" t="s">
        <v>2916</v>
      </c>
      <c r="E6200" s="2">
        <v>350.26</v>
      </c>
    </row>
    <row r="6201" spans="1:5" x14ac:dyDescent="0.25">
      <c r="A6201" s="1">
        <v>43580</v>
      </c>
      <c r="B6201">
        <v>122459</v>
      </c>
      <c r="C6201" t="s">
        <v>274</v>
      </c>
      <c r="D6201" t="s">
        <v>5499</v>
      </c>
      <c r="E6201" s="2">
        <v>350.26</v>
      </c>
    </row>
    <row r="6202" spans="1:5" x14ac:dyDescent="0.25">
      <c r="A6202" s="1">
        <v>43580</v>
      </c>
      <c r="B6202">
        <v>122460</v>
      </c>
      <c r="C6202" t="s">
        <v>714</v>
      </c>
      <c r="D6202" t="s">
        <v>5500</v>
      </c>
      <c r="E6202" s="2">
        <v>621.69000000000005</v>
      </c>
    </row>
    <row r="6203" spans="1:5" x14ac:dyDescent="0.25">
      <c r="A6203" s="1">
        <v>43580</v>
      </c>
      <c r="B6203">
        <v>122461</v>
      </c>
      <c r="C6203" t="s">
        <v>1823</v>
      </c>
      <c r="D6203" t="s">
        <v>5501</v>
      </c>
      <c r="E6203" s="2">
        <v>162.78</v>
      </c>
    </row>
    <row r="6204" spans="1:5" x14ac:dyDescent="0.25">
      <c r="A6204" s="1">
        <v>43580</v>
      </c>
      <c r="B6204">
        <v>122462</v>
      </c>
      <c r="C6204" t="s">
        <v>5502</v>
      </c>
      <c r="D6204" t="s">
        <v>5503</v>
      </c>
      <c r="E6204" s="2">
        <v>1444</v>
      </c>
    </row>
    <row r="6205" spans="1:5" x14ac:dyDescent="0.25">
      <c r="A6205" s="1">
        <v>43580</v>
      </c>
      <c r="B6205">
        <v>122463</v>
      </c>
      <c r="C6205" t="s">
        <v>618</v>
      </c>
      <c r="D6205" t="s">
        <v>5504</v>
      </c>
      <c r="E6205" s="2">
        <v>80</v>
      </c>
    </row>
    <row r="6206" spans="1:5" x14ac:dyDescent="0.25">
      <c r="A6206" s="1">
        <v>43580</v>
      </c>
      <c r="B6206">
        <v>122464</v>
      </c>
      <c r="C6206" t="s">
        <v>47</v>
      </c>
      <c r="D6206" t="s">
        <v>5505</v>
      </c>
      <c r="E6206" s="2">
        <v>85.84</v>
      </c>
    </row>
    <row r="6207" spans="1:5" x14ac:dyDescent="0.25">
      <c r="A6207" s="1">
        <v>43580</v>
      </c>
      <c r="B6207">
        <v>122465</v>
      </c>
      <c r="C6207" t="s">
        <v>74</v>
      </c>
      <c r="D6207" t="s">
        <v>5506</v>
      </c>
      <c r="E6207" s="2">
        <v>56.97</v>
      </c>
    </row>
    <row r="6208" spans="1:5" x14ac:dyDescent="0.25">
      <c r="A6208" s="1">
        <v>43580</v>
      </c>
      <c r="B6208">
        <v>122465</v>
      </c>
      <c r="C6208" t="s">
        <v>74</v>
      </c>
      <c r="D6208" t="s">
        <v>1017</v>
      </c>
      <c r="E6208" s="2">
        <v>448.5</v>
      </c>
    </row>
    <row r="6209" spans="1:5" x14ac:dyDescent="0.25">
      <c r="A6209" s="1">
        <v>43580</v>
      </c>
      <c r="B6209">
        <v>122466</v>
      </c>
      <c r="C6209" t="s">
        <v>336</v>
      </c>
      <c r="D6209" t="s">
        <v>5507</v>
      </c>
      <c r="E6209" s="2">
        <v>8</v>
      </c>
    </row>
    <row r="6210" spans="1:5" x14ac:dyDescent="0.25">
      <c r="A6210" s="1">
        <v>43580</v>
      </c>
      <c r="B6210">
        <v>122466</v>
      </c>
      <c r="C6210" t="s">
        <v>336</v>
      </c>
      <c r="D6210" t="s">
        <v>5508</v>
      </c>
      <c r="E6210" s="2">
        <v>150</v>
      </c>
    </row>
    <row r="6211" spans="1:5" x14ac:dyDescent="0.25">
      <c r="A6211" s="1">
        <v>43580</v>
      </c>
      <c r="B6211">
        <v>122467</v>
      </c>
      <c r="C6211" t="s">
        <v>12</v>
      </c>
      <c r="D6211" t="s">
        <v>2784</v>
      </c>
      <c r="E6211" s="2">
        <v>29.19</v>
      </c>
    </row>
    <row r="6212" spans="1:5" x14ac:dyDescent="0.25">
      <c r="A6212" s="1">
        <v>43580</v>
      </c>
      <c r="B6212">
        <v>122468</v>
      </c>
      <c r="C6212" t="s">
        <v>205</v>
      </c>
      <c r="D6212" t="s">
        <v>5509</v>
      </c>
      <c r="E6212" s="2">
        <v>9.99</v>
      </c>
    </row>
    <row r="6213" spans="1:5" x14ac:dyDescent="0.25">
      <c r="A6213" s="1">
        <v>43580</v>
      </c>
      <c r="B6213">
        <v>122468</v>
      </c>
      <c r="C6213" t="s">
        <v>205</v>
      </c>
      <c r="D6213" t="s">
        <v>5509</v>
      </c>
      <c r="E6213" s="2">
        <v>9.99</v>
      </c>
    </row>
    <row r="6214" spans="1:5" x14ac:dyDescent="0.25">
      <c r="A6214" s="1">
        <v>43580</v>
      </c>
      <c r="B6214">
        <v>122469</v>
      </c>
      <c r="C6214" t="s">
        <v>5510</v>
      </c>
      <c r="D6214" t="s">
        <v>5511</v>
      </c>
      <c r="E6214" s="2">
        <v>165</v>
      </c>
    </row>
    <row r="6215" spans="1:5" x14ac:dyDescent="0.25">
      <c r="A6215" s="1">
        <v>43580</v>
      </c>
      <c r="B6215">
        <v>122470</v>
      </c>
      <c r="C6215" t="s">
        <v>50</v>
      </c>
      <c r="D6215" t="s">
        <v>2047</v>
      </c>
      <c r="E6215" s="2">
        <v>2792.5</v>
      </c>
    </row>
    <row r="6216" spans="1:5" x14ac:dyDescent="0.25">
      <c r="A6216" s="1">
        <v>43580</v>
      </c>
      <c r="B6216">
        <v>122471</v>
      </c>
      <c r="C6216" t="s">
        <v>5512</v>
      </c>
      <c r="D6216" t="s">
        <v>5513</v>
      </c>
      <c r="E6216" s="2">
        <f>13900+1268</f>
        <v>15168</v>
      </c>
    </row>
    <row r="6217" spans="1:5" x14ac:dyDescent="0.25">
      <c r="A6217" s="1">
        <v>43580</v>
      </c>
      <c r="B6217">
        <v>122472</v>
      </c>
      <c r="C6217" t="s">
        <v>80</v>
      </c>
      <c r="D6217" t="s">
        <v>1039</v>
      </c>
      <c r="E6217" s="2">
        <f>8.49+64.16</f>
        <v>72.649999999999991</v>
      </c>
    </row>
    <row r="6218" spans="1:5" x14ac:dyDescent="0.25">
      <c r="A6218" s="1">
        <v>43580</v>
      </c>
      <c r="B6218">
        <v>122472</v>
      </c>
      <c r="C6218" t="s">
        <v>80</v>
      </c>
      <c r="D6218" t="s">
        <v>3754</v>
      </c>
      <c r="E6218" s="2">
        <f>57.12+5.98</f>
        <v>63.099999999999994</v>
      </c>
    </row>
    <row r="6219" spans="1:5" x14ac:dyDescent="0.25">
      <c r="A6219" s="1">
        <v>43580</v>
      </c>
      <c r="B6219">
        <v>122473</v>
      </c>
      <c r="C6219" t="s">
        <v>629</v>
      </c>
      <c r="D6219" t="s">
        <v>5514</v>
      </c>
      <c r="E6219" s="2">
        <v>31.29</v>
      </c>
    </row>
    <row r="6220" spans="1:5" x14ac:dyDescent="0.25">
      <c r="A6220" s="1">
        <v>43580</v>
      </c>
      <c r="B6220">
        <v>122474</v>
      </c>
      <c r="C6220" t="s">
        <v>5515</v>
      </c>
      <c r="D6220" t="s">
        <v>5516</v>
      </c>
      <c r="E6220" s="2">
        <f>54755+114086</f>
        <v>168841</v>
      </c>
    </row>
    <row r="6221" spans="1:5" x14ac:dyDescent="0.25">
      <c r="A6221" s="1">
        <v>43580</v>
      </c>
      <c r="B6221">
        <v>122475</v>
      </c>
      <c r="C6221" t="s">
        <v>760</v>
      </c>
      <c r="D6221" t="s">
        <v>5517</v>
      </c>
      <c r="E6221" s="2">
        <v>660.28</v>
      </c>
    </row>
    <row r="6222" spans="1:5" x14ac:dyDescent="0.25">
      <c r="A6222" s="1">
        <v>43580</v>
      </c>
      <c r="B6222">
        <v>122475</v>
      </c>
      <c r="C6222" t="s">
        <v>760</v>
      </c>
      <c r="D6222" t="s">
        <v>5518</v>
      </c>
      <c r="E6222" s="2">
        <v>871.56</v>
      </c>
    </row>
    <row r="6223" spans="1:5" x14ac:dyDescent="0.25">
      <c r="A6223" s="1">
        <v>43580</v>
      </c>
      <c r="B6223">
        <v>122477</v>
      </c>
      <c r="C6223" t="s">
        <v>158</v>
      </c>
      <c r="D6223" t="s">
        <v>5519</v>
      </c>
      <c r="E6223" s="2">
        <v>127.26</v>
      </c>
    </row>
    <row r="6224" spans="1:5" x14ac:dyDescent="0.25">
      <c r="A6224" s="1">
        <v>43580</v>
      </c>
      <c r="B6224">
        <v>122477</v>
      </c>
      <c r="C6224" t="s">
        <v>158</v>
      </c>
      <c r="D6224" t="s">
        <v>5520</v>
      </c>
      <c r="E6224" s="2">
        <f>176.72+60.49</f>
        <v>237.21</v>
      </c>
    </row>
    <row r="6225" spans="1:5" x14ac:dyDescent="0.25">
      <c r="A6225" s="1">
        <v>43580</v>
      </c>
      <c r="B6225">
        <v>122478</v>
      </c>
      <c r="C6225" t="s">
        <v>309</v>
      </c>
      <c r="D6225" t="s">
        <v>5521</v>
      </c>
      <c r="E6225" s="2">
        <v>220</v>
      </c>
    </row>
    <row r="6226" spans="1:5" x14ac:dyDescent="0.25">
      <c r="A6226" s="1">
        <v>43580</v>
      </c>
      <c r="B6226">
        <v>122479</v>
      </c>
      <c r="C6226" t="s">
        <v>213</v>
      </c>
      <c r="D6226" t="s">
        <v>4124</v>
      </c>
      <c r="E6226" s="2">
        <v>34.950000000000003</v>
      </c>
    </row>
    <row r="6227" spans="1:5" x14ac:dyDescent="0.25">
      <c r="A6227" s="1">
        <v>43580</v>
      </c>
      <c r="B6227">
        <v>122482</v>
      </c>
      <c r="C6227" t="s">
        <v>1516</v>
      </c>
      <c r="D6227" t="s">
        <v>5522</v>
      </c>
      <c r="E6227" s="2">
        <v>72</v>
      </c>
    </row>
    <row r="6228" spans="1:5" x14ac:dyDescent="0.25">
      <c r="A6228" s="1">
        <v>43580</v>
      </c>
      <c r="B6228">
        <v>122482</v>
      </c>
      <c r="C6228" t="s">
        <v>1516</v>
      </c>
      <c r="D6228" t="s">
        <v>5523</v>
      </c>
      <c r="E6228" s="2">
        <f>144*4</f>
        <v>576</v>
      </c>
    </row>
    <row r="6229" spans="1:5" x14ac:dyDescent="0.25">
      <c r="A6229" s="1">
        <v>43580</v>
      </c>
      <c r="B6229">
        <v>122482</v>
      </c>
      <c r="C6229" t="s">
        <v>1516</v>
      </c>
      <c r="D6229" t="s">
        <v>5524</v>
      </c>
      <c r="E6229" s="2">
        <v>780</v>
      </c>
    </row>
    <row r="6230" spans="1:5" x14ac:dyDescent="0.25">
      <c r="A6230" s="1">
        <v>43580</v>
      </c>
      <c r="B6230">
        <v>122482</v>
      </c>
      <c r="C6230" t="s">
        <v>1516</v>
      </c>
      <c r="D6230" t="s">
        <v>5522</v>
      </c>
      <c r="E6230" s="2">
        <v>72</v>
      </c>
    </row>
    <row r="6231" spans="1:5" x14ac:dyDescent="0.25">
      <c r="A6231" s="1">
        <v>43580</v>
      </c>
      <c r="B6231">
        <v>122482</v>
      </c>
      <c r="C6231" t="s">
        <v>1516</v>
      </c>
      <c r="D6231" t="s">
        <v>5525</v>
      </c>
      <c r="E6231" s="2">
        <v>72</v>
      </c>
    </row>
    <row r="6232" spans="1:5" x14ac:dyDescent="0.25">
      <c r="A6232" s="1">
        <v>43580</v>
      </c>
      <c r="B6232">
        <v>122483</v>
      </c>
      <c r="C6232" t="s">
        <v>319</v>
      </c>
      <c r="D6232" t="s">
        <v>1269</v>
      </c>
      <c r="E6232" s="2">
        <v>130</v>
      </c>
    </row>
    <row r="6233" spans="1:5" x14ac:dyDescent="0.25">
      <c r="A6233" s="1">
        <v>43580</v>
      </c>
      <c r="B6233">
        <v>122484</v>
      </c>
      <c r="C6233" t="s">
        <v>2968</v>
      </c>
      <c r="D6233" t="s">
        <v>5526</v>
      </c>
      <c r="E6233" s="2">
        <v>166.25</v>
      </c>
    </row>
    <row r="6234" spans="1:5" x14ac:dyDescent="0.25">
      <c r="A6234" s="1">
        <v>43580</v>
      </c>
      <c r="B6234">
        <v>122485</v>
      </c>
      <c r="C6234" t="s">
        <v>320</v>
      </c>
      <c r="D6234" t="s">
        <v>5527</v>
      </c>
      <c r="E6234" s="2">
        <v>20.56</v>
      </c>
    </row>
    <row r="6235" spans="1:5" x14ac:dyDescent="0.25">
      <c r="A6235" s="1">
        <v>43580</v>
      </c>
      <c r="B6235">
        <v>122486</v>
      </c>
      <c r="C6235" t="s">
        <v>5528</v>
      </c>
      <c r="D6235" t="s">
        <v>5529</v>
      </c>
      <c r="E6235" s="2">
        <v>300</v>
      </c>
    </row>
    <row r="6236" spans="1:5" x14ac:dyDescent="0.25">
      <c r="A6236" s="1">
        <v>43580</v>
      </c>
      <c r="B6236">
        <v>122487</v>
      </c>
      <c r="C6236" t="s">
        <v>366</v>
      </c>
      <c r="D6236" t="s">
        <v>5530</v>
      </c>
      <c r="E6236" s="2">
        <v>50</v>
      </c>
    </row>
    <row r="6237" spans="1:5" x14ac:dyDescent="0.25">
      <c r="A6237" s="1">
        <v>43580</v>
      </c>
      <c r="B6237">
        <v>122488</v>
      </c>
      <c r="C6237" t="s">
        <v>3259</v>
      </c>
      <c r="D6237" t="s">
        <v>5531</v>
      </c>
      <c r="E6237" s="2">
        <v>120</v>
      </c>
    </row>
    <row r="6238" spans="1:5" x14ac:dyDescent="0.25">
      <c r="A6238" s="1">
        <v>43580</v>
      </c>
      <c r="B6238">
        <v>122489</v>
      </c>
      <c r="C6238" t="s">
        <v>88</v>
      </c>
      <c r="D6238" t="s">
        <v>5532</v>
      </c>
      <c r="E6238" s="2">
        <v>285</v>
      </c>
    </row>
    <row r="6239" spans="1:5" x14ac:dyDescent="0.25">
      <c r="A6239" s="1">
        <v>43580</v>
      </c>
      <c r="B6239">
        <v>122490</v>
      </c>
      <c r="C6239" t="s">
        <v>5533</v>
      </c>
      <c r="D6239" t="s">
        <v>5534</v>
      </c>
      <c r="E6239" s="2">
        <v>335.8</v>
      </c>
    </row>
    <row r="6240" spans="1:5" x14ac:dyDescent="0.25">
      <c r="A6240" s="1">
        <v>43580</v>
      </c>
      <c r="B6240">
        <v>122491</v>
      </c>
      <c r="C6240" t="s">
        <v>387</v>
      </c>
      <c r="D6240" t="s">
        <v>5535</v>
      </c>
      <c r="E6240" s="2">
        <v>190.38</v>
      </c>
    </row>
    <row r="6241" spans="1:5" x14ac:dyDescent="0.25">
      <c r="A6241" s="1">
        <v>43580</v>
      </c>
      <c r="B6241">
        <v>122495</v>
      </c>
      <c r="C6241" t="s">
        <v>222</v>
      </c>
      <c r="D6241" t="s">
        <v>5536</v>
      </c>
      <c r="E6241" s="2">
        <v>52.73</v>
      </c>
    </row>
    <row r="6242" spans="1:5" x14ac:dyDescent="0.25">
      <c r="A6242" s="1">
        <v>43580</v>
      </c>
      <c r="B6242">
        <v>122495</v>
      </c>
      <c r="C6242" t="s">
        <v>222</v>
      </c>
      <c r="D6242" t="s">
        <v>5537</v>
      </c>
      <c r="E6242" s="2">
        <v>129.03</v>
      </c>
    </row>
    <row r="6243" spans="1:5" x14ac:dyDescent="0.25">
      <c r="A6243" s="1">
        <v>43580</v>
      </c>
      <c r="B6243">
        <v>122495</v>
      </c>
      <c r="C6243" t="s">
        <v>222</v>
      </c>
      <c r="D6243" t="s">
        <v>5344</v>
      </c>
      <c r="E6243" s="2">
        <v>107.68</v>
      </c>
    </row>
    <row r="6244" spans="1:5" x14ac:dyDescent="0.25">
      <c r="A6244" s="1">
        <v>43580</v>
      </c>
      <c r="B6244">
        <v>122495</v>
      </c>
      <c r="C6244" t="s">
        <v>222</v>
      </c>
      <c r="D6244" t="s">
        <v>3166</v>
      </c>
      <c r="E6244" s="2">
        <v>84.62</v>
      </c>
    </row>
    <row r="6245" spans="1:5" x14ac:dyDescent="0.25">
      <c r="A6245" s="1">
        <v>43580</v>
      </c>
      <c r="B6245">
        <v>122495</v>
      </c>
      <c r="C6245" t="s">
        <v>222</v>
      </c>
      <c r="D6245" t="s">
        <v>5538</v>
      </c>
      <c r="E6245" s="2">
        <v>133.43</v>
      </c>
    </row>
    <row r="6246" spans="1:5" x14ac:dyDescent="0.25">
      <c r="A6246" s="1">
        <v>43580</v>
      </c>
      <c r="B6246">
        <v>122495</v>
      </c>
      <c r="C6246" t="s">
        <v>222</v>
      </c>
      <c r="D6246" t="s">
        <v>5539</v>
      </c>
      <c r="E6246" s="2">
        <v>23.46</v>
      </c>
    </row>
    <row r="6247" spans="1:5" x14ac:dyDescent="0.25">
      <c r="A6247" s="1">
        <v>43580</v>
      </c>
      <c r="B6247">
        <v>122495</v>
      </c>
      <c r="C6247" t="s">
        <v>222</v>
      </c>
      <c r="D6247" t="s">
        <v>5540</v>
      </c>
      <c r="E6247" s="2">
        <v>261.94</v>
      </c>
    </row>
    <row r="6248" spans="1:5" x14ac:dyDescent="0.25">
      <c r="A6248" s="1">
        <v>43580</v>
      </c>
      <c r="B6248">
        <v>122495</v>
      </c>
      <c r="C6248" t="s">
        <v>222</v>
      </c>
      <c r="D6248" t="s">
        <v>5541</v>
      </c>
      <c r="E6248" s="2">
        <v>78.2</v>
      </c>
    </row>
    <row r="6249" spans="1:5" x14ac:dyDescent="0.25">
      <c r="A6249" s="1">
        <v>43580</v>
      </c>
      <c r="B6249">
        <v>122495</v>
      </c>
      <c r="C6249" t="s">
        <v>222</v>
      </c>
      <c r="D6249" t="s">
        <v>5542</v>
      </c>
      <c r="E6249" s="2">
        <f>80.23+77.59+86.19</f>
        <v>244.01</v>
      </c>
    </row>
    <row r="6250" spans="1:5" x14ac:dyDescent="0.25">
      <c r="A6250" s="1">
        <v>43580</v>
      </c>
      <c r="B6250">
        <v>122495</v>
      </c>
      <c r="C6250" t="s">
        <v>222</v>
      </c>
      <c r="D6250" t="s">
        <v>5390</v>
      </c>
      <c r="E6250" s="3">
        <v>-97.81</v>
      </c>
    </row>
    <row r="6251" spans="1:5" x14ac:dyDescent="0.25">
      <c r="A6251" s="1">
        <v>43580</v>
      </c>
      <c r="B6251">
        <v>122495</v>
      </c>
      <c r="C6251" t="s">
        <v>222</v>
      </c>
      <c r="D6251" t="s">
        <v>2624</v>
      </c>
      <c r="E6251" s="2">
        <v>49.99</v>
      </c>
    </row>
    <row r="6252" spans="1:5" x14ac:dyDescent="0.25">
      <c r="A6252" s="1">
        <v>43580</v>
      </c>
      <c r="B6252">
        <v>122495</v>
      </c>
      <c r="C6252" t="s">
        <v>222</v>
      </c>
      <c r="D6252" t="s">
        <v>5344</v>
      </c>
      <c r="E6252" s="2">
        <v>38.159999999999997</v>
      </c>
    </row>
    <row r="6253" spans="1:5" x14ac:dyDescent="0.25">
      <c r="A6253" s="1">
        <v>43580</v>
      </c>
      <c r="B6253">
        <v>122495</v>
      </c>
      <c r="C6253" t="s">
        <v>222</v>
      </c>
      <c r="D6253" t="s">
        <v>5543</v>
      </c>
      <c r="E6253" s="2">
        <v>139</v>
      </c>
    </row>
    <row r="6254" spans="1:5" x14ac:dyDescent="0.25">
      <c r="A6254" s="1">
        <v>43580</v>
      </c>
      <c r="B6254">
        <v>122495</v>
      </c>
      <c r="C6254" t="s">
        <v>222</v>
      </c>
      <c r="D6254" t="s">
        <v>5544</v>
      </c>
      <c r="E6254" s="2">
        <v>85.81</v>
      </c>
    </row>
    <row r="6255" spans="1:5" x14ac:dyDescent="0.25">
      <c r="A6255" s="1">
        <v>43580</v>
      </c>
      <c r="B6255">
        <v>122496</v>
      </c>
      <c r="C6255" t="s">
        <v>19</v>
      </c>
      <c r="D6255" t="s">
        <v>5545</v>
      </c>
      <c r="E6255" s="2">
        <v>695</v>
      </c>
    </row>
    <row r="6256" spans="1:5" x14ac:dyDescent="0.25">
      <c r="A6256" s="1">
        <v>43580</v>
      </c>
      <c r="B6256">
        <v>181900295</v>
      </c>
      <c r="C6256" t="s">
        <v>905</v>
      </c>
      <c r="D6256" t="s">
        <v>5374</v>
      </c>
      <c r="E6256" s="2">
        <v>143.16999999999999</v>
      </c>
    </row>
    <row r="6257" spans="1:6" x14ac:dyDescent="0.25">
      <c r="A6257" s="1">
        <v>43580</v>
      </c>
      <c r="B6257">
        <v>181900296</v>
      </c>
      <c r="C6257" t="s">
        <v>5546</v>
      </c>
      <c r="D6257" t="s">
        <v>5374</v>
      </c>
      <c r="E6257" s="2">
        <v>53.81</v>
      </c>
    </row>
    <row r="6258" spans="1:6" x14ac:dyDescent="0.25">
      <c r="A6258" s="1">
        <v>43580</v>
      </c>
      <c r="B6258">
        <v>181900297</v>
      </c>
      <c r="C6258" t="s">
        <v>48</v>
      </c>
      <c r="D6258" t="s">
        <v>465</v>
      </c>
      <c r="E6258" s="2">
        <v>11829.4</v>
      </c>
    </row>
    <row r="6259" spans="1:6" x14ac:dyDescent="0.25">
      <c r="A6259" s="1">
        <v>43580</v>
      </c>
      <c r="B6259">
        <v>181900298</v>
      </c>
      <c r="C6259" t="s">
        <v>916</v>
      </c>
      <c r="D6259" t="s">
        <v>5547</v>
      </c>
      <c r="E6259" s="2">
        <v>42</v>
      </c>
    </row>
    <row r="6260" spans="1:6" x14ac:dyDescent="0.25">
      <c r="A6260" s="1">
        <v>43580</v>
      </c>
      <c r="B6260">
        <v>181900299</v>
      </c>
      <c r="C6260" t="s">
        <v>650</v>
      </c>
      <c r="D6260" t="s">
        <v>5548</v>
      </c>
      <c r="E6260" s="2">
        <v>195</v>
      </c>
    </row>
    <row r="6261" spans="1:6" x14ac:dyDescent="0.25">
      <c r="A6261" s="1">
        <v>43585</v>
      </c>
      <c r="B6261">
        <v>122497</v>
      </c>
      <c r="C6261" t="s">
        <v>5549</v>
      </c>
      <c r="D6261" t="s">
        <v>5550</v>
      </c>
      <c r="E6261" s="2">
        <v>510</v>
      </c>
    </row>
    <row r="6262" spans="1:6" x14ac:dyDescent="0.25">
      <c r="C6262" t="s">
        <v>2659</v>
      </c>
      <c r="F6262" s="9">
        <f>SUM(E5490:E6261)</f>
        <v>1391220.781</v>
      </c>
    </row>
    <row r="6263" spans="1:6" x14ac:dyDescent="0.25">
      <c r="A6263" s="1">
        <v>43586</v>
      </c>
      <c r="B6263">
        <v>122498</v>
      </c>
      <c r="C6263" t="s">
        <v>2311</v>
      </c>
      <c r="D6263" t="s">
        <v>5551</v>
      </c>
      <c r="E6263" s="2">
        <v>60</v>
      </c>
    </row>
    <row r="6264" spans="1:6" x14ac:dyDescent="0.25">
      <c r="A6264" s="1">
        <v>43586</v>
      </c>
      <c r="B6264">
        <v>122499</v>
      </c>
      <c r="C6264" t="s">
        <v>2473</v>
      </c>
      <c r="D6264" t="s">
        <v>5552</v>
      </c>
      <c r="E6264" s="2">
        <f>224+71.5</f>
        <v>295.5</v>
      </c>
    </row>
    <row r="6265" spans="1:6" x14ac:dyDescent="0.25">
      <c r="A6265" s="1">
        <v>43586</v>
      </c>
      <c r="B6265">
        <v>122500</v>
      </c>
      <c r="C6265" t="s">
        <v>3994</v>
      </c>
      <c r="D6265" t="s">
        <v>5553</v>
      </c>
      <c r="E6265" s="2">
        <v>856</v>
      </c>
    </row>
    <row r="6266" spans="1:6" x14ac:dyDescent="0.25">
      <c r="A6266" s="1">
        <v>43586</v>
      </c>
      <c r="B6266">
        <v>122501</v>
      </c>
      <c r="C6266" t="s">
        <v>4594</v>
      </c>
      <c r="D6266" t="s">
        <v>5554</v>
      </c>
      <c r="E6266" s="2">
        <v>2000</v>
      </c>
    </row>
    <row r="6267" spans="1:6" x14ac:dyDescent="0.25">
      <c r="A6267" s="1">
        <v>43586</v>
      </c>
      <c r="B6267">
        <v>122502</v>
      </c>
      <c r="C6267" t="s">
        <v>244</v>
      </c>
      <c r="D6267" t="s">
        <v>5555</v>
      </c>
      <c r="E6267" s="2">
        <v>39.200000000000003</v>
      </c>
    </row>
    <row r="6268" spans="1:6" x14ac:dyDescent="0.25">
      <c r="A6268" s="1">
        <v>43586</v>
      </c>
      <c r="B6268">
        <v>122502</v>
      </c>
      <c r="C6268" t="s">
        <v>244</v>
      </c>
      <c r="D6268" t="s">
        <v>5556</v>
      </c>
      <c r="E6268" s="2">
        <v>245.63</v>
      </c>
    </row>
    <row r="6269" spans="1:6" x14ac:dyDescent="0.25">
      <c r="A6269" s="1">
        <v>43586</v>
      </c>
      <c r="B6269">
        <v>122502</v>
      </c>
      <c r="C6269" t="s">
        <v>244</v>
      </c>
      <c r="D6269" t="s">
        <v>5557</v>
      </c>
      <c r="E6269" s="2">
        <v>197.85</v>
      </c>
    </row>
    <row r="6270" spans="1:6" x14ac:dyDescent="0.25">
      <c r="A6270" s="1">
        <v>43586</v>
      </c>
      <c r="B6270">
        <v>122503</v>
      </c>
      <c r="C6270" t="s">
        <v>7</v>
      </c>
      <c r="D6270" t="s">
        <v>5558</v>
      </c>
      <c r="E6270" s="2">
        <v>150</v>
      </c>
    </row>
    <row r="6271" spans="1:6" x14ac:dyDescent="0.25">
      <c r="A6271" s="1">
        <v>43586</v>
      </c>
      <c r="B6271">
        <v>122503</v>
      </c>
      <c r="C6271" t="s">
        <v>7</v>
      </c>
      <c r="D6271" t="s">
        <v>5559</v>
      </c>
      <c r="E6271" s="2">
        <v>42</v>
      </c>
    </row>
    <row r="6272" spans="1:6" x14ac:dyDescent="0.25">
      <c r="A6272" s="1">
        <v>43586</v>
      </c>
      <c r="B6272">
        <v>122503</v>
      </c>
      <c r="C6272" t="s">
        <v>7</v>
      </c>
      <c r="D6272" t="s">
        <v>5560</v>
      </c>
      <c r="E6272" s="2">
        <v>50</v>
      </c>
    </row>
    <row r="6273" spans="1:5" x14ac:dyDescent="0.25">
      <c r="A6273" s="1">
        <v>43586</v>
      </c>
      <c r="B6273">
        <v>122504</v>
      </c>
      <c r="C6273" t="s">
        <v>68</v>
      </c>
      <c r="D6273" t="s">
        <v>5561</v>
      </c>
      <c r="E6273" s="2">
        <v>4478</v>
      </c>
    </row>
    <row r="6274" spans="1:5" x14ac:dyDescent="0.25">
      <c r="A6274" s="1">
        <v>43586</v>
      </c>
      <c r="B6274">
        <v>122505</v>
      </c>
      <c r="C6274" t="s">
        <v>5562</v>
      </c>
      <c r="D6274" t="s">
        <v>5563</v>
      </c>
      <c r="E6274" s="2">
        <v>1390</v>
      </c>
    </row>
    <row r="6275" spans="1:5" x14ac:dyDescent="0.25">
      <c r="A6275" s="1">
        <v>43586</v>
      </c>
      <c r="B6275">
        <v>122506</v>
      </c>
      <c r="C6275" t="s">
        <v>611</v>
      </c>
      <c r="D6275" t="s">
        <v>5564</v>
      </c>
      <c r="E6275" s="2">
        <v>330</v>
      </c>
    </row>
    <row r="6276" spans="1:5" x14ac:dyDescent="0.25">
      <c r="A6276" s="1">
        <v>43586</v>
      </c>
      <c r="B6276">
        <v>122507</v>
      </c>
      <c r="C6276" t="s">
        <v>692</v>
      </c>
      <c r="D6276" t="s">
        <v>5565</v>
      </c>
      <c r="E6276" s="2">
        <v>33.549999999999997</v>
      </c>
    </row>
    <row r="6277" spans="1:5" x14ac:dyDescent="0.25">
      <c r="A6277" s="1">
        <v>43586</v>
      </c>
      <c r="B6277">
        <v>122508</v>
      </c>
      <c r="C6277" t="s">
        <v>5566</v>
      </c>
      <c r="D6277" t="s">
        <v>5567</v>
      </c>
      <c r="E6277" s="2">
        <v>1045</v>
      </c>
    </row>
    <row r="6278" spans="1:5" x14ac:dyDescent="0.25">
      <c r="A6278" s="1">
        <v>43586</v>
      </c>
      <c r="B6278">
        <v>122509</v>
      </c>
      <c r="C6278" t="s">
        <v>5568</v>
      </c>
      <c r="D6278" t="s">
        <v>5569</v>
      </c>
      <c r="E6278" s="2">
        <v>520</v>
      </c>
    </row>
    <row r="6279" spans="1:5" x14ac:dyDescent="0.25">
      <c r="A6279" s="1">
        <v>43586</v>
      </c>
      <c r="B6279">
        <v>122510</v>
      </c>
      <c r="C6279" t="s">
        <v>5570</v>
      </c>
      <c r="D6279" t="s">
        <v>5571</v>
      </c>
      <c r="E6279" s="2">
        <v>495</v>
      </c>
    </row>
    <row r="6280" spans="1:5" x14ac:dyDescent="0.25">
      <c r="A6280" s="1">
        <v>43586</v>
      </c>
      <c r="B6280">
        <v>122511</v>
      </c>
      <c r="C6280" t="s">
        <v>618</v>
      </c>
      <c r="D6280" t="s">
        <v>5572</v>
      </c>
      <c r="E6280" s="2">
        <v>55</v>
      </c>
    </row>
    <row r="6281" spans="1:5" x14ac:dyDescent="0.25">
      <c r="A6281" s="1">
        <v>43586</v>
      </c>
      <c r="B6281">
        <v>122512</v>
      </c>
      <c r="C6281" t="s">
        <v>74</v>
      </c>
      <c r="D6281" t="s">
        <v>230</v>
      </c>
      <c r="E6281" s="2">
        <v>358.8</v>
      </c>
    </row>
    <row r="6282" spans="1:5" x14ac:dyDescent="0.25">
      <c r="A6282" s="1">
        <v>43586</v>
      </c>
      <c r="B6282">
        <v>122513</v>
      </c>
      <c r="C6282" t="s">
        <v>5573</v>
      </c>
      <c r="D6282" t="s">
        <v>5574</v>
      </c>
      <c r="E6282" s="2">
        <v>6290</v>
      </c>
    </row>
    <row r="6283" spans="1:5" x14ac:dyDescent="0.25">
      <c r="A6283" s="1">
        <v>43586</v>
      </c>
      <c r="B6283">
        <v>122514</v>
      </c>
      <c r="C6283" t="s">
        <v>1767</v>
      </c>
      <c r="D6283" t="s">
        <v>5575</v>
      </c>
      <c r="E6283" s="2">
        <v>153</v>
      </c>
    </row>
    <row r="6284" spans="1:5" x14ac:dyDescent="0.25">
      <c r="A6284" s="1">
        <v>43586</v>
      </c>
      <c r="B6284">
        <v>122515</v>
      </c>
      <c r="C6284" t="s">
        <v>77</v>
      </c>
      <c r="D6284" t="s">
        <v>4311</v>
      </c>
      <c r="E6284" s="2">
        <v>88.49</v>
      </c>
    </row>
    <row r="6285" spans="1:5" x14ac:dyDescent="0.25">
      <c r="A6285" s="1">
        <v>43586</v>
      </c>
      <c r="B6285">
        <v>122516</v>
      </c>
      <c r="C6285" t="s">
        <v>1494</v>
      </c>
      <c r="D6285" t="s">
        <v>5576</v>
      </c>
      <c r="E6285" s="2">
        <v>47.52</v>
      </c>
    </row>
    <row r="6286" spans="1:5" x14ac:dyDescent="0.25">
      <c r="A6286" s="1">
        <v>43586</v>
      </c>
      <c r="B6286">
        <v>122517</v>
      </c>
      <c r="C6286" t="s">
        <v>5577</v>
      </c>
      <c r="D6286" t="s">
        <v>5578</v>
      </c>
      <c r="E6286" s="2">
        <v>797.26</v>
      </c>
    </row>
    <row r="6287" spans="1:5" x14ac:dyDescent="0.25">
      <c r="A6287" s="1">
        <v>43586</v>
      </c>
      <c r="B6287">
        <v>122518</v>
      </c>
      <c r="C6287" t="s">
        <v>2296</v>
      </c>
      <c r="D6287" t="s">
        <v>5579</v>
      </c>
      <c r="E6287" s="2">
        <v>498.1</v>
      </c>
    </row>
    <row r="6288" spans="1:5" x14ac:dyDescent="0.25">
      <c r="A6288" s="1">
        <v>43586</v>
      </c>
      <c r="B6288">
        <v>122519</v>
      </c>
      <c r="C6288" t="s">
        <v>2296</v>
      </c>
      <c r="D6288" t="s">
        <v>5580</v>
      </c>
      <c r="E6288" s="2">
        <v>530</v>
      </c>
    </row>
    <row r="6289" spans="1:5" x14ac:dyDescent="0.25">
      <c r="A6289" s="1">
        <v>43586</v>
      </c>
      <c r="B6289">
        <v>122525</v>
      </c>
      <c r="C6289" t="s">
        <v>631</v>
      </c>
      <c r="D6289" t="s">
        <v>5581</v>
      </c>
      <c r="E6289" s="2">
        <v>441.9</v>
      </c>
    </row>
    <row r="6290" spans="1:5" x14ac:dyDescent="0.25">
      <c r="A6290" s="1">
        <v>43586</v>
      </c>
      <c r="B6290">
        <v>122525</v>
      </c>
      <c r="C6290" t="s">
        <v>631</v>
      </c>
      <c r="D6290" t="s">
        <v>5582</v>
      </c>
      <c r="E6290" s="2">
        <v>175.73</v>
      </c>
    </row>
    <row r="6291" spans="1:5" x14ac:dyDescent="0.25">
      <c r="A6291" s="1">
        <v>43586</v>
      </c>
      <c r="B6291">
        <v>122525</v>
      </c>
      <c r="C6291" t="s">
        <v>631</v>
      </c>
      <c r="D6291" t="s">
        <v>5583</v>
      </c>
      <c r="E6291" s="2">
        <v>107.72</v>
      </c>
    </row>
    <row r="6292" spans="1:5" x14ac:dyDescent="0.25">
      <c r="A6292" s="1">
        <v>43586</v>
      </c>
      <c r="B6292">
        <v>122525</v>
      </c>
      <c r="C6292" t="s">
        <v>631</v>
      </c>
      <c r="D6292" t="s">
        <v>5584</v>
      </c>
      <c r="E6292" s="2">
        <v>99.21</v>
      </c>
    </row>
    <row r="6293" spans="1:5" x14ac:dyDescent="0.25">
      <c r="A6293" s="1">
        <v>43586</v>
      </c>
      <c r="B6293">
        <v>122525</v>
      </c>
      <c r="C6293" t="s">
        <v>631</v>
      </c>
      <c r="D6293" t="s">
        <v>5585</v>
      </c>
      <c r="E6293" s="2">
        <v>240.33</v>
      </c>
    </row>
    <row r="6294" spans="1:5" x14ac:dyDescent="0.25">
      <c r="A6294" s="1">
        <v>43586</v>
      </c>
      <c r="B6294">
        <v>122525</v>
      </c>
      <c r="C6294" t="s">
        <v>631</v>
      </c>
      <c r="D6294" t="s">
        <v>5586</v>
      </c>
      <c r="E6294" s="2">
        <v>146.72</v>
      </c>
    </row>
    <row r="6295" spans="1:5" x14ac:dyDescent="0.25">
      <c r="A6295" s="1">
        <v>43586</v>
      </c>
      <c r="B6295">
        <v>122525</v>
      </c>
      <c r="C6295" t="s">
        <v>631</v>
      </c>
      <c r="D6295" t="s">
        <v>5587</v>
      </c>
      <c r="E6295" s="2">
        <v>279.19</v>
      </c>
    </row>
    <row r="6296" spans="1:5" x14ac:dyDescent="0.25">
      <c r="A6296" s="1">
        <v>43586</v>
      </c>
      <c r="B6296">
        <v>122525</v>
      </c>
      <c r="C6296" t="s">
        <v>631</v>
      </c>
      <c r="D6296" t="s">
        <v>5588</v>
      </c>
      <c r="E6296" s="2">
        <v>249.42</v>
      </c>
    </row>
    <row r="6297" spans="1:5" x14ac:dyDescent="0.25">
      <c r="A6297" s="1">
        <v>43586</v>
      </c>
      <c r="B6297">
        <v>122525</v>
      </c>
      <c r="C6297" t="s">
        <v>631</v>
      </c>
      <c r="D6297" t="s">
        <v>5589</v>
      </c>
      <c r="E6297" s="2">
        <v>359.44</v>
      </c>
    </row>
    <row r="6298" spans="1:5" x14ac:dyDescent="0.25">
      <c r="A6298" s="1">
        <v>43586</v>
      </c>
      <c r="B6298">
        <v>122525</v>
      </c>
      <c r="C6298" t="s">
        <v>631</v>
      </c>
      <c r="D6298" t="s">
        <v>5590</v>
      </c>
      <c r="E6298" s="2">
        <v>365.88</v>
      </c>
    </row>
    <row r="6299" spans="1:5" x14ac:dyDescent="0.25">
      <c r="A6299" s="1">
        <v>43586</v>
      </c>
      <c r="B6299">
        <v>122525</v>
      </c>
      <c r="C6299" t="s">
        <v>631</v>
      </c>
      <c r="D6299" t="s">
        <v>5584</v>
      </c>
      <c r="E6299" s="2">
        <v>40.29</v>
      </c>
    </row>
    <row r="6300" spans="1:5" x14ac:dyDescent="0.25">
      <c r="A6300" s="1">
        <v>43586</v>
      </c>
      <c r="B6300">
        <v>122525</v>
      </c>
      <c r="C6300" t="s">
        <v>631</v>
      </c>
      <c r="D6300" t="s">
        <v>5591</v>
      </c>
      <c r="E6300" s="2">
        <v>162.46</v>
      </c>
    </row>
    <row r="6301" spans="1:5" x14ac:dyDescent="0.25">
      <c r="A6301" s="1">
        <v>43586</v>
      </c>
      <c r="B6301">
        <v>122525</v>
      </c>
      <c r="C6301" t="s">
        <v>631</v>
      </c>
      <c r="D6301" t="s">
        <v>5592</v>
      </c>
      <c r="E6301" s="2">
        <v>702.92</v>
      </c>
    </row>
    <row r="6302" spans="1:5" x14ac:dyDescent="0.25">
      <c r="A6302" s="1">
        <v>43586</v>
      </c>
      <c r="B6302">
        <v>122525</v>
      </c>
      <c r="C6302" t="s">
        <v>631</v>
      </c>
      <c r="D6302" t="s">
        <v>5593</v>
      </c>
      <c r="E6302" s="2">
        <v>138.47999999999999</v>
      </c>
    </row>
    <row r="6303" spans="1:5" x14ac:dyDescent="0.25">
      <c r="A6303" s="1">
        <v>43586</v>
      </c>
      <c r="B6303">
        <v>122525</v>
      </c>
      <c r="C6303" t="s">
        <v>631</v>
      </c>
      <c r="D6303" t="s">
        <v>5594</v>
      </c>
      <c r="E6303" s="2">
        <v>576.4</v>
      </c>
    </row>
    <row r="6304" spans="1:5" x14ac:dyDescent="0.25">
      <c r="A6304" s="1">
        <v>43586</v>
      </c>
      <c r="B6304">
        <v>122525</v>
      </c>
      <c r="C6304" t="s">
        <v>631</v>
      </c>
      <c r="D6304" t="s">
        <v>5595</v>
      </c>
      <c r="E6304" s="2">
        <v>413.44</v>
      </c>
    </row>
    <row r="6305" spans="1:5" x14ac:dyDescent="0.25">
      <c r="A6305" s="1">
        <v>43586</v>
      </c>
      <c r="B6305">
        <v>122525</v>
      </c>
      <c r="C6305" t="s">
        <v>631</v>
      </c>
      <c r="D6305" t="s">
        <v>5596</v>
      </c>
      <c r="E6305" s="2">
        <v>110.15</v>
      </c>
    </row>
    <row r="6306" spans="1:5" x14ac:dyDescent="0.25">
      <c r="A6306" s="1">
        <v>43586</v>
      </c>
      <c r="B6306">
        <v>122525</v>
      </c>
      <c r="C6306" t="s">
        <v>631</v>
      </c>
      <c r="D6306" t="s">
        <v>5597</v>
      </c>
      <c r="E6306" s="2">
        <v>95.35</v>
      </c>
    </row>
    <row r="6307" spans="1:5" x14ac:dyDescent="0.25">
      <c r="A6307" s="1">
        <v>43586</v>
      </c>
      <c r="B6307">
        <v>122525</v>
      </c>
      <c r="C6307" t="s">
        <v>631</v>
      </c>
      <c r="D6307" t="s">
        <v>5598</v>
      </c>
      <c r="E6307" s="2">
        <v>298.77999999999997</v>
      </c>
    </row>
    <row r="6308" spans="1:5" x14ac:dyDescent="0.25">
      <c r="A6308" s="1">
        <v>43586</v>
      </c>
      <c r="B6308">
        <v>122525</v>
      </c>
      <c r="C6308" t="s">
        <v>631</v>
      </c>
      <c r="D6308" t="s">
        <v>5599</v>
      </c>
      <c r="E6308" s="2">
        <v>289.68</v>
      </c>
    </row>
    <row r="6309" spans="1:5" x14ac:dyDescent="0.25">
      <c r="A6309" s="1">
        <v>43586</v>
      </c>
      <c r="B6309">
        <v>122525</v>
      </c>
      <c r="C6309" t="s">
        <v>631</v>
      </c>
      <c r="D6309" t="s">
        <v>5557</v>
      </c>
      <c r="E6309" s="2">
        <v>148.1</v>
      </c>
    </row>
    <row r="6310" spans="1:5" x14ac:dyDescent="0.25">
      <c r="A6310" s="1">
        <v>43586</v>
      </c>
      <c r="B6310">
        <v>122525</v>
      </c>
      <c r="C6310" t="s">
        <v>631</v>
      </c>
      <c r="D6310" t="s">
        <v>5597</v>
      </c>
      <c r="E6310" s="2">
        <v>106.28</v>
      </c>
    </row>
    <row r="6311" spans="1:5" x14ac:dyDescent="0.25">
      <c r="A6311" s="1">
        <v>43586</v>
      </c>
      <c r="B6311">
        <v>122525</v>
      </c>
      <c r="C6311" t="s">
        <v>631</v>
      </c>
      <c r="D6311" t="s">
        <v>5600</v>
      </c>
      <c r="E6311" s="2">
        <v>199.2</v>
      </c>
    </row>
    <row r="6312" spans="1:5" x14ac:dyDescent="0.25">
      <c r="A6312" s="1">
        <v>43586</v>
      </c>
      <c r="B6312">
        <v>122525</v>
      </c>
      <c r="C6312" t="s">
        <v>631</v>
      </c>
      <c r="D6312" t="s">
        <v>5601</v>
      </c>
      <c r="E6312" s="2">
        <v>971.2</v>
      </c>
    </row>
    <row r="6313" spans="1:5" x14ac:dyDescent="0.25">
      <c r="A6313" s="1">
        <v>43586</v>
      </c>
      <c r="B6313">
        <v>122525</v>
      </c>
      <c r="C6313" t="s">
        <v>631</v>
      </c>
      <c r="D6313" t="s">
        <v>1119</v>
      </c>
      <c r="E6313" s="2">
        <v>92.18</v>
      </c>
    </row>
    <row r="6314" spans="1:5" x14ac:dyDescent="0.25">
      <c r="A6314" s="1">
        <v>43586</v>
      </c>
      <c r="B6314">
        <v>122526</v>
      </c>
      <c r="C6314" t="s">
        <v>3018</v>
      </c>
      <c r="D6314" t="s">
        <v>5602</v>
      </c>
      <c r="E6314" s="2">
        <v>150</v>
      </c>
    </row>
    <row r="6315" spans="1:5" x14ac:dyDescent="0.25">
      <c r="A6315" s="1">
        <v>43586</v>
      </c>
      <c r="B6315">
        <v>122527</v>
      </c>
      <c r="C6315" t="s">
        <v>4648</v>
      </c>
      <c r="D6315" t="s">
        <v>5603</v>
      </c>
      <c r="E6315" s="2">
        <v>1075.97</v>
      </c>
    </row>
    <row r="6316" spans="1:5" x14ac:dyDescent="0.25">
      <c r="A6316" s="1">
        <v>43586</v>
      </c>
      <c r="B6316">
        <v>122528</v>
      </c>
      <c r="C6316" t="s">
        <v>16</v>
      </c>
      <c r="D6316" t="s">
        <v>5604</v>
      </c>
      <c r="E6316" s="2">
        <f>2854.01+2660.24</f>
        <v>5514.25</v>
      </c>
    </row>
    <row r="6317" spans="1:5" x14ac:dyDescent="0.25">
      <c r="A6317" s="1">
        <v>43586</v>
      </c>
      <c r="B6317">
        <v>122530</v>
      </c>
      <c r="C6317" t="s">
        <v>5605</v>
      </c>
      <c r="D6317" t="s">
        <v>5606</v>
      </c>
      <c r="E6317" s="2">
        <v>2488.3200000000002</v>
      </c>
    </row>
    <row r="6318" spans="1:5" x14ac:dyDescent="0.25">
      <c r="A6318" s="1">
        <v>43586</v>
      </c>
      <c r="B6318">
        <v>122531</v>
      </c>
      <c r="C6318" t="s">
        <v>88</v>
      </c>
      <c r="D6318" t="s">
        <v>5607</v>
      </c>
      <c r="E6318" s="2">
        <v>413.5</v>
      </c>
    </row>
    <row r="6319" spans="1:5" x14ac:dyDescent="0.25">
      <c r="A6319" s="1">
        <v>43586</v>
      </c>
      <c r="B6319">
        <v>122532</v>
      </c>
      <c r="C6319" t="s">
        <v>5608</v>
      </c>
      <c r="D6319" t="s">
        <v>5609</v>
      </c>
      <c r="E6319" s="2">
        <v>3363.4</v>
      </c>
    </row>
    <row r="6320" spans="1:5" x14ac:dyDescent="0.25">
      <c r="A6320" s="1">
        <v>43586</v>
      </c>
      <c r="B6320">
        <v>122533</v>
      </c>
      <c r="C6320" t="s">
        <v>19</v>
      </c>
      <c r="D6320" t="s">
        <v>5610</v>
      </c>
      <c r="E6320" s="2">
        <v>870.86</v>
      </c>
    </row>
    <row r="6321" spans="1:5" x14ac:dyDescent="0.25">
      <c r="A6321" s="1">
        <v>43586</v>
      </c>
      <c r="B6321">
        <v>122534</v>
      </c>
      <c r="C6321" t="s">
        <v>405</v>
      </c>
      <c r="D6321" t="s">
        <v>5611</v>
      </c>
      <c r="E6321" s="2">
        <v>238.7</v>
      </c>
    </row>
    <row r="6322" spans="1:5" x14ac:dyDescent="0.25">
      <c r="A6322" s="1">
        <v>43586</v>
      </c>
      <c r="B6322">
        <v>122535</v>
      </c>
      <c r="C6322" t="s">
        <v>1200</v>
      </c>
      <c r="D6322" t="s">
        <v>5611</v>
      </c>
      <c r="E6322" s="2">
        <v>199.95</v>
      </c>
    </row>
    <row r="6323" spans="1:5" x14ac:dyDescent="0.25">
      <c r="A6323" s="1">
        <v>43586</v>
      </c>
      <c r="B6323">
        <v>122536</v>
      </c>
      <c r="C6323" t="s">
        <v>4888</v>
      </c>
      <c r="D6323" t="s">
        <v>5611</v>
      </c>
      <c r="E6323" s="2">
        <v>148.99</v>
      </c>
    </row>
    <row r="6324" spans="1:5" x14ac:dyDescent="0.25">
      <c r="A6324" s="1">
        <v>43586</v>
      </c>
      <c r="B6324">
        <v>181900305</v>
      </c>
      <c r="C6324" t="s">
        <v>393</v>
      </c>
      <c r="D6324" t="s">
        <v>5612</v>
      </c>
      <c r="E6324" s="2">
        <v>99</v>
      </c>
    </row>
    <row r="6325" spans="1:5" x14ac:dyDescent="0.25">
      <c r="A6325" s="1">
        <v>43586</v>
      </c>
      <c r="B6325">
        <v>181900306</v>
      </c>
      <c r="C6325" t="s">
        <v>5613</v>
      </c>
      <c r="D6325" t="s">
        <v>5614</v>
      </c>
      <c r="E6325" s="2">
        <v>290</v>
      </c>
    </row>
    <row r="6326" spans="1:5" x14ac:dyDescent="0.25">
      <c r="A6326" s="1">
        <v>43586</v>
      </c>
      <c r="B6326">
        <v>201800192</v>
      </c>
      <c r="C6326" t="s">
        <v>928</v>
      </c>
      <c r="D6326" t="s">
        <v>5615</v>
      </c>
      <c r="E6326" s="2">
        <v>34.86</v>
      </c>
    </row>
    <row r="6327" spans="1:5" x14ac:dyDescent="0.25">
      <c r="A6327" s="1">
        <v>43586</v>
      </c>
      <c r="B6327">
        <v>201800192</v>
      </c>
      <c r="C6327" t="s">
        <v>928</v>
      </c>
      <c r="D6327" t="s">
        <v>4212</v>
      </c>
      <c r="E6327" s="2">
        <f>77.47+54.09</f>
        <v>131.56</v>
      </c>
    </row>
    <row r="6328" spans="1:5" x14ac:dyDescent="0.25">
      <c r="A6328" s="1">
        <v>43586</v>
      </c>
      <c r="B6328">
        <v>201800192</v>
      </c>
      <c r="C6328" t="s">
        <v>928</v>
      </c>
      <c r="D6328" t="s">
        <v>5616</v>
      </c>
      <c r="E6328" s="2">
        <v>283.39</v>
      </c>
    </row>
    <row r="6329" spans="1:5" x14ac:dyDescent="0.25">
      <c r="A6329" s="1">
        <v>43586</v>
      </c>
      <c r="B6329">
        <v>201800192</v>
      </c>
      <c r="C6329" t="s">
        <v>928</v>
      </c>
      <c r="D6329" t="s">
        <v>5617</v>
      </c>
      <c r="E6329" s="2">
        <v>146.26</v>
      </c>
    </row>
    <row r="6330" spans="1:5" x14ac:dyDescent="0.25">
      <c r="A6330" s="1">
        <v>43586</v>
      </c>
      <c r="B6330">
        <v>201800193</v>
      </c>
      <c r="C6330" t="s">
        <v>404</v>
      </c>
      <c r="D6330" t="s">
        <v>5618</v>
      </c>
      <c r="E6330" s="2">
        <f>49.25*5</f>
        <v>246.25</v>
      </c>
    </row>
    <row r="6331" spans="1:5" x14ac:dyDescent="0.25">
      <c r="A6331" s="1">
        <v>43586</v>
      </c>
      <c r="B6331">
        <v>201800194</v>
      </c>
      <c r="C6331" t="s">
        <v>222</v>
      </c>
      <c r="D6331" t="s">
        <v>5619</v>
      </c>
      <c r="E6331" s="2">
        <v>68.13</v>
      </c>
    </row>
    <row r="6332" spans="1:5" x14ac:dyDescent="0.25">
      <c r="A6332" s="1">
        <v>43586</v>
      </c>
      <c r="B6332">
        <v>201800195</v>
      </c>
      <c r="C6332" t="s">
        <v>932</v>
      </c>
      <c r="D6332" t="s">
        <v>5620</v>
      </c>
      <c r="E6332" s="2">
        <v>8</v>
      </c>
    </row>
    <row r="6333" spans="1:5" x14ac:dyDescent="0.25">
      <c r="A6333" s="1">
        <v>43586</v>
      </c>
      <c r="B6333">
        <v>201800196</v>
      </c>
      <c r="C6333" t="s">
        <v>5621</v>
      </c>
      <c r="D6333" t="s">
        <v>5622</v>
      </c>
      <c r="E6333" s="2">
        <v>144.68</v>
      </c>
    </row>
    <row r="6334" spans="1:5" x14ac:dyDescent="0.25">
      <c r="A6334" s="1">
        <v>43586</v>
      </c>
      <c r="B6334">
        <v>201800197</v>
      </c>
      <c r="C6334" t="s">
        <v>2724</v>
      </c>
      <c r="D6334" t="s">
        <v>5623</v>
      </c>
      <c r="E6334" s="2">
        <v>322.8</v>
      </c>
    </row>
    <row r="6335" spans="1:5" x14ac:dyDescent="0.25">
      <c r="A6335" s="1">
        <v>43586</v>
      </c>
      <c r="B6335">
        <v>201800198</v>
      </c>
      <c r="C6335" t="s">
        <v>5624</v>
      </c>
      <c r="D6335" t="s">
        <v>5625</v>
      </c>
      <c r="E6335" s="2">
        <v>430</v>
      </c>
    </row>
    <row r="6336" spans="1:5" x14ac:dyDescent="0.25">
      <c r="A6336" s="1">
        <v>43586</v>
      </c>
      <c r="B6336">
        <v>201800199</v>
      </c>
      <c r="C6336" t="s">
        <v>942</v>
      </c>
      <c r="D6336" t="s">
        <v>2723</v>
      </c>
      <c r="E6336" s="2">
        <v>89.64</v>
      </c>
    </row>
    <row r="6337" spans="1:5" x14ac:dyDescent="0.25">
      <c r="A6337" s="1">
        <v>43586</v>
      </c>
      <c r="B6337">
        <v>201800200</v>
      </c>
      <c r="C6337" t="s">
        <v>5626</v>
      </c>
      <c r="D6337" t="s">
        <v>5627</v>
      </c>
      <c r="E6337" s="2">
        <f>257.37+245.37</f>
        <v>502.74</v>
      </c>
    </row>
    <row r="6338" spans="1:5" x14ac:dyDescent="0.25">
      <c r="A6338" s="1">
        <v>43586</v>
      </c>
      <c r="B6338">
        <v>201800201</v>
      </c>
      <c r="C6338" t="s">
        <v>5628</v>
      </c>
      <c r="D6338" t="s">
        <v>5629</v>
      </c>
      <c r="E6338" s="2">
        <v>39.5</v>
      </c>
    </row>
    <row r="6339" spans="1:5" x14ac:dyDescent="0.25">
      <c r="A6339" s="1">
        <v>43586</v>
      </c>
      <c r="B6339">
        <v>201800202</v>
      </c>
      <c r="C6339" t="s">
        <v>5630</v>
      </c>
      <c r="D6339" t="s">
        <v>5629</v>
      </c>
      <c r="E6339" s="2">
        <v>27.4</v>
      </c>
    </row>
    <row r="6340" spans="1:5" x14ac:dyDescent="0.25">
      <c r="A6340" s="1">
        <v>43586</v>
      </c>
      <c r="B6340">
        <v>201800203</v>
      </c>
      <c r="C6340" t="s">
        <v>5631</v>
      </c>
      <c r="D6340" t="s">
        <v>924</v>
      </c>
      <c r="E6340" s="2">
        <v>10.75</v>
      </c>
    </row>
    <row r="6341" spans="1:5" x14ac:dyDescent="0.25">
      <c r="A6341" s="1">
        <v>43586</v>
      </c>
      <c r="B6341">
        <v>201800204</v>
      </c>
      <c r="C6341" t="s">
        <v>75</v>
      </c>
      <c r="D6341" t="s">
        <v>5632</v>
      </c>
      <c r="E6341" s="2">
        <v>80</v>
      </c>
    </row>
    <row r="6342" spans="1:5" x14ac:dyDescent="0.25">
      <c r="A6342" s="1">
        <v>43587</v>
      </c>
      <c r="B6342">
        <v>122537</v>
      </c>
      <c r="C6342" t="s">
        <v>988</v>
      </c>
      <c r="D6342" t="s">
        <v>5633</v>
      </c>
      <c r="E6342" s="2">
        <v>52.25</v>
      </c>
    </row>
    <row r="6343" spans="1:5" x14ac:dyDescent="0.25">
      <c r="A6343" s="1">
        <v>43587</v>
      </c>
      <c r="B6343">
        <v>122538</v>
      </c>
      <c r="C6343" t="s">
        <v>3885</v>
      </c>
      <c r="D6343" t="s">
        <v>5634</v>
      </c>
      <c r="E6343" s="2">
        <v>834</v>
      </c>
    </row>
    <row r="6344" spans="1:5" x14ac:dyDescent="0.25">
      <c r="A6344" s="1">
        <v>43587</v>
      </c>
      <c r="B6344">
        <v>122539</v>
      </c>
      <c r="C6344" t="s">
        <v>64</v>
      </c>
      <c r="D6344" t="s">
        <v>5635</v>
      </c>
      <c r="E6344" s="2">
        <v>1208.75</v>
      </c>
    </row>
    <row r="6345" spans="1:5" x14ac:dyDescent="0.25">
      <c r="A6345" s="1">
        <v>43587</v>
      </c>
      <c r="B6345">
        <v>122541</v>
      </c>
      <c r="C6345" t="s">
        <v>66</v>
      </c>
      <c r="D6345" t="s">
        <v>5636</v>
      </c>
      <c r="E6345" s="2">
        <f>259+2181</f>
        <v>2440</v>
      </c>
    </row>
    <row r="6346" spans="1:5" x14ac:dyDescent="0.25">
      <c r="A6346" s="1">
        <v>43587</v>
      </c>
      <c r="B6346">
        <v>122541</v>
      </c>
      <c r="C6346" t="s">
        <v>66</v>
      </c>
      <c r="D6346" t="s">
        <v>5637</v>
      </c>
      <c r="E6346" s="2">
        <f>966+4494+594+534</f>
        <v>6588</v>
      </c>
    </row>
    <row r="6347" spans="1:5" x14ac:dyDescent="0.25">
      <c r="A6347" s="1">
        <v>43587</v>
      </c>
      <c r="B6347">
        <v>122541</v>
      </c>
      <c r="C6347" t="s">
        <v>66</v>
      </c>
      <c r="D6347" t="s">
        <v>5638</v>
      </c>
      <c r="E6347" s="2">
        <f>1227+116</f>
        <v>1343</v>
      </c>
    </row>
    <row r="6348" spans="1:5" x14ac:dyDescent="0.25">
      <c r="A6348" s="1">
        <v>43587</v>
      </c>
      <c r="B6348">
        <v>122542</v>
      </c>
      <c r="C6348" t="s">
        <v>5639</v>
      </c>
      <c r="D6348" t="s">
        <v>5640</v>
      </c>
      <c r="E6348" s="2">
        <v>2300</v>
      </c>
    </row>
    <row r="6349" spans="1:5" x14ac:dyDescent="0.25">
      <c r="A6349" s="1">
        <v>43587</v>
      </c>
      <c r="B6349">
        <v>122544</v>
      </c>
      <c r="C6349" t="s">
        <v>22</v>
      </c>
      <c r="D6349" t="s">
        <v>24</v>
      </c>
      <c r="E6349" s="2">
        <v>3964.73</v>
      </c>
    </row>
    <row r="6350" spans="1:5" x14ac:dyDescent="0.25">
      <c r="A6350" s="1">
        <v>43587</v>
      </c>
      <c r="B6350">
        <v>122544</v>
      </c>
      <c r="C6350" t="s">
        <v>22</v>
      </c>
      <c r="D6350" t="s">
        <v>23</v>
      </c>
      <c r="E6350" s="2">
        <v>1634.8</v>
      </c>
    </row>
    <row r="6351" spans="1:5" x14ac:dyDescent="0.25">
      <c r="A6351" s="1">
        <v>43587</v>
      </c>
      <c r="B6351">
        <v>122545</v>
      </c>
      <c r="C6351" t="s">
        <v>238</v>
      </c>
      <c r="D6351" t="s">
        <v>437</v>
      </c>
      <c r="E6351" s="2">
        <v>95.23</v>
      </c>
    </row>
    <row r="6352" spans="1:5" x14ac:dyDescent="0.25">
      <c r="A6352" s="1">
        <v>43587</v>
      </c>
      <c r="B6352">
        <v>122546</v>
      </c>
      <c r="C6352" t="s">
        <v>5131</v>
      </c>
      <c r="D6352" t="s">
        <v>5641</v>
      </c>
      <c r="E6352" s="2">
        <v>38.770000000000003</v>
      </c>
    </row>
    <row r="6353" spans="1:6" x14ac:dyDescent="0.25">
      <c r="A6353" s="1">
        <v>43587</v>
      </c>
      <c r="B6353">
        <v>122547</v>
      </c>
      <c r="C6353" t="s">
        <v>241</v>
      </c>
      <c r="D6353" t="s">
        <v>3430</v>
      </c>
      <c r="E6353" s="2">
        <v>2130</v>
      </c>
    </row>
    <row r="6354" spans="1:6" x14ac:dyDescent="0.25">
      <c r="A6354" s="1">
        <v>43587</v>
      </c>
      <c r="B6354">
        <v>122548</v>
      </c>
      <c r="C6354" t="s">
        <v>1156</v>
      </c>
      <c r="D6354" t="s">
        <v>5642</v>
      </c>
      <c r="E6354" s="2">
        <v>25.59</v>
      </c>
    </row>
    <row r="6355" spans="1:6" x14ac:dyDescent="0.25">
      <c r="A6355" s="1">
        <v>43587</v>
      </c>
      <c r="B6355">
        <v>122548</v>
      </c>
      <c r="C6355" t="s">
        <v>1156</v>
      </c>
      <c r="D6355" t="s">
        <v>5643</v>
      </c>
      <c r="E6355" s="2">
        <v>165.08</v>
      </c>
    </row>
    <row r="6356" spans="1:6" x14ac:dyDescent="0.25">
      <c r="A6356" s="1">
        <v>43587</v>
      </c>
      <c r="B6356">
        <v>122549</v>
      </c>
      <c r="C6356" t="s">
        <v>673</v>
      </c>
      <c r="D6356" t="s">
        <v>674</v>
      </c>
      <c r="E6356" s="2">
        <v>121.1</v>
      </c>
    </row>
    <row r="6357" spans="1:6" x14ac:dyDescent="0.25">
      <c r="A6357" s="1">
        <v>43587</v>
      </c>
      <c r="B6357">
        <v>122550</v>
      </c>
      <c r="C6357" t="s">
        <v>31</v>
      </c>
      <c r="D6357" t="s">
        <v>5288</v>
      </c>
      <c r="E6357" s="2">
        <v>169.92</v>
      </c>
    </row>
    <row r="6358" spans="1:6" x14ac:dyDescent="0.25">
      <c r="A6358" s="1">
        <v>43587</v>
      </c>
      <c r="B6358">
        <v>122551</v>
      </c>
      <c r="C6358" t="s">
        <v>5644</v>
      </c>
      <c r="D6358" t="s">
        <v>5645</v>
      </c>
      <c r="E6358" s="2">
        <v>350</v>
      </c>
    </row>
    <row r="6359" spans="1:6" x14ac:dyDescent="0.25">
      <c r="A6359" s="1">
        <v>43587</v>
      </c>
      <c r="B6359">
        <v>122552</v>
      </c>
      <c r="C6359" t="s">
        <v>3118</v>
      </c>
      <c r="D6359" t="s">
        <v>5646</v>
      </c>
      <c r="E6359" s="2">
        <v>341.55</v>
      </c>
    </row>
    <row r="6360" spans="1:6" x14ac:dyDescent="0.25">
      <c r="A6360" s="1">
        <v>43587</v>
      </c>
      <c r="B6360">
        <v>122553</v>
      </c>
      <c r="C6360" t="s">
        <v>114</v>
      </c>
      <c r="D6360" t="s">
        <v>5647</v>
      </c>
      <c r="E6360" s="2">
        <v>8000</v>
      </c>
      <c r="F6360" t="s">
        <v>598</v>
      </c>
    </row>
    <row r="6361" spans="1:6" x14ac:dyDescent="0.25">
      <c r="A6361" s="1">
        <v>43587</v>
      </c>
      <c r="B6361">
        <v>122554</v>
      </c>
      <c r="C6361" t="s">
        <v>1452</v>
      </c>
      <c r="D6361" t="s">
        <v>5648</v>
      </c>
      <c r="E6361" s="2">
        <v>468.76</v>
      </c>
    </row>
    <row r="6362" spans="1:6" x14ac:dyDescent="0.25">
      <c r="A6362" s="1">
        <v>43587</v>
      </c>
      <c r="B6362">
        <v>122555</v>
      </c>
      <c r="C6362" t="s">
        <v>1004</v>
      </c>
      <c r="D6362" t="s">
        <v>5649</v>
      </c>
      <c r="E6362" s="2">
        <v>575</v>
      </c>
    </row>
    <row r="6363" spans="1:6" x14ac:dyDescent="0.25">
      <c r="A6363" s="1">
        <v>43587</v>
      </c>
      <c r="B6363">
        <v>122556</v>
      </c>
      <c r="C6363" t="s">
        <v>692</v>
      </c>
      <c r="D6363" t="s">
        <v>4418</v>
      </c>
      <c r="E6363" s="2">
        <v>562.99</v>
      </c>
    </row>
    <row r="6364" spans="1:6" x14ac:dyDescent="0.25">
      <c r="A6364" s="1">
        <v>43587</v>
      </c>
      <c r="B6364">
        <v>122556</v>
      </c>
      <c r="C6364" t="s">
        <v>692</v>
      </c>
      <c r="D6364" t="s">
        <v>1016</v>
      </c>
      <c r="E6364" s="3">
        <v>-319.93</v>
      </c>
    </row>
    <row r="6365" spans="1:6" x14ac:dyDescent="0.25">
      <c r="A6365" s="1">
        <v>43587</v>
      </c>
      <c r="B6365">
        <v>122557</v>
      </c>
      <c r="C6365" t="s">
        <v>4779</v>
      </c>
      <c r="D6365" t="s">
        <v>5650</v>
      </c>
      <c r="E6365" s="2">
        <v>2571.9</v>
      </c>
    </row>
    <row r="6366" spans="1:6" x14ac:dyDescent="0.25">
      <c r="A6366" s="1">
        <v>43587</v>
      </c>
      <c r="B6366">
        <v>122558</v>
      </c>
      <c r="C6366" t="s">
        <v>364</v>
      </c>
      <c r="D6366" t="s">
        <v>5651</v>
      </c>
      <c r="E6366" s="2">
        <v>1945.83</v>
      </c>
    </row>
    <row r="6367" spans="1:6" x14ac:dyDescent="0.25">
      <c r="A6367" s="1">
        <v>43587</v>
      </c>
      <c r="B6367">
        <v>122559</v>
      </c>
      <c r="C6367" t="s">
        <v>698</v>
      </c>
      <c r="D6367" t="s">
        <v>5652</v>
      </c>
      <c r="E6367" s="2">
        <v>149.49</v>
      </c>
    </row>
    <row r="6368" spans="1:6" x14ac:dyDescent="0.25">
      <c r="A6368" s="1">
        <v>43587</v>
      </c>
      <c r="B6368">
        <v>122560</v>
      </c>
      <c r="C6368" t="s">
        <v>124</v>
      </c>
      <c r="D6368" t="s">
        <v>5653</v>
      </c>
      <c r="E6368" s="2">
        <v>50</v>
      </c>
    </row>
    <row r="6369" spans="1:5" x14ac:dyDescent="0.25">
      <c r="A6369" s="1">
        <v>43587</v>
      </c>
      <c r="B6369">
        <v>122561</v>
      </c>
      <c r="C6369" t="s">
        <v>5654</v>
      </c>
      <c r="D6369" t="s">
        <v>5655</v>
      </c>
      <c r="E6369" s="2">
        <v>3500</v>
      </c>
    </row>
    <row r="6370" spans="1:5" x14ac:dyDescent="0.25">
      <c r="A6370" s="1">
        <v>43587</v>
      </c>
      <c r="B6370">
        <v>122562</v>
      </c>
      <c r="C6370" t="s">
        <v>365</v>
      </c>
      <c r="D6370" t="s">
        <v>5656</v>
      </c>
      <c r="E6370" s="2">
        <v>26.23</v>
      </c>
    </row>
    <row r="6371" spans="1:5" x14ac:dyDescent="0.25">
      <c r="A6371" s="1">
        <v>43587</v>
      </c>
      <c r="B6371">
        <v>122563</v>
      </c>
      <c r="C6371" t="s">
        <v>5100</v>
      </c>
      <c r="D6371" t="s">
        <v>5657</v>
      </c>
      <c r="E6371" s="2">
        <v>54.98</v>
      </c>
    </row>
    <row r="6372" spans="1:5" x14ac:dyDescent="0.25">
      <c r="A6372" s="1">
        <v>43587</v>
      </c>
      <c r="B6372">
        <v>122564</v>
      </c>
      <c r="C6372" t="s">
        <v>5003</v>
      </c>
      <c r="D6372" t="s">
        <v>5004</v>
      </c>
      <c r="E6372" s="2">
        <v>4500</v>
      </c>
    </row>
    <row r="6373" spans="1:5" x14ac:dyDescent="0.25">
      <c r="A6373" s="1">
        <v>43587</v>
      </c>
      <c r="B6373">
        <v>122565</v>
      </c>
      <c r="C6373" t="s">
        <v>44</v>
      </c>
      <c r="D6373" t="s">
        <v>5658</v>
      </c>
      <c r="E6373" s="2">
        <v>99.17</v>
      </c>
    </row>
    <row r="6374" spans="1:5" x14ac:dyDescent="0.25">
      <c r="A6374" s="1">
        <v>43587</v>
      </c>
      <c r="B6374">
        <v>122566</v>
      </c>
      <c r="C6374" t="s">
        <v>5659</v>
      </c>
      <c r="D6374" t="s">
        <v>5340</v>
      </c>
      <c r="E6374" s="2">
        <v>38.25</v>
      </c>
    </row>
    <row r="6375" spans="1:5" x14ac:dyDescent="0.25">
      <c r="A6375" s="1">
        <v>43587</v>
      </c>
      <c r="B6375">
        <v>122567</v>
      </c>
      <c r="C6375" t="s">
        <v>5660</v>
      </c>
      <c r="D6375" t="s">
        <v>773</v>
      </c>
      <c r="E6375" s="2">
        <v>250</v>
      </c>
    </row>
    <row r="6376" spans="1:5" x14ac:dyDescent="0.25">
      <c r="A6376" s="1">
        <v>43587</v>
      </c>
      <c r="B6376">
        <v>122568</v>
      </c>
      <c r="C6376" t="s">
        <v>869</v>
      </c>
      <c r="D6376" t="s">
        <v>3913</v>
      </c>
      <c r="E6376" s="2">
        <v>1108.6500000000001</v>
      </c>
    </row>
    <row r="6377" spans="1:5" x14ac:dyDescent="0.25">
      <c r="A6377" s="1">
        <v>43587</v>
      </c>
      <c r="B6377">
        <v>122569</v>
      </c>
      <c r="C6377" t="s">
        <v>5661</v>
      </c>
      <c r="D6377" t="s">
        <v>5662</v>
      </c>
      <c r="E6377" s="2">
        <v>87.27</v>
      </c>
    </row>
    <row r="6378" spans="1:5" x14ac:dyDescent="0.25">
      <c r="A6378" s="1">
        <v>43587</v>
      </c>
      <c r="B6378">
        <v>122570</v>
      </c>
      <c r="C6378" t="s">
        <v>1823</v>
      </c>
      <c r="D6378" t="s">
        <v>5663</v>
      </c>
      <c r="E6378" s="2">
        <v>262.60000000000002</v>
      </c>
    </row>
    <row r="6379" spans="1:5" x14ac:dyDescent="0.25">
      <c r="A6379" s="1">
        <v>43587</v>
      </c>
      <c r="B6379">
        <v>122571</v>
      </c>
      <c r="C6379" t="s">
        <v>74</v>
      </c>
      <c r="D6379" t="s">
        <v>5664</v>
      </c>
      <c r="E6379" s="2">
        <v>26.88</v>
      </c>
    </row>
    <row r="6380" spans="1:5" x14ac:dyDescent="0.25">
      <c r="A6380" s="1">
        <v>43587</v>
      </c>
      <c r="B6380">
        <v>122572</v>
      </c>
      <c r="C6380" t="s">
        <v>146</v>
      </c>
      <c r="D6380" t="s">
        <v>5665</v>
      </c>
      <c r="E6380" s="2">
        <v>40.65</v>
      </c>
    </row>
    <row r="6381" spans="1:5" x14ac:dyDescent="0.25">
      <c r="A6381" s="1">
        <v>43587</v>
      </c>
      <c r="B6381">
        <v>122573</v>
      </c>
      <c r="C6381" t="s">
        <v>336</v>
      </c>
      <c r="D6381" t="s">
        <v>5666</v>
      </c>
      <c r="E6381" s="2">
        <v>115</v>
      </c>
    </row>
    <row r="6382" spans="1:5" x14ac:dyDescent="0.25">
      <c r="A6382" s="1">
        <v>43587</v>
      </c>
      <c r="B6382">
        <v>122573</v>
      </c>
      <c r="C6382" t="s">
        <v>336</v>
      </c>
      <c r="D6382" t="s">
        <v>5667</v>
      </c>
      <c r="E6382" s="2">
        <v>16</v>
      </c>
    </row>
    <row r="6383" spans="1:5" x14ac:dyDescent="0.25">
      <c r="A6383" s="1">
        <v>43587</v>
      </c>
      <c r="B6383">
        <v>122574</v>
      </c>
      <c r="C6383" t="s">
        <v>75</v>
      </c>
      <c r="D6383" t="s">
        <v>1222</v>
      </c>
      <c r="E6383" s="2">
        <f>21.59+9.06</f>
        <v>30.65</v>
      </c>
    </row>
    <row r="6384" spans="1:5" x14ac:dyDescent="0.25">
      <c r="A6384" s="1">
        <v>43587</v>
      </c>
      <c r="B6384">
        <v>122574</v>
      </c>
      <c r="C6384" t="s">
        <v>75</v>
      </c>
      <c r="D6384" t="s">
        <v>5668</v>
      </c>
      <c r="E6384" s="2">
        <v>39.67</v>
      </c>
    </row>
    <row r="6385" spans="1:5" x14ac:dyDescent="0.25">
      <c r="A6385" s="1">
        <v>43587</v>
      </c>
      <c r="B6385">
        <v>122575</v>
      </c>
      <c r="C6385" t="s">
        <v>744</v>
      </c>
      <c r="D6385" t="s">
        <v>4514</v>
      </c>
      <c r="E6385" s="2">
        <v>3143.64</v>
      </c>
    </row>
    <row r="6386" spans="1:5" x14ac:dyDescent="0.25">
      <c r="A6386" s="1">
        <v>43587</v>
      </c>
      <c r="B6386">
        <v>122576</v>
      </c>
      <c r="C6386" t="s">
        <v>5577</v>
      </c>
      <c r="D6386" t="s">
        <v>5669</v>
      </c>
      <c r="E6386" s="2">
        <v>676.25</v>
      </c>
    </row>
    <row r="6387" spans="1:5" x14ac:dyDescent="0.25">
      <c r="A6387" s="1">
        <v>43587</v>
      </c>
      <c r="B6387">
        <v>122577</v>
      </c>
      <c r="C6387" t="s">
        <v>5670</v>
      </c>
      <c r="D6387" t="s">
        <v>5671</v>
      </c>
      <c r="E6387" s="2">
        <v>2995</v>
      </c>
    </row>
    <row r="6388" spans="1:5" x14ac:dyDescent="0.25">
      <c r="A6388" s="1">
        <v>43587</v>
      </c>
      <c r="B6388">
        <v>122578</v>
      </c>
      <c r="C6388" t="s">
        <v>50</v>
      </c>
      <c r="D6388" t="s">
        <v>2047</v>
      </c>
      <c r="E6388" s="2">
        <v>3540</v>
      </c>
    </row>
    <row r="6389" spans="1:5" x14ac:dyDescent="0.25">
      <c r="A6389" s="1">
        <v>43587</v>
      </c>
      <c r="B6389">
        <v>122579</v>
      </c>
      <c r="C6389" t="s">
        <v>14</v>
      </c>
      <c r="D6389" t="s">
        <v>5672</v>
      </c>
      <c r="E6389" s="2">
        <v>3889.37</v>
      </c>
    </row>
    <row r="6390" spans="1:5" x14ac:dyDescent="0.25">
      <c r="A6390" s="1">
        <v>43587</v>
      </c>
      <c r="B6390">
        <v>122580</v>
      </c>
      <c r="C6390" t="s">
        <v>750</v>
      </c>
      <c r="D6390" t="s">
        <v>5673</v>
      </c>
      <c r="E6390" s="2">
        <v>319.5</v>
      </c>
    </row>
    <row r="6391" spans="1:5" x14ac:dyDescent="0.25">
      <c r="A6391" s="1">
        <v>43587</v>
      </c>
      <c r="B6391">
        <v>122586</v>
      </c>
      <c r="C6391" t="s">
        <v>631</v>
      </c>
      <c r="D6391" t="s">
        <v>5674</v>
      </c>
      <c r="E6391" s="2">
        <v>90.52</v>
      </c>
    </row>
    <row r="6392" spans="1:5" x14ac:dyDescent="0.25">
      <c r="A6392" s="1">
        <v>43587</v>
      </c>
      <c r="B6392">
        <v>122586</v>
      </c>
      <c r="C6392" t="s">
        <v>631</v>
      </c>
      <c r="D6392" t="s">
        <v>481</v>
      </c>
      <c r="E6392" s="2">
        <v>297.92</v>
      </c>
    </row>
    <row r="6393" spans="1:5" x14ac:dyDescent="0.25">
      <c r="A6393" s="1">
        <v>43587</v>
      </c>
      <c r="B6393">
        <v>122586</v>
      </c>
      <c r="C6393" t="s">
        <v>631</v>
      </c>
      <c r="D6393" t="s">
        <v>5675</v>
      </c>
      <c r="E6393" s="2">
        <f>475.53+20.76</f>
        <v>496.28999999999996</v>
      </c>
    </row>
    <row r="6394" spans="1:5" x14ac:dyDescent="0.25">
      <c r="A6394" s="1">
        <v>43587</v>
      </c>
      <c r="B6394">
        <v>122586</v>
      </c>
      <c r="C6394" t="s">
        <v>631</v>
      </c>
      <c r="D6394" t="s">
        <v>5676</v>
      </c>
      <c r="E6394" s="2">
        <v>125.12</v>
      </c>
    </row>
    <row r="6395" spans="1:5" x14ac:dyDescent="0.25">
      <c r="A6395" s="1">
        <v>43587</v>
      </c>
      <c r="B6395">
        <v>122586</v>
      </c>
      <c r="C6395" t="s">
        <v>631</v>
      </c>
      <c r="D6395" t="s">
        <v>5677</v>
      </c>
      <c r="E6395" s="2">
        <v>20.16</v>
      </c>
    </row>
    <row r="6396" spans="1:5" x14ac:dyDescent="0.25">
      <c r="A6396" s="1">
        <v>43587</v>
      </c>
      <c r="B6396">
        <v>122586</v>
      </c>
      <c r="C6396" t="s">
        <v>631</v>
      </c>
      <c r="D6396" t="s">
        <v>5678</v>
      </c>
      <c r="E6396" s="2">
        <v>202.84</v>
      </c>
    </row>
    <row r="6397" spans="1:5" x14ac:dyDescent="0.25">
      <c r="A6397" s="1">
        <v>43587</v>
      </c>
      <c r="B6397">
        <v>122586</v>
      </c>
      <c r="C6397" t="s">
        <v>631</v>
      </c>
      <c r="D6397" t="s">
        <v>5679</v>
      </c>
      <c r="E6397" s="2">
        <v>331.4</v>
      </c>
    </row>
    <row r="6398" spans="1:5" x14ac:dyDescent="0.25">
      <c r="A6398" s="1">
        <v>43587</v>
      </c>
      <c r="B6398">
        <v>122586</v>
      </c>
      <c r="C6398" t="s">
        <v>631</v>
      </c>
      <c r="D6398" t="s">
        <v>5680</v>
      </c>
      <c r="E6398" s="2">
        <v>243.42</v>
      </c>
    </row>
    <row r="6399" spans="1:5" x14ac:dyDescent="0.25">
      <c r="A6399" s="1">
        <v>43587</v>
      </c>
      <c r="B6399">
        <v>122586</v>
      </c>
      <c r="C6399" t="s">
        <v>631</v>
      </c>
      <c r="D6399" t="s">
        <v>5681</v>
      </c>
      <c r="E6399" s="2">
        <f>103+136.26</f>
        <v>239.26</v>
      </c>
    </row>
    <row r="6400" spans="1:5" x14ac:dyDescent="0.25">
      <c r="A6400" s="1">
        <v>43587</v>
      </c>
      <c r="B6400">
        <v>122586</v>
      </c>
      <c r="C6400" t="s">
        <v>631</v>
      </c>
      <c r="D6400" t="s">
        <v>5344</v>
      </c>
      <c r="E6400" s="2">
        <v>247.96</v>
      </c>
    </row>
    <row r="6401" spans="1:5" x14ac:dyDescent="0.25">
      <c r="A6401" s="1">
        <v>43587</v>
      </c>
      <c r="B6401">
        <v>122586</v>
      </c>
      <c r="C6401" t="s">
        <v>631</v>
      </c>
      <c r="D6401" t="s">
        <v>5682</v>
      </c>
      <c r="E6401" s="2">
        <f>242.26+210.72</f>
        <v>452.98</v>
      </c>
    </row>
    <row r="6402" spans="1:5" x14ac:dyDescent="0.25">
      <c r="A6402" s="1">
        <v>43587</v>
      </c>
      <c r="B6402">
        <v>122586</v>
      </c>
      <c r="C6402" t="s">
        <v>631</v>
      </c>
      <c r="D6402" t="s">
        <v>5683</v>
      </c>
      <c r="E6402" s="2">
        <v>173.57</v>
      </c>
    </row>
    <row r="6403" spans="1:5" x14ac:dyDescent="0.25">
      <c r="A6403" s="1">
        <v>43587</v>
      </c>
      <c r="B6403">
        <v>122586</v>
      </c>
      <c r="C6403" t="s">
        <v>631</v>
      </c>
      <c r="D6403" t="s">
        <v>5684</v>
      </c>
      <c r="E6403" s="2">
        <v>19.82</v>
      </c>
    </row>
    <row r="6404" spans="1:5" x14ac:dyDescent="0.25">
      <c r="A6404" s="1">
        <v>43587</v>
      </c>
      <c r="B6404">
        <v>122586</v>
      </c>
      <c r="C6404" t="s">
        <v>631</v>
      </c>
      <c r="D6404" t="s">
        <v>5682</v>
      </c>
      <c r="E6404" s="2">
        <v>122.44</v>
      </c>
    </row>
    <row r="6405" spans="1:5" x14ac:dyDescent="0.25">
      <c r="A6405" s="1">
        <v>43587</v>
      </c>
      <c r="B6405">
        <v>122586</v>
      </c>
      <c r="C6405" t="s">
        <v>631</v>
      </c>
      <c r="D6405" t="s">
        <v>5685</v>
      </c>
      <c r="E6405" s="2">
        <v>661.84</v>
      </c>
    </row>
    <row r="6406" spans="1:5" x14ac:dyDescent="0.25">
      <c r="A6406" s="1">
        <v>43587</v>
      </c>
      <c r="B6406">
        <v>122586</v>
      </c>
      <c r="C6406" t="s">
        <v>631</v>
      </c>
      <c r="D6406" t="s">
        <v>4825</v>
      </c>
      <c r="E6406" s="2">
        <v>166.48</v>
      </c>
    </row>
    <row r="6407" spans="1:5" x14ac:dyDescent="0.25">
      <c r="A6407" s="1">
        <v>43587</v>
      </c>
      <c r="B6407">
        <v>122586</v>
      </c>
      <c r="C6407" t="s">
        <v>631</v>
      </c>
      <c r="D6407" t="s">
        <v>5686</v>
      </c>
      <c r="E6407" s="2">
        <v>196.27</v>
      </c>
    </row>
    <row r="6408" spans="1:5" x14ac:dyDescent="0.25">
      <c r="A6408" s="1">
        <v>43587</v>
      </c>
      <c r="B6408">
        <v>122586</v>
      </c>
      <c r="C6408" t="s">
        <v>631</v>
      </c>
      <c r="D6408" t="s">
        <v>5687</v>
      </c>
      <c r="E6408" s="2">
        <v>179.11</v>
      </c>
    </row>
    <row r="6409" spans="1:5" x14ac:dyDescent="0.25">
      <c r="A6409" s="1">
        <v>43587</v>
      </c>
      <c r="B6409">
        <v>122586</v>
      </c>
      <c r="C6409" t="s">
        <v>631</v>
      </c>
      <c r="D6409" t="s">
        <v>5688</v>
      </c>
      <c r="E6409" s="2">
        <v>63.58</v>
      </c>
    </row>
    <row r="6410" spans="1:5" x14ac:dyDescent="0.25">
      <c r="A6410" s="1">
        <v>43587</v>
      </c>
      <c r="B6410">
        <v>122586</v>
      </c>
      <c r="C6410" t="s">
        <v>631</v>
      </c>
      <c r="D6410" t="s">
        <v>5689</v>
      </c>
      <c r="E6410" s="2">
        <v>1728</v>
      </c>
    </row>
    <row r="6411" spans="1:5" x14ac:dyDescent="0.25">
      <c r="A6411" s="1">
        <v>43587</v>
      </c>
      <c r="B6411">
        <v>122586</v>
      </c>
      <c r="C6411" t="s">
        <v>631</v>
      </c>
      <c r="D6411" t="s">
        <v>5690</v>
      </c>
      <c r="E6411" s="2">
        <v>90</v>
      </c>
    </row>
    <row r="6412" spans="1:5" x14ac:dyDescent="0.25">
      <c r="A6412" s="1">
        <v>43587</v>
      </c>
      <c r="B6412">
        <v>122586</v>
      </c>
      <c r="C6412" t="s">
        <v>631</v>
      </c>
      <c r="D6412" t="s">
        <v>5691</v>
      </c>
      <c r="E6412" s="2">
        <v>619.49</v>
      </c>
    </row>
    <row r="6413" spans="1:5" x14ac:dyDescent="0.25">
      <c r="A6413" s="1">
        <v>43587</v>
      </c>
      <c r="B6413">
        <v>122587</v>
      </c>
      <c r="C6413" t="s">
        <v>5692</v>
      </c>
      <c r="D6413" t="s">
        <v>5693</v>
      </c>
      <c r="E6413" s="2">
        <v>1717.51</v>
      </c>
    </row>
    <row r="6414" spans="1:5" x14ac:dyDescent="0.25">
      <c r="A6414" s="1">
        <v>43587</v>
      </c>
      <c r="B6414">
        <v>122588</v>
      </c>
      <c r="C6414" t="s">
        <v>2591</v>
      </c>
      <c r="D6414" t="s">
        <v>5694</v>
      </c>
      <c r="E6414" s="2">
        <f>320.25+503.25</f>
        <v>823.5</v>
      </c>
    </row>
    <row r="6415" spans="1:5" x14ac:dyDescent="0.25">
      <c r="A6415" s="1">
        <v>43587</v>
      </c>
      <c r="B6415">
        <v>122589</v>
      </c>
      <c r="C6415" t="s">
        <v>765</v>
      </c>
      <c r="D6415" t="s">
        <v>5695</v>
      </c>
      <c r="E6415" s="2">
        <v>33421.800000000003</v>
      </c>
    </row>
    <row r="6416" spans="1:5" x14ac:dyDescent="0.25">
      <c r="A6416" s="1">
        <v>43587</v>
      </c>
      <c r="B6416">
        <v>122590</v>
      </c>
      <c r="C6416" t="s">
        <v>309</v>
      </c>
      <c r="D6416" t="s">
        <v>5696</v>
      </c>
      <c r="E6416" s="2">
        <v>389.69</v>
      </c>
    </row>
    <row r="6417" spans="1:5" x14ac:dyDescent="0.25">
      <c r="A6417" s="1">
        <v>43587</v>
      </c>
      <c r="B6417">
        <v>122591</v>
      </c>
      <c r="C6417" t="s">
        <v>5697</v>
      </c>
      <c r="D6417" t="s">
        <v>5698</v>
      </c>
      <c r="E6417" s="2">
        <v>3328.39</v>
      </c>
    </row>
    <row r="6418" spans="1:5" x14ac:dyDescent="0.25">
      <c r="A6418" s="1">
        <v>43587</v>
      </c>
      <c r="B6418">
        <v>122592</v>
      </c>
      <c r="C6418" t="s">
        <v>2250</v>
      </c>
      <c r="D6418" t="s">
        <v>5699</v>
      </c>
      <c r="E6418" s="2">
        <v>2</v>
      </c>
    </row>
    <row r="6419" spans="1:5" x14ac:dyDescent="0.25">
      <c r="A6419" s="1">
        <v>43587</v>
      </c>
      <c r="B6419">
        <v>122593</v>
      </c>
      <c r="C6419" t="s">
        <v>2104</v>
      </c>
      <c r="D6419" t="s">
        <v>5700</v>
      </c>
      <c r="E6419" s="2">
        <v>710</v>
      </c>
    </row>
    <row r="6420" spans="1:5" x14ac:dyDescent="0.25">
      <c r="A6420" s="1">
        <v>43587</v>
      </c>
      <c r="B6420">
        <v>122594</v>
      </c>
      <c r="C6420" t="s">
        <v>88</v>
      </c>
      <c r="D6420" t="s">
        <v>5701</v>
      </c>
      <c r="E6420" s="2">
        <v>940</v>
      </c>
    </row>
    <row r="6421" spans="1:5" x14ac:dyDescent="0.25">
      <c r="A6421" s="1">
        <v>43587</v>
      </c>
      <c r="B6421">
        <v>122595</v>
      </c>
      <c r="C6421" t="s">
        <v>1527</v>
      </c>
      <c r="D6421" t="s">
        <v>5702</v>
      </c>
      <c r="E6421" s="2">
        <v>1520</v>
      </c>
    </row>
    <row r="6422" spans="1:5" x14ac:dyDescent="0.25">
      <c r="A6422" s="1">
        <v>43587</v>
      </c>
      <c r="B6422">
        <v>122596</v>
      </c>
      <c r="C6422" t="s">
        <v>327</v>
      </c>
      <c r="D6422" t="s">
        <v>328</v>
      </c>
      <c r="E6422" s="2">
        <v>1437.5</v>
      </c>
    </row>
    <row r="6423" spans="1:5" x14ac:dyDescent="0.25">
      <c r="A6423" s="1">
        <v>43587</v>
      </c>
      <c r="B6423">
        <v>122597</v>
      </c>
      <c r="C6423" t="s">
        <v>388</v>
      </c>
      <c r="D6423" t="s">
        <v>589</v>
      </c>
      <c r="E6423" s="2">
        <v>445.72</v>
      </c>
    </row>
    <row r="6424" spans="1:5" x14ac:dyDescent="0.25">
      <c r="A6424" s="1">
        <v>43587</v>
      </c>
      <c r="B6424">
        <v>122598</v>
      </c>
      <c r="C6424" t="s">
        <v>780</v>
      </c>
      <c r="D6424" t="s">
        <v>5703</v>
      </c>
      <c r="E6424" s="2">
        <f>1430.07+381.54+7651.6+273.9</f>
        <v>9737.11</v>
      </c>
    </row>
    <row r="6425" spans="1:5" x14ac:dyDescent="0.25">
      <c r="A6425" s="1">
        <v>43587</v>
      </c>
      <c r="B6425">
        <v>122599</v>
      </c>
      <c r="C6425" t="s">
        <v>1281</v>
      </c>
      <c r="D6425" t="s">
        <v>5704</v>
      </c>
      <c r="E6425" s="2">
        <v>729.38</v>
      </c>
    </row>
    <row r="6426" spans="1:5" x14ac:dyDescent="0.25">
      <c r="A6426" s="1">
        <v>43587</v>
      </c>
      <c r="B6426">
        <v>122600</v>
      </c>
      <c r="C6426" t="s">
        <v>5705</v>
      </c>
      <c r="D6426" t="s">
        <v>5706</v>
      </c>
      <c r="E6426" s="2">
        <v>1845.36</v>
      </c>
    </row>
    <row r="6427" spans="1:5" x14ac:dyDescent="0.25">
      <c r="A6427" s="1">
        <v>43587</v>
      </c>
      <c r="B6427">
        <v>181900307</v>
      </c>
      <c r="C6427" t="s">
        <v>4164</v>
      </c>
      <c r="D6427" t="s">
        <v>5707</v>
      </c>
      <c r="E6427" s="2">
        <v>25</v>
      </c>
    </row>
    <row r="6428" spans="1:5" x14ac:dyDescent="0.25">
      <c r="A6428" s="1">
        <v>43587</v>
      </c>
      <c r="B6428">
        <v>181900308</v>
      </c>
      <c r="C6428" t="s">
        <v>5708</v>
      </c>
      <c r="D6428" t="s">
        <v>5709</v>
      </c>
      <c r="E6428" s="2">
        <v>10</v>
      </c>
    </row>
    <row r="6429" spans="1:5" x14ac:dyDescent="0.25">
      <c r="A6429" s="1">
        <v>43587</v>
      </c>
      <c r="B6429">
        <v>181900309</v>
      </c>
      <c r="C6429" t="s">
        <v>395</v>
      </c>
      <c r="D6429" t="s">
        <v>5710</v>
      </c>
      <c r="E6429" s="2">
        <v>67.41</v>
      </c>
    </row>
    <row r="6430" spans="1:5" x14ac:dyDescent="0.25">
      <c r="A6430" s="1">
        <v>43587</v>
      </c>
      <c r="B6430">
        <v>181900310</v>
      </c>
      <c r="C6430" t="s">
        <v>274</v>
      </c>
      <c r="D6430" t="s">
        <v>5711</v>
      </c>
      <c r="E6430" s="2">
        <v>1552.95</v>
      </c>
    </row>
    <row r="6431" spans="1:5" x14ac:dyDescent="0.25">
      <c r="A6431" s="1">
        <v>43587</v>
      </c>
      <c r="B6431">
        <v>181900311</v>
      </c>
      <c r="C6431" t="s">
        <v>2823</v>
      </c>
      <c r="D6431" t="s">
        <v>5641</v>
      </c>
      <c r="E6431" s="2">
        <v>33.090000000000003</v>
      </c>
    </row>
    <row r="6432" spans="1:5" x14ac:dyDescent="0.25">
      <c r="A6432" s="1">
        <v>43587</v>
      </c>
      <c r="B6432">
        <v>181900312</v>
      </c>
      <c r="C6432" t="s">
        <v>1065</v>
      </c>
      <c r="D6432" t="s">
        <v>5712</v>
      </c>
      <c r="E6432" s="2">
        <v>25</v>
      </c>
    </row>
    <row r="6433" spans="1:5" x14ac:dyDescent="0.25">
      <c r="A6433" s="1">
        <v>43587</v>
      </c>
      <c r="B6433">
        <v>181900313</v>
      </c>
      <c r="C6433" t="s">
        <v>2100</v>
      </c>
      <c r="D6433" t="s">
        <v>5709</v>
      </c>
      <c r="E6433" s="2">
        <v>10</v>
      </c>
    </row>
    <row r="6434" spans="1:5" x14ac:dyDescent="0.25">
      <c r="A6434" s="1">
        <v>43587</v>
      </c>
      <c r="B6434">
        <v>181900314</v>
      </c>
      <c r="C6434" t="s">
        <v>5713</v>
      </c>
      <c r="D6434" t="s">
        <v>5714</v>
      </c>
      <c r="E6434" s="2">
        <v>310</v>
      </c>
    </row>
    <row r="6435" spans="1:5" x14ac:dyDescent="0.25">
      <c r="A6435" s="1">
        <v>43592</v>
      </c>
      <c r="B6435">
        <v>122601</v>
      </c>
      <c r="C6435" t="s">
        <v>5432</v>
      </c>
      <c r="D6435" t="s">
        <v>5715</v>
      </c>
      <c r="E6435" s="2">
        <v>164</v>
      </c>
    </row>
    <row r="6436" spans="1:5" x14ac:dyDescent="0.25">
      <c r="A6436" s="1">
        <v>43593</v>
      </c>
      <c r="B6436">
        <v>122602</v>
      </c>
      <c r="C6436" t="s">
        <v>1920</v>
      </c>
      <c r="D6436" t="s">
        <v>5716</v>
      </c>
      <c r="E6436" s="2">
        <v>100</v>
      </c>
    </row>
    <row r="6437" spans="1:5" x14ac:dyDescent="0.25">
      <c r="A6437" s="1">
        <v>43593</v>
      </c>
      <c r="B6437">
        <v>122603</v>
      </c>
      <c r="C6437" t="s">
        <v>1920</v>
      </c>
      <c r="D6437" t="s">
        <v>5717</v>
      </c>
      <c r="E6437" s="2">
        <v>1000</v>
      </c>
    </row>
    <row r="6438" spans="1:5" x14ac:dyDescent="0.25">
      <c r="A6438" s="1">
        <v>43593</v>
      </c>
      <c r="B6438">
        <v>122604</v>
      </c>
      <c r="C6438" t="s">
        <v>986</v>
      </c>
      <c r="D6438" t="s">
        <v>5718</v>
      </c>
      <c r="E6438" s="2">
        <v>261.25</v>
      </c>
    </row>
    <row r="6439" spans="1:5" x14ac:dyDescent="0.25">
      <c r="A6439" s="1">
        <v>43593</v>
      </c>
      <c r="B6439">
        <v>122605</v>
      </c>
      <c r="C6439" t="s">
        <v>5719</v>
      </c>
      <c r="D6439" t="s">
        <v>5720</v>
      </c>
      <c r="E6439" s="2">
        <v>645</v>
      </c>
    </row>
    <row r="6440" spans="1:5" x14ac:dyDescent="0.25">
      <c r="A6440" s="1">
        <v>43593</v>
      </c>
      <c r="B6440">
        <v>122606</v>
      </c>
      <c r="C6440" t="s">
        <v>67</v>
      </c>
      <c r="D6440" t="s">
        <v>5721</v>
      </c>
      <c r="E6440" s="2">
        <v>315</v>
      </c>
    </row>
    <row r="6441" spans="1:5" x14ac:dyDescent="0.25">
      <c r="A6441" s="1">
        <v>43593</v>
      </c>
      <c r="B6441">
        <v>122607</v>
      </c>
      <c r="C6441" t="s">
        <v>7</v>
      </c>
      <c r="D6441" t="s">
        <v>5722</v>
      </c>
      <c r="E6441" s="2">
        <v>90</v>
      </c>
    </row>
    <row r="6442" spans="1:5" x14ac:dyDescent="0.25">
      <c r="A6442" s="1">
        <v>43593</v>
      </c>
      <c r="B6442">
        <v>122607</v>
      </c>
      <c r="C6442" t="s">
        <v>7</v>
      </c>
      <c r="D6442" t="s">
        <v>5723</v>
      </c>
      <c r="E6442" s="2">
        <v>75</v>
      </c>
    </row>
    <row r="6443" spans="1:5" x14ac:dyDescent="0.25">
      <c r="A6443" s="1">
        <v>43593</v>
      </c>
      <c r="B6443">
        <v>122608</v>
      </c>
      <c r="C6443" t="s">
        <v>3556</v>
      </c>
      <c r="D6443" t="s">
        <v>5724</v>
      </c>
      <c r="E6443" s="2">
        <v>1019</v>
      </c>
    </row>
    <row r="6444" spans="1:5" x14ac:dyDescent="0.25">
      <c r="A6444" s="1">
        <v>43593</v>
      </c>
      <c r="B6444">
        <v>122609</v>
      </c>
      <c r="C6444" t="s">
        <v>5725</v>
      </c>
      <c r="D6444" t="s">
        <v>5726</v>
      </c>
      <c r="E6444" s="2">
        <v>1298</v>
      </c>
    </row>
    <row r="6445" spans="1:5" x14ac:dyDescent="0.25">
      <c r="A6445" s="1">
        <v>43593</v>
      </c>
      <c r="B6445">
        <v>122610</v>
      </c>
      <c r="C6445" t="s">
        <v>5727</v>
      </c>
      <c r="D6445" t="s">
        <v>5728</v>
      </c>
      <c r="E6445" s="2">
        <v>400</v>
      </c>
    </row>
    <row r="6446" spans="1:5" x14ac:dyDescent="0.25">
      <c r="A6446" s="1">
        <v>43593</v>
      </c>
      <c r="B6446">
        <v>122611</v>
      </c>
      <c r="C6446" t="s">
        <v>1338</v>
      </c>
      <c r="D6446" t="s">
        <v>3806</v>
      </c>
      <c r="E6446" s="2">
        <v>264.10000000000002</v>
      </c>
    </row>
    <row r="6447" spans="1:5" x14ac:dyDescent="0.25">
      <c r="A6447" s="1">
        <v>43593</v>
      </c>
      <c r="B6447">
        <v>122612</v>
      </c>
      <c r="C6447" t="s">
        <v>1338</v>
      </c>
      <c r="D6447" t="s">
        <v>3807</v>
      </c>
      <c r="E6447" s="2">
        <v>1781.3</v>
      </c>
    </row>
    <row r="6448" spans="1:5" x14ac:dyDescent="0.25">
      <c r="A6448" s="1">
        <v>43593</v>
      </c>
      <c r="B6448">
        <v>122613</v>
      </c>
      <c r="C6448" t="s">
        <v>77</v>
      </c>
      <c r="D6448" t="s">
        <v>5729</v>
      </c>
      <c r="E6448" s="2">
        <v>78.23</v>
      </c>
    </row>
    <row r="6449" spans="1:5" x14ac:dyDescent="0.25">
      <c r="A6449" s="1">
        <v>43593</v>
      </c>
      <c r="B6449">
        <v>122614</v>
      </c>
      <c r="C6449" t="s">
        <v>77</v>
      </c>
      <c r="D6449" t="s">
        <v>2294</v>
      </c>
      <c r="E6449" s="2">
        <v>50</v>
      </c>
    </row>
    <row r="6450" spans="1:5" x14ac:dyDescent="0.25">
      <c r="A6450" s="1">
        <v>43593</v>
      </c>
      <c r="B6450">
        <v>122615</v>
      </c>
      <c r="C6450" t="s">
        <v>80</v>
      </c>
      <c r="D6450" t="s">
        <v>5730</v>
      </c>
      <c r="E6450" s="2">
        <v>138.80000000000001</v>
      </c>
    </row>
    <row r="6451" spans="1:5" x14ac:dyDescent="0.25">
      <c r="A6451" s="1">
        <v>43593</v>
      </c>
      <c r="B6451">
        <v>122616</v>
      </c>
      <c r="C6451" t="s">
        <v>16</v>
      </c>
      <c r="D6451" t="s">
        <v>5731</v>
      </c>
      <c r="E6451" s="2">
        <v>3091.65</v>
      </c>
    </row>
    <row r="6452" spans="1:5" x14ac:dyDescent="0.25">
      <c r="A6452" s="1">
        <v>43593</v>
      </c>
      <c r="B6452">
        <v>122617</v>
      </c>
      <c r="C6452" t="s">
        <v>16</v>
      </c>
      <c r="D6452" t="s">
        <v>5732</v>
      </c>
      <c r="E6452" s="2">
        <v>3067.95</v>
      </c>
    </row>
    <row r="6453" spans="1:5" x14ac:dyDescent="0.25">
      <c r="A6453" s="1">
        <v>43593</v>
      </c>
      <c r="B6453">
        <v>122618</v>
      </c>
      <c r="C6453" t="s">
        <v>2248</v>
      </c>
      <c r="D6453" t="s">
        <v>5733</v>
      </c>
      <c r="E6453" s="2">
        <v>201.95</v>
      </c>
    </row>
    <row r="6454" spans="1:5" x14ac:dyDescent="0.25">
      <c r="A6454" s="1">
        <v>43593</v>
      </c>
      <c r="B6454">
        <v>122619</v>
      </c>
      <c r="C6454" t="s">
        <v>5734</v>
      </c>
      <c r="D6454" t="s">
        <v>5735</v>
      </c>
      <c r="E6454" s="2">
        <v>264.77999999999997</v>
      </c>
    </row>
    <row r="6455" spans="1:5" x14ac:dyDescent="0.25">
      <c r="A6455" s="1">
        <v>43593</v>
      </c>
      <c r="B6455">
        <v>122620</v>
      </c>
      <c r="C6455" t="s">
        <v>5736</v>
      </c>
      <c r="D6455" t="s">
        <v>5737</v>
      </c>
      <c r="E6455" s="2">
        <f>465+535+250</f>
        <v>1250</v>
      </c>
    </row>
    <row r="6456" spans="1:5" x14ac:dyDescent="0.25">
      <c r="A6456" s="1">
        <v>43593</v>
      </c>
      <c r="B6456">
        <v>122621</v>
      </c>
      <c r="C6456" t="s">
        <v>809</v>
      </c>
      <c r="D6456" t="s">
        <v>5738</v>
      </c>
      <c r="E6456" s="2">
        <v>174.48</v>
      </c>
    </row>
    <row r="6457" spans="1:5" x14ac:dyDescent="0.25">
      <c r="A6457" s="1">
        <v>43593</v>
      </c>
      <c r="B6457">
        <v>122622</v>
      </c>
      <c r="C6457" t="s">
        <v>19</v>
      </c>
      <c r="D6457" t="s">
        <v>5739</v>
      </c>
      <c r="E6457" s="2">
        <v>368</v>
      </c>
    </row>
    <row r="6458" spans="1:5" x14ac:dyDescent="0.25">
      <c r="A6458" s="1">
        <v>43593</v>
      </c>
      <c r="B6458">
        <v>181900315</v>
      </c>
      <c r="C6458" t="s">
        <v>302</v>
      </c>
      <c r="D6458" t="s">
        <v>5740</v>
      </c>
      <c r="E6458" s="2">
        <v>112</v>
      </c>
    </row>
    <row r="6459" spans="1:5" x14ac:dyDescent="0.25">
      <c r="A6459" s="1">
        <v>43593</v>
      </c>
      <c r="B6459">
        <v>181900316</v>
      </c>
      <c r="C6459" t="s">
        <v>393</v>
      </c>
      <c r="D6459" t="s">
        <v>5741</v>
      </c>
      <c r="E6459" s="2">
        <v>150</v>
      </c>
    </row>
    <row r="6460" spans="1:5" x14ac:dyDescent="0.25">
      <c r="A6460" s="1">
        <v>43593</v>
      </c>
      <c r="B6460">
        <v>201800178</v>
      </c>
      <c r="C6460" t="s">
        <v>1612</v>
      </c>
      <c r="D6460" t="s">
        <v>5742</v>
      </c>
      <c r="E6460" s="2">
        <v>500</v>
      </c>
    </row>
    <row r="6461" spans="1:5" x14ac:dyDescent="0.25">
      <c r="A6461" s="1">
        <v>43593</v>
      </c>
      <c r="B6461">
        <v>201800178</v>
      </c>
      <c r="C6461" t="s">
        <v>1612</v>
      </c>
      <c r="D6461" t="s">
        <v>5743</v>
      </c>
      <c r="E6461" s="2">
        <v>500</v>
      </c>
    </row>
    <row r="6462" spans="1:5" x14ac:dyDescent="0.25">
      <c r="A6462" s="1">
        <v>43593</v>
      </c>
      <c r="B6462">
        <v>201800206</v>
      </c>
      <c r="C6462" t="s">
        <v>5744</v>
      </c>
      <c r="D6462" t="s">
        <v>5745</v>
      </c>
      <c r="E6462" s="2">
        <v>3143.04</v>
      </c>
    </row>
    <row r="6463" spans="1:5" x14ac:dyDescent="0.25">
      <c r="A6463" s="1">
        <v>43593</v>
      </c>
      <c r="B6463">
        <v>201800207</v>
      </c>
      <c r="C6463" t="s">
        <v>5116</v>
      </c>
      <c r="D6463" t="s">
        <v>5746</v>
      </c>
      <c r="E6463" s="2">
        <v>300</v>
      </c>
    </row>
    <row r="6464" spans="1:5" x14ac:dyDescent="0.25">
      <c r="A6464" s="1">
        <v>43594</v>
      </c>
      <c r="B6464">
        <v>122623</v>
      </c>
      <c r="C6464" t="s">
        <v>1139</v>
      </c>
      <c r="D6464" t="s">
        <v>5747</v>
      </c>
      <c r="E6464" s="2">
        <v>14422.32</v>
      </c>
    </row>
    <row r="6465" spans="1:5" x14ac:dyDescent="0.25">
      <c r="A6465" s="1">
        <v>43594</v>
      </c>
      <c r="B6465">
        <v>122624</v>
      </c>
      <c r="C6465" t="s">
        <v>226</v>
      </c>
      <c r="D6465" t="s">
        <v>5748</v>
      </c>
      <c r="E6465" s="2">
        <v>160.16</v>
      </c>
    </row>
    <row r="6466" spans="1:5" x14ac:dyDescent="0.25">
      <c r="A6466" s="1">
        <v>43594</v>
      </c>
      <c r="B6466">
        <v>122625</v>
      </c>
      <c r="C6466" t="s">
        <v>1312</v>
      </c>
      <c r="D6466" t="s">
        <v>5749</v>
      </c>
      <c r="E6466" s="2">
        <v>86.08</v>
      </c>
    </row>
    <row r="6467" spans="1:5" x14ac:dyDescent="0.25">
      <c r="A6467" s="1">
        <v>43594</v>
      </c>
      <c r="B6467">
        <v>122626</v>
      </c>
      <c r="C6467" t="s">
        <v>3583</v>
      </c>
      <c r="D6467" t="s">
        <v>5750</v>
      </c>
      <c r="E6467" s="2">
        <v>19018.48</v>
      </c>
    </row>
    <row r="6468" spans="1:5" x14ac:dyDescent="0.25">
      <c r="A6468" s="1">
        <v>43594</v>
      </c>
      <c r="B6468">
        <v>122627</v>
      </c>
      <c r="C6468" t="s">
        <v>5242</v>
      </c>
      <c r="D6468" t="s">
        <v>5751</v>
      </c>
      <c r="E6468" s="2">
        <v>72.19</v>
      </c>
    </row>
    <row r="6469" spans="1:5" x14ac:dyDescent="0.25">
      <c r="A6469" s="1">
        <v>43594</v>
      </c>
      <c r="B6469">
        <v>122630</v>
      </c>
      <c r="C6469" t="s">
        <v>238</v>
      </c>
      <c r="D6469" t="s">
        <v>437</v>
      </c>
      <c r="E6469" s="2">
        <f>110.59+358.4+115.25+57.68+60.02+79.47+53.21+133.03+313.73+179.44+144.05+70.52+154.39</f>
        <v>1829.7800000000002</v>
      </c>
    </row>
    <row r="6470" spans="1:5" x14ac:dyDescent="0.25">
      <c r="A6470" s="1">
        <v>43594</v>
      </c>
      <c r="B6470">
        <v>122631</v>
      </c>
      <c r="C6470" t="s">
        <v>102</v>
      </c>
      <c r="D6470" t="s">
        <v>5752</v>
      </c>
      <c r="E6470" s="2">
        <v>67.53</v>
      </c>
    </row>
    <row r="6471" spans="1:5" x14ac:dyDescent="0.25">
      <c r="A6471" s="1">
        <v>43594</v>
      </c>
      <c r="B6471">
        <v>122632</v>
      </c>
      <c r="C6471" t="s">
        <v>5753</v>
      </c>
      <c r="D6471" t="s">
        <v>5754</v>
      </c>
      <c r="E6471" s="2">
        <v>39.049999999999997</v>
      </c>
    </row>
    <row r="6472" spans="1:5" x14ac:dyDescent="0.25">
      <c r="A6472" s="1">
        <v>43594</v>
      </c>
      <c r="B6472">
        <v>122633</v>
      </c>
      <c r="C6472" t="s">
        <v>823</v>
      </c>
      <c r="D6472" t="s">
        <v>5755</v>
      </c>
      <c r="E6472" s="2">
        <v>250</v>
      </c>
    </row>
    <row r="6473" spans="1:5" x14ac:dyDescent="0.25">
      <c r="A6473" s="1">
        <v>43594</v>
      </c>
      <c r="B6473">
        <v>122634</v>
      </c>
      <c r="C6473" t="s">
        <v>829</v>
      </c>
      <c r="D6473" t="s">
        <v>5755</v>
      </c>
      <c r="E6473" s="2">
        <v>250</v>
      </c>
    </row>
    <row r="6474" spans="1:5" x14ac:dyDescent="0.25">
      <c r="A6474" s="1">
        <v>43594</v>
      </c>
      <c r="B6474">
        <v>122635</v>
      </c>
      <c r="C6474" t="s">
        <v>67</v>
      </c>
      <c r="D6474" t="s">
        <v>5756</v>
      </c>
      <c r="E6474" s="2">
        <v>1080</v>
      </c>
    </row>
    <row r="6475" spans="1:5" x14ac:dyDescent="0.25">
      <c r="A6475" s="1">
        <v>43594</v>
      </c>
      <c r="B6475">
        <v>122635</v>
      </c>
      <c r="C6475" t="s">
        <v>67</v>
      </c>
      <c r="D6475" t="s">
        <v>5757</v>
      </c>
      <c r="E6475" s="2">
        <v>863.49</v>
      </c>
    </row>
    <row r="6476" spans="1:5" x14ac:dyDescent="0.25">
      <c r="A6476" s="1">
        <v>43594</v>
      </c>
      <c r="B6476">
        <v>122635</v>
      </c>
      <c r="C6476" t="s">
        <v>67</v>
      </c>
      <c r="D6476" t="s">
        <v>5758</v>
      </c>
      <c r="E6476" s="2">
        <v>1207.5</v>
      </c>
    </row>
    <row r="6477" spans="1:5" x14ac:dyDescent="0.25">
      <c r="A6477" s="1">
        <v>43594</v>
      </c>
      <c r="B6477">
        <v>122639</v>
      </c>
      <c r="C6477" t="s">
        <v>106</v>
      </c>
      <c r="D6477" t="s">
        <v>424</v>
      </c>
      <c r="E6477" s="2">
        <f>49.48+52.63+1723.62+189.72+530.21+1559.82+351.13+1496.25+1005.64+189.72+247.5+637.12+392.2+359.49+1096.64+351.13+351.13</f>
        <v>10583.429999999998</v>
      </c>
    </row>
    <row r="6478" spans="1:5" x14ac:dyDescent="0.25">
      <c r="A6478" s="1">
        <v>43594</v>
      </c>
      <c r="B6478">
        <v>122640</v>
      </c>
      <c r="C6478" t="s">
        <v>1177</v>
      </c>
      <c r="D6478" t="s">
        <v>5759</v>
      </c>
      <c r="E6478" s="2">
        <v>110</v>
      </c>
    </row>
    <row r="6479" spans="1:5" x14ac:dyDescent="0.25">
      <c r="A6479" s="1">
        <v>43594</v>
      </c>
      <c r="B6479">
        <v>122641</v>
      </c>
      <c r="C6479" t="s">
        <v>2550</v>
      </c>
      <c r="D6479" t="s">
        <v>5760</v>
      </c>
      <c r="E6479" s="2">
        <v>10</v>
      </c>
    </row>
    <row r="6480" spans="1:5" x14ac:dyDescent="0.25">
      <c r="A6480" s="1">
        <v>43594</v>
      </c>
      <c r="B6480">
        <v>122642</v>
      </c>
      <c r="C6480" t="s">
        <v>852</v>
      </c>
      <c r="D6480" t="s">
        <v>5761</v>
      </c>
      <c r="E6480" s="2">
        <v>250</v>
      </c>
    </row>
    <row r="6481" spans="1:5" x14ac:dyDescent="0.25">
      <c r="A6481" s="1">
        <v>43594</v>
      </c>
      <c r="B6481">
        <v>122643</v>
      </c>
      <c r="C6481" t="s">
        <v>2908</v>
      </c>
      <c r="D6481" t="s">
        <v>328</v>
      </c>
      <c r="E6481" s="2">
        <v>4056.25</v>
      </c>
    </row>
    <row r="6482" spans="1:5" x14ac:dyDescent="0.25">
      <c r="A6482" s="1">
        <v>43594</v>
      </c>
      <c r="B6482">
        <v>122644</v>
      </c>
      <c r="C6482" t="s">
        <v>5762</v>
      </c>
      <c r="D6482" t="s">
        <v>5754</v>
      </c>
      <c r="E6482" s="2">
        <v>39.049999999999997</v>
      </c>
    </row>
    <row r="6483" spans="1:5" x14ac:dyDescent="0.25">
      <c r="A6483" s="1">
        <v>43594</v>
      </c>
      <c r="B6483">
        <v>122645</v>
      </c>
      <c r="C6483" t="s">
        <v>275</v>
      </c>
      <c r="D6483" t="s">
        <v>5763</v>
      </c>
      <c r="E6483" s="2">
        <v>617.5</v>
      </c>
    </row>
    <row r="6484" spans="1:5" x14ac:dyDescent="0.25">
      <c r="A6484" s="1">
        <v>43594</v>
      </c>
      <c r="B6484">
        <v>122646</v>
      </c>
      <c r="C6484" t="s">
        <v>2406</v>
      </c>
      <c r="D6484" t="s">
        <v>4247</v>
      </c>
      <c r="E6484" s="2">
        <v>150</v>
      </c>
    </row>
    <row r="6485" spans="1:5" x14ac:dyDescent="0.25">
      <c r="A6485" s="1">
        <v>43594</v>
      </c>
      <c r="B6485">
        <v>122646</v>
      </c>
      <c r="C6485" t="s">
        <v>2406</v>
      </c>
      <c r="D6485" t="s">
        <v>5764</v>
      </c>
      <c r="E6485" s="2">
        <v>2000</v>
      </c>
    </row>
    <row r="6486" spans="1:5" x14ac:dyDescent="0.25">
      <c r="A6486" s="1">
        <v>43594</v>
      </c>
      <c r="B6486">
        <v>122647</v>
      </c>
      <c r="C6486" t="s">
        <v>1823</v>
      </c>
      <c r="D6486" t="s">
        <v>5765</v>
      </c>
      <c r="E6486" s="2">
        <v>1254.25</v>
      </c>
    </row>
    <row r="6487" spans="1:5" x14ac:dyDescent="0.25">
      <c r="A6487" s="1">
        <v>43594</v>
      </c>
      <c r="B6487">
        <v>122648</v>
      </c>
      <c r="C6487" t="s">
        <v>618</v>
      </c>
      <c r="D6487" t="s">
        <v>5766</v>
      </c>
      <c r="E6487" s="2">
        <v>91</v>
      </c>
    </row>
    <row r="6488" spans="1:5" x14ac:dyDescent="0.25">
      <c r="A6488" s="1">
        <v>43594</v>
      </c>
      <c r="B6488">
        <v>122649</v>
      </c>
      <c r="C6488" t="s">
        <v>5767</v>
      </c>
      <c r="D6488" t="s">
        <v>5768</v>
      </c>
      <c r="E6488" s="2">
        <v>85.5</v>
      </c>
    </row>
    <row r="6489" spans="1:5" x14ac:dyDescent="0.25">
      <c r="A6489" s="1">
        <v>43594</v>
      </c>
      <c r="B6489">
        <v>122650</v>
      </c>
      <c r="C6489" t="s">
        <v>47</v>
      </c>
      <c r="D6489" t="s">
        <v>5769</v>
      </c>
      <c r="E6489" s="2">
        <v>270.3</v>
      </c>
    </row>
    <row r="6490" spans="1:5" x14ac:dyDescent="0.25">
      <c r="A6490" s="1">
        <v>43594</v>
      </c>
      <c r="B6490">
        <v>122650</v>
      </c>
      <c r="C6490" t="s">
        <v>47</v>
      </c>
      <c r="D6490" t="s">
        <v>5770</v>
      </c>
      <c r="E6490" s="2">
        <v>140.47999999999999</v>
      </c>
    </row>
    <row r="6491" spans="1:5" x14ac:dyDescent="0.25">
      <c r="A6491" s="1">
        <v>43594</v>
      </c>
      <c r="B6491">
        <v>122651</v>
      </c>
      <c r="C6491" t="s">
        <v>74</v>
      </c>
      <c r="D6491" t="s">
        <v>5771</v>
      </c>
      <c r="E6491" s="2">
        <v>51.96</v>
      </c>
    </row>
    <row r="6492" spans="1:5" x14ac:dyDescent="0.25">
      <c r="A6492" s="1">
        <v>43594</v>
      </c>
      <c r="B6492">
        <v>122651</v>
      </c>
      <c r="C6492" t="s">
        <v>74</v>
      </c>
      <c r="D6492" t="s">
        <v>5772</v>
      </c>
      <c r="E6492" s="2">
        <v>26</v>
      </c>
    </row>
    <row r="6493" spans="1:5" x14ac:dyDescent="0.25">
      <c r="A6493" s="1">
        <v>43594</v>
      </c>
      <c r="B6493">
        <v>122652</v>
      </c>
      <c r="C6493" t="s">
        <v>146</v>
      </c>
      <c r="D6493" t="s">
        <v>5773</v>
      </c>
      <c r="E6493" s="2">
        <v>502.97</v>
      </c>
    </row>
    <row r="6494" spans="1:5" x14ac:dyDescent="0.25">
      <c r="A6494" s="1">
        <v>43594</v>
      </c>
      <c r="B6494">
        <v>122652</v>
      </c>
      <c r="C6494" t="s">
        <v>146</v>
      </c>
      <c r="D6494" t="s">
        <v>5774</v>
      </c>
      <c r="E6494" s="2">
        <v>6396.04</v>
      </c>
    </row>
    <row r="6495" spans="1:5" x14ac:dyDescent="0.25">
      <c r="A6495" s="1">
        <v>43594</v>
      </c>
      <c r="B6495">
        <v>122653</v>
      </c>
      <c r="C6495" t="s">
        <v>5775</v>
      </c>
      <c r="D6495" t="s">
        <v>5776</v>
      </c>
      <c r="E6495" s="2">
        <v>660</v>
      </c>
    </row>
    <row r="6496" spans="1:5" x14ac:dyDescent="0.25">
      <c r="A6496" s="1">
        <v>43594</v>
      </c>
      <c r="B6496">
        <v>122654</v>
      </c>
      <c r="C6496" t="s">
        <v>336</v>
      </c>
      <c r="D6496" t="s">
        <v>5777</v>
      </c>
      <c r="E6496" s="2">
        <v>174.38</v>
      </c>
    </row>
    <row r="6497" spans="1:5" x14ac:dyDescent="0.25">
      <c r="A6497" s="1">
        <v>43594</v>
      </c>
      <c r="B6497">
        <v>122656</v>
      </c>
      <c r="C6497" t="s">
        <v>75</v>
      </c>
      <c r="D6497" t="s">
        <v>5778</v>
      </c>
      <c r="E6497" s="2">
        <v>43.42</v>
      </c>
    </row>
    <row r="6498" spans="1:5" x14ac:dyDescent="0.25">
      <c r="A6498" s="1">
        <v>43594</v>
      </c>
      <c r="B6498">
        <v>122656</v>
      </c>
      <c r="C6498" t="s">
        <v>75</v>
      </c>
      <c r="D6498" t="s">
        <v>5778</v>
      </c>
      <c r="E6498" s="2">
        <v>89.1</v>
      </c>
    </row>
    <row r="6499" spans="1:5" x14ac:dyDescent="0.25">
      <c r="A6499" s="1">
        <v>43594</v>
      </c>
      <c r="B6499">
        <v>122656</v>
      </c>
      <c r="C6499" t="s">
        <v>75</v>
      </c>
      <c r="D6499" t="s">
        <v>1222</v>
      </c>
      <c r="E6499" s="2">
        <v>73.31</v>
      </c>
    </row>
    <row r="6500" spans="1:5" x14ac:dyDescent="0.25">
      <c r="A6500" s="1">
        <v>43594</v>
      </c>
      <c r="B6500">
        <v>122656</v>
      </c>
      <c r="C6500" t="s">
        <v>75</v>
      </c>
      <c r="D6500" t="s">
        <v>1222</v>
      </c>
      <c r="E6500" s="2">
        <v>89.1</v>
      </c>
    </row>
    <row r="6501" spans="1:5" x14ac:dyDescent="0.25">
      <c r="A6501" s="1">
        <v>43594</v>
      </c>
      <c r="B6501">
        <v>122656</v>
      </c>
      <c r="C6501" t="s">
        <v>75</v>
      </c>
      <c r="D6501" t="s">
        <v>5779</v>
      </c>
      <c r="E6501" s="2">
        <v>25.22</v>
      </c>
    </row>
    <row r="6502" spans="1:5" x14ac:dyDescent="0.25">
      <c r="A6502" s="1">
        <v>43594</v>
      </c>
      <c r="B6502">
        <v>122656</v>
      </c>
      <c r="C6502" t="s">
        <v>75</v>
      </c>
      <c r="D6502" t="s">
        <v>1222</v>
      </c>
      <c r="E6502" s="2">
        <v>27.58</v>
      </c>
    </row>
    <row r="6503" spans="1:5" x14ac:dyDescent="0.25">
      <c r="A6503" s="1">
        <v>43594</v>
      </c>
      <c r="B6503">
        <v>122657</v>
      </c>
      <c r="C6503" t="s">
        <v>875</v>
      </c>
      <c r="D6503" t="s">
        <v>5755</v>
      </c>
      <c r="E6503" s="2">
        <v>250</v>
      </c>
    </row>
    <row r="6504" spans="1:5" x14ac:dyDescent="0.25">
      <c r="A6504" s="1">
        <v>43594</v>
      </c>
      <c r="B6504">
        <v>122658</v>
      </c>
      <c r="C6504" t="s">
        <v>3548</v>
      </c>
      <c r="D6504" t="s">
        <v>5780</v>
      </c>
      <c r="E6504" s="2">
        <v>317.7</v>
      </c>
    </row>
    <row r="6505" spans="1:5" x14ac:dyDescent="0.25">
      <c r="A6505" s="1">
        <v>43594</v>
      </c>
      <c r="B6505">
        <v>122659</v>
      </c>
      <c r="C6505" t="s">
        <v>50</v>
      </c>
      <c r="D6505" t="s">
        <v>2047</v>
      </c>
      <c r="E6505" s="2">
        <v>3540</v>
      </c>
    </row>
    <row r="6506" spans="1:5" x14ac:dyDescent="0.25">
      <c r="A6506" s="1">
        <v>43594</v>
      </c>
      <c r="B6506">
        <v>122660</v>
      </c>
      <c r="C6506" t="s">
        <v>80</v>
      </c>
      <c r="D6506" t="s">
        <v>1039</v>
      </c>
      <c r="E6506" s="2">
        <v>137.29</v>
      </c>
    </row>
    <row r="6507" spans="1:5" x14ac:dyDescent="0.25">
      <c r="A6507" s="1">
        <v>43594</v>
      </c>
      <c r="B6507">
        <v>122661</v>
      </c>
      <c r="C6507" t="s">
        <v>629</v>
      </c>
      <c r="D6507" t="s">
        <v>5781</v>
      </c>
      <c r="E6507" s="2">
        <v>301.69</v>
      </c>
    </row>
    <row r="6508" spans="1:5" x14ac:dyDescent="0.25">
      <c r="A6508" s="1">
        <v>43594</v>
      </c>
      <c r="B6508">
        <v>122662</v>
      </c>
      <c r="C6508" t="s">
        <v>5782</v>
      </c>
      <c r="D6508" t="s">
        <v>5783</v>
      </c>
      <c r="E6508" s="2">
        <v>3875</v>
      </c>
    </row>
    <row r="6509" spans="1:5" x14ac:dyDescent="0.25">
      <c r="A6509" s="1">
        <v>43594</v>
      </c>
      <c r="B6509">
        <v>122663</v>
      </c>
      <c r="C6509" t="s">
        <v>2591</v>
      </c>
      <c r="D6509" t="s">
        <v>5763</v>
      </c>
      <c r="E6509" s="2">
        <v>747.5</v>
      </c>
    </row>
    <row r="6510" spans="1:5" x14ac:dyDescent="0.25">
      <c r="A6510" s="1">
        <v>43594</v>
      </c>
      <c r="B6510">
        <v>122664</v>
      </c>
      <c r="C6510" t="s">
        <v>308</v>
      </c>
      <c r="D6510" t="s">
        <v>5784</v>
      </c>
      <c r="E6510" s="2">
        <v>1374.38</v>
      </c>
    </row>
    <row r="6511" spans="1:5" x14ac:dyDescent="0.25">
      <c r="A6511" s="1">
        <v>43594</v>
      </c>
      <c r="B6511">
        <v>122665</v>
      </c>
      <c r="C6511" t="s">
        <v>3761</v>
      </c>
      <c r="D6511" t="s">
        <v>5785</v>
      </c>
      <c r="E6511" s="2">
        <v>164.3</v>
      </c>
    </row>
    <row r="6512" spans="1:5" x14ac:dyDescent="0.25">
      <c r="A6512" s="1">
        <v>43594</v>
      </c>
      <c r="B6512">
        <v>122666</v>
      </c>
      <c r="C6512" t="s">
        <v>314</v>
      </c>
      <c r="D6512" t="s">
        <v>885</v>
      </c>
      <c r="E6512" s="2">
        <v>266</v>
      </c>
    </row>
    <row r="6513" spans="1:5" x14ac:dyDescent="0.25">
      <c r="A6513" s="1">
        <v>43594</v>
      </c>
      <c r="B6513">
        <v>122667</v>
      </c>
      <c r="C6513" t="s">
        <v>2248</v>
      </c>
      <c r="D6513" t="s">
        <v>3374</v>
      </c>
      <c r="E6513" s="2">
        <v>519.9</v>
      </c>
    </row>
    <row r="6514" spans="1:5" x14ac:dyDescent="0.25">
      <c r="A6514" s="1">
        <v>43594</v>
      </c>
      <c r="B6514">
        <v>122668</v>
      </c>
      <c r="C6514" t="s">
        <v>88</v>
      </c>
      <c r="D6514" t="s">
        <v>5786</v>
      </c>
      <c r="E6514" s="2">
        <v>411.5</v>
      </c>
    </row>
    <row r="6515" spans="1:5" x14ac:dyDescent="0.25">
      <c r="A6515" s="1">
        <v>43594</v>
      </c>
      <c r="B6515">
        <v>122669</v>
      </c>
      <c r="C6515" t="s">
        <v>1264</v>
      </c>
      <c r="D6515" t="s">
        <v>5787</v>
      </c>
      <c r="E6515" s="2">
        <v>3500</v>
      </c>
    </row>
    <row r="6516" spans="1:5" x14ac:dyDescent="0.25">
      <c r="A6516" s="1">
        <v>43594</v>
      </c>
      <c r="B6516">
        <v>122670</v>
      </c>
      <c r="C6516" t="s">
        <v>5788</v>
      </c>
      <c r="D6516" t="s">
        <v>5789</v>
      </c>
      <c r="E6516" s="2">
        <v>500</v>
      </c>
    </row>
    <row r="6517" spans="1:5" x14ac:dyDescent="0.25">
      <c r="A6517" s="1">
        <v>43594</v>
      </c>
      <c r="B6517">
        <v>122671</v>
      </c>
      <c r="C6517" t="s">
        <v>388</v>
      </c>
      <c r="D6517" t="s">
        <v>5790</v>
      </c>
      <c r="E6517" s="2">
        <f>1812.8+1162.81+1804.06+52.07+4611.18</f>
        <v>9442.92</v>
      </c>
    </row>
    <row r="6518" spans="1:5" x14ac:dyDescent="0.25">
      <c r="A6518" s="1">
        <v>43594</v>
      </c>
      <c r="B6518">
        <v>122672</v>
      </c>
      <c r="C6518" t="s">
        <v>184</v>
      </c>
      <c r="D6518" t="s">
        <v>2816</v>
      </c>
      <c r="E6518" s="2">
        <v>4561.66</v>
      </c>
    </row>
    <row r="6519" spans="1:5" x14ac:dyDescent="0.25">
      <c r="A6519" s="1">
        <v>43594</v>
      </c>
      <c r="B6519">
        <v>122677</v>
      </c>
      <c r="C6519" t="s">
        <v>644</v>
      </c>
      <c r="D6519" t="s">
        <v>5791</v>
      </c>
      <c r="E6519" s="2">
        <v>42</v>
      </c>
    </row>
    <row r="6520" spans="1:5" x14ac:dyDescent="0.25">
      <c r="A6520" s="1">
        <v>43594</v>
      </c>
      <c r="B6520">
        <v>122677</v>
      </c>
      <c r="C6520" t="s">
        <v>644</v>
      </c>
      <c r="D6520" t="s">
        <v>5792</v>
      </c>
      <c r="E6520" s="2">
        <v>67.14</v>
      </c>
    </row>
    <row r="6521" spans="1:5" x14ac:dyDescent="0.25">
      <c r="A6521" s="1">
        <v>43594</v>
      </c>
      <c r="B6521">
        <v>122677</v>
      </c>
      <c r="C6521" t="s">
        <v>644</v>
      </c>
      <c r="D6521" t="s">
        <v>5793</v>
      </c>
      <c r="E6521" s="2">
        <f>22.51+21.78+76.75+66.14</f>
        <v>187.18</v>
      </c>
    </row>
    <row r="6522" spans="1:5" x14ac:dyDescent="0.25">
      <c r="A6522" s="1">
        <v>43594</v>
      </c>
      <c r="B6522">
        <v>122677</v>
      </c>
      <c r="C6522" t="s">
        <v>644</v>
      </c>
      <c r="D6522" t="s">
        <v>5791</v>
      </c>
      <c r="E6522" s="2">
        <v>61</v>
      </c>
    </row>
    <row r="6523" spans="1:5" x14ac:dyDescent="0.25">
      <c r="A6523" s="1">
        <v>43594</v>
      </c>
      <c r="B6523">
        <v>122677</v>
      </c>
      <c r="C6523" t="s">
        <v>644</v>
      </c>
      <c r="D6523" t="s">
        <v>5793</v>
      </c>
      <c r="E6523" s="2">
        <f>64.09+27.5+61+26+22.89+60.01+60.55+0.09</f>
        <v>322.13</v>
      </c>
    </row>
    <row r="6524" spans="1:5" x14ac:dyDescent="0.25">
      <c r="A6524" s="1">
        <v>43594</v>
      </c>
      <c r="B6524">
        <v>122677</v>
      </c>
      <c r="C6524" t="s">
        <v>644</v>
      </c>
      <c r="D6524" t="s">
        <v>5794</v>
      </c>
      <c r="E6524" s="2">
        <f>60.17+68.11</f>
        <v>128.28</v>
      </c>
    </row>
    <row r="6525" spans="1:5" x14ac:dyDescent="0.25">
      <c r="A6525" s="1">
        <v>43594</v>
      </c>
      <c r="B6525">
        <v>122677</v>
      </c>
      <c r="C6525" t="s">
        <v>644</v>
      </c>
      <c r="D6525" t="s">
        <v>5795</v>
      </c>
      <c r="E6525" s="2">
        <v>59.68</v>
      </c>
    </row>
    <row r="6526" spans="1:5" x14ac:dyDescent="0.25">
      <c r="A6526" s="1">
        <v>43594</v>
      </c>
      <c r="B6526">
        <v>122679</v>
      </c>
      <c r="C6526" t="s">
        <v>392</v>
      </c>
      <c r="D6526" t="s">
        <v>2458</v>
      </c>
      <c r="E6526" s="2">
        <v>15628.41</v>
      </c>
    </row>
    <row r="6527" spans="1:5" x14ac:dyDescent="0.25">
      <c r="A6527" s="1">
        <v>43594</v>
      </c>
      <c r="B6527">
        <v>122681</v>
      </c>
      <c r="C6527" t="s">
        <v>75</v>
      </c>
      <c r="D6527" t="s">
        <v>5796</v>
      </c>
      <c r="E6527" s="2">
        <v>43.42</v>
      </c>
    </row>
    <row r="6528" spans="1:5" x14ac:dyDescent="0.25">
      <c r="A6528" s="1">
        <v>43594</v>
      </c>
      <c r="B6528">
        <v>122681</v>
      </c>
      <c r="C6528" t="s">
        <v>75</v>
      </c>
      <c r="D6528" t="s">
        <v>5797</v>
      </c>
      <c r="E6528" s="2">
        <f>27.58+9.1+73.31</f>
        <v>109.99000000000001</v>
      </c>
    </row>
    <row r="6529" spans="1:5" x14ac:dyDescent="0.25">
      <c r="A6529" s="1">
        <v>43594</v>
      </c>
      <c r="B6529">
        <v>122681</v>
      </c>
      <c r="C6529" t="s">
        <v>75</v>
      </c>
      <c r="D6529" t="s">
        <v>5798</v>
      </c>
      <c r="E6529" s="2">
        <v>25.22</v>
      </c>
    </row>
    <row r="6530" spans="1:5" x14ac:dyDescent="0.25">
      <c r="A6530" s="1">
        <v>43594</v>
      </c>
      <c r="B6530">
        <v>122682</v>
      </c>
      <c r="C6530" t="s">
        <v>744</v>
      </c>
      <c r="D6530" t="s">
        <v>4514</v>
      </c>
      <c r="E6530" s="2">
        <v>3172.74</v>
      </c>
    </row>
    <row r="6531" spans="1:5" x14ac:dyDescent="0.25">
      <c r="A6531" s="1">
        <v>43594</v>
      </c>
      <c r="B6531">
        <v>122683</v>
      </c>
      <c r="C6531" t="s">
        <v>80</v>
      </c>
      <c r="D6531" t="s">
        <v>1039</v>
      </c>
      <c r="E6531" s="2">
        <v>88.8</v>
      </c>
    </row>
    <row r="6532" spans="1:5" x14ac:dyDescent="0.25">
      <c r="A6532" s="1">
        <v>43594</v>
      </c>
      <c r="B6532">
        <v>181900317</v>
      </c>
      <c r="C6532" t="s">
        <v>4205</v>
      </c>
      <c r="D6532" t="s">
        <v>5799</v>
      </c>
      <c r="E6532" s="2">
        <v>95.6</v>
      </c>
    </row>
    <row r="6533" spans="1:5" x14ac:dyDescent="0.25">
      <c r="A6533" s="1">
        <v>43594</v>
      </c>
      <c r="B6533">
        <v>181900318</v>
      </c>
      <c r="C6533" t="s">
        <v>394</v>
      </c>
      <c r="D6533" t="s">
        <v>5641</v>
      </c>
      <c r="E6533" s="2">
        <v>90.43</v>
      </c>
    </row>
    <row r="6534" spans="1:5" x14ac:dyDescent="0.25">
      <c r="A6534" s="1">
        <v>43594</v>
      </c>
      <c r="B6534">
        <v>181900319</v>
      </c>
      <c r="C6534" t="s">
        <v>398</v>
      </c>
      <c r="D6534" t="s">
        <v>2463</v>
      </c>
      <c r="E6534" s="2">
        <v>134461.76999999999</v>
      </c>
    </row>
    <row r="6535" spans="1:5" x14ac:dyDescent="0.25">
      <c r="A6535" s="1">
        <v>43594</v>
      </c>
      <c r="B6535">
        <v>181900319</v>
      </c>
      <c r="C6535" t="s">
        <v>398</v>
      </c>
      <c r="D6535" t="s">
        <v>5800</v>
      </c>
      <c r="E6535" s="2">
        <f>885.19+628.49</f>
        <v>1513.68</v>
      </c>
    </row>
    <row r="6536" spans="1:5" x14ac:dyDescent="0.25">
      <c r="A6536" s="1">
        <v>43594</v>
      </c>
      <c r="B6536">
        <v>181900321</v>
      </c>
      <c r="C6536" t="s">
        <v>274</v>
      </c>
      <c r="D6536" t="s">
        <v>583</v>
      </c>
      <c r="E6536" s="2">
        <v>219.83</v>
      </c>
    </row>
    <row r="6537" spans="1:5" x14ac:dyDescent="0.25">
      <c r="A6537" s="1">
        <v>43594</v>
      </c>
      <c r="B6537">
        <v>181900321</v>
      </c>
      <c r="C6537" t="s">
        <v>274</v>
      </c>
      <c r="D6537" t="s">
        <v>5801</v>
      </c>
      <c r="E6537" s="2">
        <v>1323.3</v>
      </c>
    </row>
    <row r="6538" spans="1:5" x14ac:dyDescent="0.25">
      <c r="A6538" s="1">
        <v>43594</v>
      </c>
      <c r="B6538">
        <v>181900321</v>
      </c>
      <c r="C6538" t="s">
        <v>274</v>
      </c>
      <c r="D6538" t="s">
        <v>5802</v>
      </c>
      <c r="E6538" s="2">
        <v>333.93</v>
      </c>
    </row>
    <row r="6539" spans="1:5" x14ac:dyDescent="0.25">
      <c r="A6539" s="1">
        <v>43594</v>
      </c>
      <c r="B6539">
        <v>181900321</v>
      </c>
      <c r="C6539" t="s">
        <v>274</v>
      </c>
      <c r="D6539" t="s">
        <v>583</v>
      </c>
      <c r="E6539" s="2">
        <v>1455.18</v>
      </c>
    </row>
    <row r="6540" spans="1:5" x14ac:dyDescent="0.25">
      <c r="A6540" s="1">
        <v>43594</v>
      </c>
      <c r="B6540">
        <v>181900322</v>
      </c>
      <c r="C6540" t="s">
        <v>48</v>
      </c>
      <c r="D6540" t="s">
        <v>2022</v>
      </c>
      <c r="E6540" s="2">
        <v>8345.86</v>
      </c>
    </row>
    <row r="6541" spans="1:5" x14ac:dyDescent="0.25">
      <c r="A6541" s="1">
        <v>43594</v>
      </c>
      <c r="B6541">
        <v>181900323</v>
      </c>
      <c r="C6541" t="s">
        <v>4157</v>
      </c>
      <c r="D6541" t="s">
        <v>5294</v>
      </c>
      <c r="E6541" s="2">
        <v>98.15</v>
      </c>
    </row>
    <row r="6542" spans="1:5" x14ac:dyDescent="0.25">
      <c r="A6542" s="1">
        <v>43598</v>
      </c>
      <c r="B6542">
        <v>122694</v>
      </c>
      <c r="C6542" t="s">
        <v>125</v>
      </c>
      <c r="D6542" t="s">
        <v>464</v>
      </c>
      <c r="E6542" s="2">
        <v>407.47</v>
      </c>
    </row>
    <row r="6543" spans="1:5" x14ac:dyDescent="0.25">
      <c r="A6543" s="1">
        <v>43598</v>
      </c>
      <c r="B6543">
        <v>122694</v>
      </c>
      <c r="C6543" t="s">
        <v>125</v>
      </c>
      <c r="D6543" t="s">
        <v>567</v>
      </c>
      <c r="E6543" s="2">
        <v>965.16</v>
      </c>
    </row>
    <row r="6544" spans="1:5" x14ac:dyDescent="0.25">
      <c r="A6544" s="1">
        <v>43598</v>
      </c>
      <c r="B6544">
        <v>122694</v>
      </c>
      <c r="C6544" t="s">
        <v>125</v>
      </c>
      <c r="D6544" t="s">
        <v>5803</v>
      </c>
      <c r="E6544" s="2">
        <f>81.6+16.45</f>
        <v>98.05</v>
      </c>
    </row>
    <row r="6545" spans="1:5" x14ac:dyDescent="0.25">
      <c r="A6545" s="1">
        <v>43598</v>
      </c>
      <c r="B6545">
        <v>122694</v>
      </c>
      <c r="C6545" t="s">
        <v>125</v>
      </c>
      <c r="D6545" t="s">
        <v>5804</v>
      </c>
      <c r="E6545" s="2">
        <v>96.55</v>
      </c>
    </row>
    <row r="6546" spans="1:5" x14ac:dyDescent="0.25">
      <c r="A6546" s="1">
        <v>43598</v>
      </c>
      <c r="B6546">
        <v>122694</v>
      </c>
      <c r="C6546" t="s">
        <v>125</v>
      </c>
      <c r="D6546" t="s">
        <v>5805</v>
      </c>
      <c r="E6546" s="2">
        <v>212.88</v>
      </c>
    </row>
    <row r="6547" spans="1:5" x14ac:dyDescent="0.25">
      <c r="A6547" s="1">
        <v>43598</v>
      </c>
      <c r="B6547">
        <v>122694</v>
      </c>
      <c r="C6547" t="s">
        <v>125</v>
      </c>
      <c r="D6547" t="s">
        <v>5806</v>
      </c>
      <c r="E6547" s="2">
        <v>481.12</v>
      </c>
    </row>
    <row r="6548" spans="1:5" x14ac:dyDescent="0.25">
      <c r="A6548" s="1">
        <v>43598</v>
      </c>
      <c r="B6548">
        <v>122694</v>
      </c>
      <c r="C6548" t="s">
        <v>125</v>
      </c>
      <c r="D6548" t="s">
        <v>5807</v>
      </c>
      <c r="E6548" s="2">
        <f>619.52+8.77</f>
        <v>628.29</v>
      </c>
    </row>
    <row r="6549" spans="1:5" x14ac:dyDescent="0.25">
      <c r="A6549" s="1">
        <v>43598</v>
      </c>
      <c r="B6549">
        <v>122694</v>
      </c>
      <c r="C6549" t="s">
        <v>125</v>
      </c>
      <c r="D6549" t="s">
        <v>5643</v>
      </c>
      <c r="E6549" s="2">
        <v>84.44</v>
      </c>
    </row>
    <row r="6550" spans="1:5" x14ac:dyDescent="0.25">
      <c r="A6550" s="1">
        <v>43598</v>
      </c>
      <c r="B6550">
        <v>122694</v>
      </c>
      <c r="C6550" t="s">
        <v>125</v>
      </c>
      <c r="D6550" t="s">
        <v>5703</v>
      </c>
      <c r="E6550" s="2">
        <f>96.77+211.2-16.1</f>
        <v>291.86999999999995</v>
      </c>
    </row>
    <row r="6551" spans="1:5" x14ac:dyDescent="0.25">
      <c r="A6551" s="1">
        <v>43598</v>
      </c>
      <c r="B6551">
        <v>122694</v>
      </c>
      <c r="C6551" t="s">
        <v>125</v>
      </c>
      <c r="D6551" t="s">
        <v>5808</v>
      </c>
      <c r="E6551" s="2">
        <v>127.68</v>
      </c>
    </row>
    <row r="6552" spans="1:5" x14ac:dyDescent="0.25">
      <c r="A6552" s="1">
        <v>43598</v>
      </c>
      <c r="B6552">
        <v>122694</v>
      </c>
      <c r="C6552" t="s">
        <v>125</v>
      </c>
      <c r="D6552" t="s">
        <v>2312</v>
      </c>
      <c r="E6552" s="2">
        <v>896.1</v>
      </c>
    </row>
    <row r="6553" spans="1:5" x14ac:dyDescent="0.25">
      <c r="A6553" s="1">
        <v>43598</v>
      </c>
      <c r="B6553">
        <v>122694</v>
      </c>
      <c r="C6553" t="s">
        <v>125</v>
      </c>
      <c r="D6553" t="s">
        <v>5809</v>
      </c>
      <c r="E6553" s="2">
        <f>193.23+32.3</f>
        <v>225.52999999999997</v>
      </c>
    </row>
    <row r="6554" spans="1:5" x14ac:dyDescent="0.25">
      <c r="A6554" s="1">
        <v>43598</v>
      </c>
      <c r="B6554">
        <v>122694</v>
      </c>
      <c r="C6554" t="s">
        <v>125</v>
      </c>
      <c r="D6554" t="s">
        <v>5807</v>
      </c>
      <c r="E6554" s="2">
        <v>55.98</v>
      </c>
    </row>
    <row r="6555" spans="1:5" x14ac:dyDescent="0.25">
      <c r="A6555" s="1">
        <v>43598</v>
      </c>
      <c r="B6555">
        <v>122694</v>
      </c>
      <c r="C6555" t="s">
        <v>125</v>
      </c>
      <c r="D6555" t="s">
        <v>5810</v>
      </c>
      <c r="E6555" s="2">
        <f>2093.21+1051.94</f>
        <v>3145.15</v>
      </c>
    </row>
    <row r="6556" spans="1:5" x14ac:dyDescent="0.25">
      <c r="A6556" s="1">
        <v>43598</v>
      </c>
      <c r="B6556">
        <v>122694</v>
      </c>
      <c r="C6556" t="s">
        <v>125</v>
      </c>
      <c r="D6556" t="s">
        <v>5811</v>
      </c>
      <c r="E6556" s="2">
        <v>330.38</v>
      </c>
    </row>
    <row r="6557" spans="1:5" x14ac:dyDescent="0.25">
      <c r="A6557" s="1">
        <v>43598</v>
      </c>
      <c r="B6557">
        <v>122694</v>
      </c>
      <c r="C6557" t="s">
        <v>125</v>
      </c>
      <c r="D6557" t="s">
        <v>5812</v>
      </c>
      <c r="E6557" s="2">
        <v>5.12</v>
      </c>
    </row>
    <row r="6558" spans="1:5" x14ac:dyDescent="0.25">
      <c r="A6558" s="1">
        <v>43598</v>
      </c>
      <c r="B6558">
        <v>122694</v>
      </c>
      <c r="C6558" t="s">
        <v>125</v>
      </c>
      <c r="D6558" t="s">
        <v>5813</v>
      </c>
      <c r="E6558" s="2">
        <v>125.49</v>
      </c>
    </row>
    <row r="6559" spans="1:5" x14ac:dyDescent="0.25">
      <c r="A6559" s="1">
        <v>43598</v>
      </c>
      <c r="B6559">
        <v>122694</v>
      </c>
      <c r="C6559" t="s">
        <v>125</v>
      </c>
      <c r="D6559" t="s">
        <v>5814</v>
      </c>
      <c r="E6559" s="2">
        <v>61.25</v>
      </c>
    </row>
    <row r="6560" spans="1:5" x14ac:dyDescent="0.25">
      <c r="A6560" s="1">
        <v>43598</v>
      </c>
      <c r="B6560">
        <v>122694</v>
      </c>
      <c r="C6560" t="s">
        <v>125</v>
      </c>
      <c r="D6560" t="s">
        <v>5815</v>
      </c>
      <c r="E6560" s="2">
        <v>47.7</v>
      </c>
    </row>
    <row r="6561" spans="1:5" x14ac:dyDescent="0.25">
      <c r="A6561" s="1">
        <v>43598</v>
      </c>
      <c r="B6561">
        <v>122694</v>
      </c>
      <c r="C6561" t="s">
        <v>125</v>
      </c>
      <c r="D6561" t="s">
        <v>5816</v>
      </c>
      <c r="E6561" s="2">
        <v>37.659999999999997</v>
      </c>
    </row>
    <row r="6562" spans="1:5" x14ac:dyDescent="0.25">
      <c r="A6562" s="1">
        <v>43598</v>
      </c>
      <c r="B6562">
        <v>122694</v>
      </c>
      <c r="C6562" t="s">
        <v>125</v>
      </c>
      <c r="D6562" t="s">
        <v>5817</v>
      </c>
      <c r="E6562" s="2">
        <v>64.290000000000006</v>
      </c>
    </row>
    <row r="6563" spans="1:5" x14ac:dyDescent="0.25">
      <c r="A6563" s="1">
        <v>43598</v>
      </c>
      <c r="B6563">
        <v>122694</v>
      </c>
      <c r="C6563" t="s">
        <v>125</v>
      </c>
      <c r="D6563" t="s">
        <v>5812</v>
      </c>
      <c r="E6563" s="2">
        <v>87.96</v>
      </c>
    </row>
    <row r="6564" spans="1:5" x14ac:dyDescent="0.25">
      <c r="A6564" s="1">
        <v>43598</v>
      </c>
      <c r="B6564">
        <v>122694</v>
      </c>
      <c r="C6564" t="s">
        <v>125</v>
      </c>
      <c r="D6564" t="s">
        <v>5818</v>
      </c>
      <c r="E6564" s="2">
        <v>75.22</v>
      </c>
    </row>
    <row r="6565" spans="1:5" x14ac:dyDescent="0.25">
      <c r="A6565" s="1">
        <v>43598</v>
      </c>
      <c r="B6565">
        <v>122694</v>
      </c>
      <c r="C6565" t="s">
        <v>125</v>
      </c>
      <c r="D6565" t="s">
        <v>5819</v>
      </c>
      <c r="E6565" s="2">
        <f>3302.1+855+1102.5</f>
        <v>5259.6</v>
      </c>
    </row>
    <row r="6566" spans="1:5" x14ac:dyDescent="0.25">
      <c r="A6566" s="1">
        <v>43598</v>
      </c>
      <c r="B6566">
        <v>122694</v>
      </c>
      <c r="C6566" t="s">
        <v>125</v>
      </c>
      <c r="D6566" t="s">
        <v>5820</v>
      </c>
      <c r="E6566" s="2">
        <v>48.85</v>
      </c>
    </row>
    <row r="6567" spans="1:5" x14ac:dyDescent="0.25">
      <c r="A6567" s="1">
        <v>43598</v>
      </c>
      <c r="B6567">
        <v>122694</v>
      </c>
      <c r="C6567" t="s">
        <v>125</v>
      </c>
      <c r="D6567" t="s">
        <v>5821</v>
      </c>
      <c r="E6567" s="2">
        <v>189.29</v>
      </c>
    </row>
    <row r="6568" spans="1:5" x14ac:dyDescent="0.25">
      <c r="A6568" s="1">
        <v>43598</v>
      </c>
      <c r="B6568">
        <v>122694</v>
      </c>
      <c r="C6568" t="s">
        <v>125</v>
      </c>
      <c r="D6568" t="s">
        <v>5822</v>
      </c>
      <c r="E6568" s="2">
        <v>174.17</v>
      </c>
    </row>
    <row r="6569" spans="1:5" x14ac:dyDescent="0.25">
      <c r="A6569" s="1">
        <v>43598</v>
      </c>
      <c r="B6569">
        <v>122694</v>
      </c>
      <c r="C6569" t="s">
        <v>125</v>
      </c>
      <c r="D6569" t="s">
        <v>5812</v>
      </c>
      <c r="E6569" s="2">
        <v>21.22</v>
      </c>
    </row>
    <row r="6570" spans="1:5" x14ac:dyDescent="0.25">
      <c r="A6570" s="1">
        <v>43598</v>
      </c>
      <c r="B6570">
        <v>122695</v>
      </c>
      <c r="C6570" t="s">
        <v>744</v>
      </c>
      <c r="D6570" t="s">
        <v>4514</v>
      </c>
      <c r="E6570" s="2">
        <v>3083.94</v>
      </c>
    </row>
    <row r="6571" spans="1:5" x14ac:dyDescent="0.25">
      <c r="A6571" s="1">
        <v>43598</v>
      </c>
      <c r="B6571">
        <v>122696</v>
      </c>
      <c r="C6571" t="s">
        <v>125</v>
      </c>
      <c r="D6571" t="s">
        <v>1016</v>
      </c>
      <c r="E6571" s="3">
        <v>-58.28</v>
      </c>
    </row>
    <row r="6572" spans="1:5" x14ac:dyDescent="0.25">
      <c r="A6572" s="1">
        <v>43598</v>
      </c>
      <c r="B6572">
        <v>122696</v>
      </c>
      <c r="C6572" t="s">
        <v>125</v>
      </c>
      <c r="D6572" t="s">
        <v>5271</v>
      </c>
      <c r="E6572" s="2">
        <v>72.83</v>
      </c>
    </row>
    <row r="6573" spans="1:5" x14ac:dyDescent="0.25">
      <c r="A6573" s="1">
        <v>43600</v>
      </c>
      <c r="B6573">
        <v>122697</v>
      </c>
      <c r="C6573" t="s">
        <v>64</v>
      </c>
      <c r="D6573" t="s">
        <v>5823</v>
      </c>
      <c r="E6573" s="2">
        <v>680</v>
      </c>
    </row>
    <row r="6574" spans="1:5" x14ac:dyDescent="0.25">
      <c r="A6574" s="1">
        <v>43600</v>
      </c>
      <c r="B6574">
        <v>122698</v>
      </c>
      <c r="C6574" t="s">
        <v>3048</v>
      </c>
      <c r="D6574" t="s">
        <v>5824</v>
      </c>
      <c r="E6574" s="2">
        <v>12.5</v>
      </c>
    </row>
    <row r="6575" spans="1:5" x14ac:dyDescent="0.25">
      <c r="A6575" s="1">
        <v>43600</v>
      </c>
      <c r="B6575">
        <v>122699</v>
      </c>
      <c r="C6575" t="s">
        <v>66</v>
      </c>
      <c r="D6575" t="s">
        <v>5825</v>
      </c>
      <c r="E6575" s="2">
        <v>5.98</v>
      </c>
    </row>
    <row r="6576" spans="1:5" x14ac:dyDescent="0.25">
      <c r="A6576" s="1">
        <v>43600</v>
      </c>
      <c r="B6576">
        <v>122700</v>
      </c>
      <c r="C6576" t="s">
        <v>100</v>
      </c>
      <c r="D6576" t="s">
        <v>5826</v>
      </c>
      <c r="E6576" s="2">
        <v>173.99</v>
      </c>
    </row>
    <row r="6577" spans="1:5" x14ac:dyDescent="0.25">
      <c r="A6577" s="1">
        <v>43600</v>
      </c>
      <c r="B6577">
        <v>122701</v>
      </c>
      <c r="C6577" t="s">
        <v>4902</v>
      </c>
      <c r="D6577" t="s">
        <v>5827</v>
      </c>
      <c r="E6577" s="2">
        <v>6303</v>
      </c>
    </row>
    <row r="6578" spans="1:5" x14ac:dyDescent="0.25">
      <c r="A6578" s="1">
        <v>43600</v>
      </c>
      <c r="B6578">
        <v>122702</v>
      </c>
      <c r="C6578" t="s">
        <v>5828</v>
      </c>
      <c r="D6578" t="s">
        <v>5829</v>
      </c>
      <c r="E6578" s="2">
        <v>94</v>
      </c>
    </row>
    <row r="6579" spans="1:5" x14ac:dyDescent="0.25">
      <c r="A6579" s="1">
        <v>43600</v>
      </c>
      <c r="B6579">
        <v>122703</v>
      </c>
      <c r="C6579" t="s">
        <v>67</v>
      </c>
      <c r="D6579" t="s">
        <v>5830</v>
      </c>
      <c r="E6579" s="2">
        <v>1135.3399999999999</v>
      </c>
    </row>
    <row r="6580" spans="1:5" x14ac:dyDescent="0.25">
      <c r="A6580" s="1">
        <v>43600</v>
      </c>
      <c r="B6580">
        <v>122704</v>
      </c>
      <c r="C6580" t="s">
        <v>7</v>
      </c>
      <c r="D6580" t="s">
        <v>5831</v>
      </c>
      <c r="E6580" s="2">
        <v>132</v>
      </c>
    </row>
    <row r="6581" spans="1:5" x14ac:dyDescent="0.25">
      <c r="A6581" s="1">
        <v>43600</v>
      </c>
      <c r="B6581">
        <v>122704</v>
      </c>
      <c r="C6581" t="s">
        <v>7</v>
      </c>
      <c r="D6581" t="s">
        <v>5832</v>
      </c>
      <c r="E6581" s="2">
        <v>132</v>
      </c>
    </row>
    <row r="6582" spans="1:5" x14ac:dyDescent="0.25">
      <c r="A6582" s="1">
        <v>43600</v>
      </c>
      <c r="B6582">
        <v>122705</v>
      </c>
      <c r="C6582" t="s">
        <v>3120</v>
      </c>
      <c r="D6582" t="s">
        <v>5833</v>
      </c>
      <c r="E6582" s="2">
        <v>23.78</v>
      </c>
    </row>
    <row r="6583" spans="1:5" x14ac:dyDescent="0.25">
      <c r="A6583" s="1">
        <v>43600</v>
      </c>
      <c r="B6583">
        <v>122706</v>
      </c>
      <c r="C6583" t="s">
        <v>5156</v>
      </c>
      <c r="D6583" t="s">
        <v>5834</v>
      </c>
      <c r="E6583" s="2">
        <v>100</v>
      </c>
    </row>
    <row r="6584" spans="1:5" x14ac:dyDescent="0.25">
      <c r="A6584" s="1">
        <v>43600</v>
      </c>
      <c r="B6584">
        <v>122707</v>
      </c>
      <c r="C6584" t="s">
        <v>1094</v>
      </c>
      <c r="D6584" t="s">
        <v>5835</v>
      </c>
      <c r="E6584" s="2">
        <v>292.8</v>
      </c>
    </row>
    <row r="6585" spans="1:5" x14ac:dyDescent="0.25">
      <c r="A6585" s="1">
        <v>43600</v>
      </c>
      <c r="B6585">
        <v>122707</v>
      </c>
      <c r="C6585" t="s">
        <v>1094</v>
      </c>
      <c r="D6585" t="s">
        <v>5836</v>
      </c>
      <c r="E6585" s="2">
        <v>283.75</v>
      </c>
    </row>
    <row r="6586" spans="1:5" x14ac:dyDescent="0.25">
      <c r="A6586" s="1">
        <v>43600</v>
      </c>
      <c r="B6586">
        <v>122708</v>
      </c>
      <c r="C6586" t="s">
        <v>199</v>
      </c>
      <c r="D6586" t="s">
        <v>5378</v>
      </c>
      <c r="E6586" s="2">
        <v>80</v>
      </c>
    </row>
    <row r="6587" spans="1:5" x14ac:dyDescent="0.25">
      <c r="A6587" s="1">
        <v>43600</v>
      </c>
      <c r="B6587">
        <v>122709</v>
      </c>
      <c r="C6587" t="s">
        <v>1762</v>
      </c>
      <c r="D6587" t="s">
        <v>5837</v>
      </c>
      <c r="E6587" s="2">
        <v>118.54</v>
      </c>
    </row>
    <row r="6588" spans="1:5" x14ac:dyDescent="0.25">
      <c r="A6588" s="1">
        <v>43600</v>
      </c>
      <c r="B6588">
        <v>122710</v>
      </c>
      <c r="C6588" t="s">
        <v>5838</v>
      </c>
      <c r="D6588" t="s">
        <v>5829</v>
      </c>
      <c r="E6588" s="2">
        <v>53</v>
      </c>
    </row>
    <row r="6589" spans="1:5" x14ac:dyDescent="0.25">
      <c r="A6589" s="1">
        <v>43600</v>
      </c>
      <c r="B6589">
        <v>122711</v>
      </c>
      <c r="C6589" t="s">
        <v>5839</v>
      </c>
      <c r="D6589" t="s">
        <v>5840</v>
      </c>
      <c r="E6589" s="2">
        <v>1375</v>
      </c>
    </row>
    <row r="6590" spans="1:5" x14ac:dyDescent="0.25">
      <c r="A6590" s="1">
        <v>43600</v>
      </c>
      <c r="B6590">
        <v>122712</v>
      </c>
      <c r="C6590" t="s">
        <v>74</v>
      </c>
      <c r="D6590" t="s">
        <v>5841</v>
      </c>
      <c r="E6590" s="2">
        <v>148.97999999999999</v>
      </c>
    </row>
    <row r="6591" spans="1:5" x14ac:dyDescent="0.25">
      <c r="A6591" s="1">
        <v>43600</v>
      </c>
      <c r="B6591">
        <v>122713</v>
      </c>
      <c r="C6591" t="s">
        <v>5842</v>
      </c>
      <c r="D6591" t="s">
        <v>5843</v>
      </c>
      <c r="E6591" s="2">
        <v>195</v>
      </c>
    </row>
    <row r="6592" spans="1:5" x14ac:dyDescent="0.25">
      <c r="A6592" s="1">
        <v>43600</v>
      </c>
      <c r="B6592">
        <v>122714</v>
      </c>
      <c r="C6592" t="s">
        <v>11</v>
      </c>
      <c r="D6592" t="s">
        <v>1486</v>
      </c>
      <c r="E6592" s="2">
        <v>231.31</v>
      </c>
    </row>
    <row r="6593" spans="1:5" x14ac:dyDescent="0.25">
      <c r="A6593" s="1">
        <v>43600</v>
      </c>
      <c r="B6593">
        <v>122715</v>
      </c>
      <c r="C6593" t="s">
        <v>2292</v>
      </c>
      <c r="D6593" t="s">
        <v>5844</v>
      </c>
      <c r="E6593" s="2">
        <v>987</v>
      </c>
    </row>
    <row r="6594" spans="1:5" x14ac:dyDescent="0.25">
      <c r="A6594" s="1">
        <v>43600</v>
      </c>
      <c r="B6594">
        <v>122716</v>
      </c>
      <c r="C6594" t="s">
        <v>1345</v>
      </c>
      <c r="D6594" t="s">
        <v>5845</v>
      </c>
      <c r="E6594" s="2">
        <v>351</v>
      </c>
    </row>
    <row r="6595" spans="1:5" x14ac:dyDescent="0.25">
      <c r="A6595" s="1">
        <v>43600</v>
      </c>
      <c r="B6595">
        <v>122717</v>
      </c>
      <c r="C6595" t="s">
        <v>77</v>
      </c>
      <c r="D6595" t="s">
        <v>4311</v>
      </c>
      <c r="E6595" s="2">
        <v>70.16</v>
      </c>
    </row>
    <row r="6596" spans="1:5" x14ac:dyDescent="0.25">
      <c r="A6596" s="1">
        <v>43600</v>
      </c>
      <c r="B6596">
        <v>122718</v>
      </c>
      <c r="C6596" t="s">
        <v>77</v>
      </c>
      <c r="D6596" t="s">
        <v>2294</v>
      </c>
      <c r="E6596" s="2">
        <v>40</v>
      </c>
    </row>
    <row r="6597" spans="1:5" x14ac:dyDescent="0.25">
      <c r="A6597" s="1">
        <v>43600</v>
      </c>
      <c r="B6597">
        <v>122719</v>
      </c>
      <c r="C6597" t="s">
        <v>80</v>
      </c>
      <c r="D6597" t="s">
        <v>5846</v>
      </c>
      <c r="E6597" s="2">
        <v>83.83</v>
      </c>
    </row>
    <row r="6598" spans="1:5" x14ac:dyDescent="0.25">
      <c r="A6598" s="1">
        <v>43600</v>
      </c>
      <c r="B6598">
        <v>122720</v>
      </c>
      <c r="C6598" t="s">
        <v>4648</v>
      </c>
      <c r="D6598" t="s">
        <v>5847</v>
      </c>
      <c r="E6598" s="2">
        <f>1079.4+3538.8</f>
        <v>4618.2000000000007</v>
      </c>
    </row>
    <row r="6599" spans="1:5" x14ac:dyDescent="0.25">
      <c r="A6599" s="1">
        <v>43600</v>
      </c>
      <c r="B6599">
        <v>122721</v>
      </c>
      <c r="C6599" t="s">
        <v>5605</v>
      </c>
      <c r="D6599" t="s">
        <v>5848</v>
      </c>
      <c r="E6599" s="2">
        <v>194.94</v>
      </c>
    </row>
    <row r="6600" spans="1:5" x14ac:dyDescent="0.25">
      <c r="A6600" s="1">
        <v>43600</v>
      </c>
      <c r="B6600">
        <v>122722</v>
      </c>
      <c r="C6600" t="s">
        <v>639</v>
      </c>
      <c r="D6600" t="s">
        <v>5849</v>
      </c>
      <c r="E6600" s="2">
        <v>455.82</v>
      </c>
    </row>
    <row r="6601" spans="1:5" x14ac:dyDescent="0.25">
      <c r="A6601" s="1">
        <v>43600</v>
      </c>
      <c r="B6601">
        <v>122723</v>
      </c>
      <c r="C6601" t="s">
        <v>639</v>
      </c>
      <c r="D6601" t="s">
        <v>5850</v>
      </c>
      <c r="E6601" s="2">
        <v>1823.28</v>
      </c>
    </row>
    <row r="6602" spans="1:5" x14ac:dyDescent="0.25">
      <c r="A6602" s="1">
        <v>43600</v>
      </c>
      <c r="B6602">
        <v>122724</v>
      </c>
      <c r="C6602" t="s">
        <v>2970</v>
      </c>
      <c r="D6602" t="s">
        <v>5851</v>
      </c>
      <c r="E6602" s="2">
        <v>2500</v>
      </c>
    </row>
    <row r="6603" spans="1:5" x14ac:dyDescent="0.25">
      <c r="A6603" s="1">
        <v>43600</v>
      </c>
      <c r="B6603">
        <v>122725</v>
      </c>
      <c r="C6603" t="s">
        <v>1256</v>
      </c>
      <c r="D6603" t="s">
        <v>5852</v>
      </c>
      <c r="E6603" s="2">
        <v>340</v>
      </c>
    </row>
    <row r="6604" spans="1:5" x14ac:dyDescent="0.25">
      <c r="A6604" s="1">
        <v>43600</v>
      </c>
      <c r="B6604">
        <v>122726</v>
      </c>
      <c r="C6604" t="s">
        <v>2712</v>
      </c>
      <c r="D6604" t="s">
        <v>5853</v>
      </c>
      <c r="E6604" s="2">
        <v>84.99</v>
      </c>
    </row>
    <row r="6605" spans="1:5" x14ac:dyDescent="0.25">
      <c r="A6605" s="1">
        <v>43600</v>
      </c>
      <c r="B6605">
        <v>122727</v>
      </c>
      <c r="C6605" t="s">
        <v>5736</v>
      </c>
      <c r="D6605" t="s">
        <v>5854</v>
      </c>
      <c r="E6605" s="2">
        <v>69.95</v>
      </c>
    </row>
    <row r="6606" spans="1:5" x14ac:dyDescent="0.25">
      <c r="A6606" s="1">
        <v>43600</v>
      </c>
      <c r="B6606">
        <v>122727</v>
      </c>
      <c r="C6606" t="s">
        <v>5736</v>
      </c>
      <c r="D6606" t="s">
        <v>5855</v>
      </c>
      <c r="E6606" s="2">
        <v>594.79</v>
      </c>
    </row>
    <row r="6607" spans="1:5" x14ac:dyDescent="0.25">
      <c r="A6607" s="1">
        <v>43600</v>
      </c>
      <c r="B6607">
        <v>122728</v>
      </c>
      <c r="C6607" t="s">
        <v>5856</v>
      </c>
      <c r="D6607" t="s">
        <v>5829</v>
      </c>
      <c r="E6607" s="2">
        <v>94</v>
      </c>
    </row>
    <row r="6608" spans="1:5" x14ac:dyDescent="0.25">
      <c r="A6608" s="1">
        <v>43600</v>
      </c>
      <c r="B6608">
        <v>122729</v>
      </c>
      <c r="C6608" t="s">
        <v>5857</v>
      </c>
      <c r="D6608" t="s">
        <v>5858</v>
      </c>
      <c r="E6608" s="2">
        <v>2250</v>
      </c>
    </row>
    <row r="6609" spans="1:5" x14ac:dyDescent="0.25">
      <c r="A6609" s="1">
        <v>43600</v>
      </c>
      <c r="B6609">
        <v>122730</v>
      </c>
      <c r="C6609" t="s">
        <v>5859</v>
      </c>
      <c r="D6609" t="s">
        <v>5851</v>
      </c>
      <c r="E6609" s="2">
        <v>2000</v>
      </c>
    </row>
    <row r="6610" spans="1:5" x14ac:dyDescent="0.25">
      <c r="A6610" s="1">
        <v>43600</v>
      </c>
      <c r="B6610">
        <v>122731</v>
      </c>
      <c r="C6610" t="s">
        <v>19</v>
      </c>
      <c r="D6610" t="s">
        <v>5860</v>
      </c>
      <c r="E6610" s="2">
        <v>474.5</v>
      </c>
    </row>
    <row r="6611" spans="1:5" x14ac:dyDescent="0.25">
      <c r="A6611" s="1">
        <v>43600</v>
      </c>
      <c r="B6611">
        <v>122731</v>
      </c>
      <c r="C6611" t="s">
        <v>19</v>
      </c>
      <c r="D6611" t="s">
        <v>5861</v>
      </c>
      <c r="E6611" s="2">
        <v>180</v>
      </c>
    </row>
    <row r="6612" spans="1:5" x14ac:dyDescent="0.25">
      <c r="A6612" s="1">
        <v>43600</v>
      </c>
      <c r="B6612">
        <v>181900324</v>
      </c>
      <c r="C6612" t="s">
        <v>650</v>
      </c>
      <c r="D6612" t="s">
        <v>4571</v>
      </c>
      <c r="E6612" s="2">
        <v>195</v>
      </c>
    </row>
    <row r="6613" spans="1:5" x14ac:dyDescent="0.25">
      <c r="A6613" s="1">
        <v>43600</v>
      </c>
      <c r="B6613">
        <v>181900325</v>
      </c>
      <c r="C6613" t="s">
        <v>274</v>
      </c>
      <c r="D6613" t="s">
        <v>583</v>
      </c>
      <c r="E6613" s="2">
        <v>1683.48</v>
      </c>
    </row>
    <row r="6614" spans="1:5" x14ac:dyDescent="0.25">
      <c r="A6614" s="1">
        <v>43600</v>
      </c>
      <c r="B6614">
        <v>181900326</v>
      </c>
      <c r="C6614" t="s">
        <v>393</v>
      </c>
      <c r="D6614" t="s">
        <v>5862</v>
      </c>
      <c r="E6614" s="2">
        <v>122.5</v>
      </c>
    </row>
    <row r="6615" spans="1:5" x14ac:dyDescent="0.25">
      <c r="A6615" s="1">
        <v>43601</v>
      </c>
      <c r="B6615">
        <v>122732</v>
      </c>
      <c r="C6615" t="s">
        <v>988</v>
      </c>
      <c r="D6615" t="s">
        <v>5863</v>
      </c>
      <c r="E6615" s="2">
        <v>134.82</v>
      </c>
    </row>
    <row r="6616" spans="1:5" x14ac:dyDescent="0.25">
      <c r="A6616" s="1">
        <v>43601</v>
      </c>
      <c r="B6616">
        <v>122733</v>
      </c>
      <c r="C6616" t="s">
        <v>64</v>
      </c>
      <c r="D6616" t="s">
        <v>5864</v>
      </c>
      <c r="E6616" s="2">
        <v>335</v>
      </c>
    </row>
    <row r="6617" spans="1:5" x14ac:dyDescent="0.25">
      <c r="A6617" s="1">
        <v>43601</v>
      </c>
      <c r="B6617">
        <v>122734</v>
      </c>
      <c r="C6617" t="s">
        <v>226</v>
      </c>
      <c r="D6617" t="s">
        <v>5865</v>
      </c>
      <c r="E6617" s="2">
        <v>50</v>
      </c>
    </row>
    <row r="6618" spans="1:5" x14ac:dyDescent="0.25">
      <c r="A6618" s="1">
        <v>43601</v>
      </c>
      <c r="B6618">
        <v>122734</v>
      </c>
      <c r="C6618" t="s">
        <v>226</v>
      </c>
      <c r="D6618" t="s">
        <v>5866</v>
      </c>
      <c r="E6618" s="2">
        <v>241.46</v>
      </c>
    </row>
    <row r="6619" spans="1:5" x14ac:dyDescent="0.25">
      <c r="A6619" s="1">
        <v>43601</v>
      </c>
      <c r="B6619">
        <v>122735</v>
      </c>
      <c r="C6619" t="s">
        <v>238</v>
      </c>
      <c r="D6619" t="s">
        <v>5867</v>
      </c>
      <c r="E6619" s="2">
        <v>686.05</v>
      </c>
    </row>
    <row r="6620" spans="1:5" x14ac:dyDescent="0.25">
      <c r="A6620" s="1">
        <v>43601</v>
      </c>
      <c r="B6620">
        <v>122736</v>
      </c>
      <c r="C6620" t="s">
        <v>5868</v>
      </c>
      <c r="D6620" t="s">
        <v>5869</v>
      </c>
      <c r="E6620" s="2">
        <v>14000</v>
      </c>
    </row>
    <row r="6621" spans="1:5" x14ac:dyDescent="0.25">
      <c r="A6621" s="1">
        <v>43601</v>
      </c>
      <c r="B6621">
        <v>122737</v>
      </c>
      <c r="C6621" t="s">
        <v>823</v>
      </c>
      <c r="D6621" t="s">
        <v>5870</v>
      </c>
      <c r="E6621" s="2">
        <v>500</v>
      </c>
    </row>
    <row r="6622" spans="1:5" x14ac:dyDescent="0.25">
      <c r="A6622" s="1">
        <v>43601</v>
      </c>
      <c r="B6622">
        <v>122738</v>
      </c>
      <c r="C6622" t="s">
        <v>244</v>
      </c>
      <c r="D6622" t="s">
        <v>5871</v>
      </c>
      <c r="E6622" s="2">
        <v>364.17</v>
      </c>
    </row>
    <row r="6623" spans="1:5" x14ac:dyDescent="0.25">
      <c r="A6623" s="1">
        <v>43601</v>
      </c>
      <c r="B6623">
        <v>122739</v>
      </c>
      <c r="C6623" t="s">
        <v>247</v>
      </c>
      <c r="D6623" t="s">
        <v>5872</v>
      </c>
      <c r="E6623" s="2">
        <v>1612.72</v>
      </c>
    </row>
    <row r="6624" spans="1:5" x14ac:dyDescent="0.25">
      <c r="A6624" s="1">
        <v>43601</v>
      </c>
      <c r="B6624">
        <v>122740</v>
      </c>
      <c r="C6624" t="s">
        <v>1173</v>
      </c>
      <c r="D6624" t="s">
        <v>5870</v>
      </c>
      <c r="E6624" s="2">
        <v>250</v>
      </c>
    </row>
    <row r="6625" spans="1:5" x14ac:dyDescent="0.25">
      <c r="A6625" s="1">
        <v>43601</v>
      </c>
      <c r="B6625">
        <v>122741</v>
      </c>
      <c r="C6625" t="s">
        <v>2173</v>
      </c>
      <c r="D6625" t="s">
        <v>5873</v>
      </c>
      <c r="E6625" s="2">
        <v>45</v>
      </c>
    </row>
    <row r="6626" spans="1:5" x14ac:dyDescent="0.25">
      <c r="A6626" s="1">
        <v>43601</v>
      </c>
      <c r="B6626">
        <v>122742</v>
      </c>
      <c r="C6626" t="s">
        <v>114</v>
      </c>
      <c r="D6626" t="s">
        <v>5760</v>
      </c>
      <c r="E6626" s="2">
        <v>220</v>
      </c>
    </row>
    <row r="6627" spans="1:5" x14ac:dyDescent="0.25">
      <c r="A6627" s="1">
        <v>43601</v>
      </c>
      <c r="B6627">
        <v>122743</v>
      </c>
      <c r="C6627" t="s">
        <v>5874</v>
      </c>
      <c r="D6627" t="s">
        <v>5875</v>
      </c>
      <c r="E6627" s="2">
        <v>85</v>
      </c>
    </row>
    <row r="6628" spans="1:5" x14ac:dyDescent="0.25">
      <c r="A6628" s="1">
        <v>43601</v>
      </c>
      <c r="B6628">
        <v>122744</v>
      </c>
      <c r="C6628" t="s">
        <v>852</v>
      </c>
      <c r="D6628" t="s">
        <v>5870</v>
      </c>
      <c r="E6628" s="2">
        <v>500</v>
      </c>
    </row>
    <row r="6629" spans="1:5" x14ac:dyDescent="0.25">
      <c r="A6629" s="1">
        <v>43601</v>
      </c>
      <c r="B6629">
        <v>122745</v>
      </c>
      <c r="C6629" t="s">
        <v>5876</v>
      </c>
      <c r="D6629" t="s">
        <v>5877</v>
      </c>
      <c r="E6629" s="2">
        <f>149+149</f>
        <v>298</v>
      </c>
    </row>
    <row r="6630" spans="1:5" x14ac:dyDescent="0.25">
      <c r="A6630" s="1">
        <v>43601</v>
      </c>
      <c r="B6630">
        <v>122746</v>
      </c>
      <c r="C6630" t="s">
        <v>3711</v>
      </c>
      <c r="D6630" t="s">
        <v>5878</v>
      </c>
      <c r="E6630" s="2">
        <v>1000</v>
      </c>
    </row>
    <row r="6631" spans="1:5" x14ac:dyDescent="0.25">
      <c r="A6631" s="1">
        <v>43601</v>
      </c>
      <c r="B6631">
        <v>122746</v>
      </c>
      <c r="C6631" t="s">
        <v>3711</v>
      </c>
      <c r="D6631" t="s">
        <v>5879</v>
      </c>
      <c r="E6631" s="2">
        <v>3824.2</v>
      </c>
    </row>
    <row r="6632" spans="1:5" x14ac:dyDescent="0.25">
      <c r="A6632" s="1">
        <v>43601</v>
      </c>
      <c r="B6632">
        <v>122747</v>
      </c>
      <c r="C6632" t="s">
        <v>123</v>
      </c>
      <c r="D6632" t="s">
        <v>1666</v>
      </c>
      <c r="E6632" s="2">
        <v>152550.95000000001</v>
      </c>
    </row>
    <row r="6633" spans="1:5" x14ac:dyDescent="0.25">
      <c r="A6633" s="1">
        <v>43601</v>
      </c>
      <c r="B6633">
        <v>122748</v>
      </c>
      <c r="C6633" t="s">
        <v>259</v>
      </c>
      <c r="D6633" t="s">
        <v>5880</v>
      </c>
      <c r="E6633" s="2">
        <v>1437.34</v>
      </c>
    </row>
    <row r="6634" spans="1:5" x14ac:dyDescent="0.25">
      <c r="A6634" s="1">
        <v>43601</v>
      </c>
      <c r="B6634">
        <v>122749</v>
      </c>
      <c r="C6634" t="s">
        <v>2558</v>
      </c>
      <c r="D6634" t="s">
        <v>5881</v>
      </c>
      <c r="E6634" s="2">
        <v>2000</v>
      </c>
    </row>
    <row r="6635" spans="1:5" x14ac:dyDescent="0.25">
      <c r="A6635" s="1">
        <v>43601</v>
      </c>
      <c r="B6635">
        <v>122750</v>
      </c>
      <c r="C6635" t="s">
        <v>698</v>
      </c>
      <c r="D6635" t="s">
        <v>5882</v>
      </c>
      <c r="E6635" s="2">
        <v>61.6</v>
      </c>
    </row>
    <row r="6636" spans="1:5" x14ac:dyDescent="0.25">
      <c r="A6636" s="1">
        <v>43601</v>
      </c>
      <c r="B6636">
        <v>122751</v>
      </c>
      <c r="C6636" t="s">
        <v>264</v>
      </c>
      <c r="D6636" t="s">
        <v>5883</v>
      </c>
      <c r="E6636" s="2">
        <v>33.24</v>
      </c>
    </row>
    <row r="6637" spans="1:5" x14ac:dyDescent="0.25">
      <c r="A6637" s="1">
        <v>43601</v>
      </c>
      <c r="B6637">
        <v>122752</v>
      </c>
      <c r="C6637" t="s">
        <v>365</v>
      </c>
      <c r="D6637" t="s">
        <v>5884</v>
      </c>
      <c r="E6637" s="2">
        <v>614.94000000000005</v>
      </c>
    </row>
    <row r="6638" spans="1:5" x14ac:dyDescent="0.25">
      <c r="A6638" s="1">
        <v>43601</v>
      </c>
      <c r="B6638">
        <v>122753</v>
      </c>
      <c r="C6638" t="s">
        <v>1196</v>
      </c>
      <c r="D6638" t="s">
        <v>5885</v>
      </c>
      <c r="E6638" s="2">
        <v>300</v>
      </c>
    </row>
    <row r="6639" spans="1:5" x14ac:dyDescent="0.25">
      <c r="A6639" s="1">
        <v>43601</v>
      </c>
      <c r="B6639">
        <v>122754</v>
      </c>
      <c r="C6639" t="s">
        <v>5886</v>
      </c>
      <c r="D6639" t="s">
        <v>5887</v>
      </c>
      <c r="E6639" s="2">
        <v>8</v>
      </c>
    </row>
    <row r="6640" spans="1:5" x14ac:dyDescent="0.25">
      <c r="A6640" s="1">
        <v>43601</v>
      </c>
      <c r="B6640">
        <v>122755</v>
      </c>
      <c r="C6640" t="s">
        <v>5888</v>
      </c>
      <c r="D6640" t="s">
        <v>5889</v>
      </c>
      <c r="E6640" s="2">
        <v>2500</v>
      </c>
    </row>
    <row r="6641" spans="1:5" x14ac:dyDescent="0.25">
      <c r="A6641" s="1">
        <v>43601</v>
      </c>
      <c r="B6641">
        <v>122756</v>
      </c>
      <c r="C6641" t="s">
        <v>44</v>
      </c>
      <c r="D6641" t="s">
        <v>5890</v>
      </c>
      <c r="E6641" s="2">
        <v>84.91</v>
      </c>
    </row>
    <row r="6642" spans="1:5" x14ac:dyDescent="0.25">
      <c r="A6642" s="1">
        <v>43601</v>
      </c>
      <c r="B6642">
        <v>122757</v>
      </c>
      <c r="C6642" t="s">
        <v>5177</v>
      </c>
      <c r="D6642" t="s">
        <v>5891</v>
      </c>
      <c r="E6642" s="2">
        <v>20347.96</v>
      </c>
    </row>
    <row r="6643" spans="1:5" x14ac:dyDescent="0.25">
      <c r="A6643" s="1">
        <v>43601</v>
      </c>
      <c r="B6643">
        <v>122757</v>
      </c>
      <c r="C6643" t="s">
        <v>5177</v>
      </c>
      <c r="D6643" t="s">
        <v>5892</v>
      </c>
      <c r="E6643" s="2">
        <v>293.39999999999998</v>
      </c>
    </row>
    <row r="6644" spans="1:5" x14ac:dyDescent="0.25">
      <c r="A6644" s="1">
        <v>43601</v>
      </c>
      <c r="B6644">
        <v>122758</v>
      </c>
      <c r="C6644" t="s">
        <v>5893</v>
      </c>
      <c r="D6644" t="s">
        <v>5894</v>
      </c>
      <c r="E6644" s="2">
        <v>2082.2600000000002</v>
      </c>
    </row>
    <row r="6645" spans="1:5" x14ac:dyDescent="0.25">
      <c r="A6645" s="1">
        <v>43601</v>
      </c>
      <c r="B6645">
        <v>122759</v>
      </c>
      <c r="C6645" t="s">
        <v>5895</v>
      </c>
      <c r="D6645" t="s">
        <v>5896</v>
      </c>
      <c r="E6645" s="2">
        <v>39.049999999999997</v>
      </c>
    </row>
    <row r="6646" spans="1:5" x14ac:dyDescent="0.25">
      <c r="A6646" s="1">
        <v>43601</v>
      </c>
      <c r="B6646">
        <v>122760</v>
      </c>
      <c r="C6646" t="s">
        <v>5107</v>
      </c>
      <c r="D6646" t="s">
        <v>5897</v>
      </c>
      <c r="E6646" s="2">
        <v>212.8</v>
      </c>
    </row>
    <row r="6647" spans="1:5" x14ac:dyDescent="0.25">
      <c r="A6647" s="1">
        <v>43601</v>
      </c>
      <c r="B6647">
        <v>122761</v>
      </c>
      <c r="C6647" t="s">
        <v>5660</v>
      </c>
      <c r="D6647" t="s">
        <v>773</v>
      </c>
      <c r="E6647" s="2">
        <v>250</v>
      </c>
    </row>
    <row r="6648" spans="1:5" x14ac:dyDescent="0.25">
      <c r="A6648" s="1">
        <v>43601</v>
      </c>
      <c r="B6648">
        <v>122762</v>
      </c>
      <c r="C6648" t="s">
        <v>868</v>
      </c>
      <c r="D6648" t="s">
        <v>5870</v>
      </c>
      <c r="E6648" s="2">
        <v>500</v>
      </c>
    </row>
    <row r="6649" spans="1:5" x14ac:dyDescent="0.25">
      <c r="A6649" s="1">
        <v>43601</v>
      </c>
      <c r="B6649">
        <v>122763</v>
      </c>
      <c r="C6649" t="s">
        <v>47</v>
      </c>
      <c r="D6649" t="s">
        <v>5898</v>
      </c>
      <c r="E6649" s="2">
        <v>54.3</v>
      </c>
    </row>
    <row r="6650" spans="1:5" x14ac:dyDescent="0.25">
      <c r="A6650" s="1">
        <v>43601</v>
      </c>
      <c r="B6650">
        <v>122764</v>
      </c>
      <c r="C6650" t="s">
        <v>142</v>
      </c>
      <c r="D6650" t="s">
        <v>143</v>
      </c>
      <c r="E6650" s="2">
        <v>25.5</v>
      </c>
    </row>
    <row r="6651" spans="1:5" x14ac:dyDescent="0.25">
      <c r="A6651" s="1">
        <v>43601</v>
      </c>
      <c r="B6651">
        <v>122765</v>
      </c>
      <c r="C6651" t="s">
        <v>283</v>
      </c>
      <c r="D6651" t="s">
        <v>441</v>
      </c>
      <c r="E6651" s="2">
        <v>1028.98</v>
      </c>
    </row>
    <row r="6652" spans="1:5" x14ac:dyDescent="0.25">
      <c r="A6652" s="1">
        <v>43601</v>
      </c>
      <c r="B6652">
        <v>122767</v>
      </c>
      <c r="C6652" t="s">
        <v>146</v>
      </c>
      <c r="D6652" t="s">
        <v>5899</v>
      </c>
      <c r="E6652" s="2">
        <v>901.79</v>
      </c>
    </row>
    <row r="6653" spans="1:5" x14ac:dyDescent="0.25">
      <c r="A6653" s="1">
        <v>43601</v>
      </c>
      <c r="B6653">
        <v>122767</v>
      </c>
      <c r="C6653" t="s">
        <v>146</v>
      </c>
      <c r="D6653" t="s">
        <v>5900</v>
      </c>
      <c r="E6653" s="2">
        <v>1675</v>
      </c>
    </row>
    <row r="6654" spans="1:5" x14ac:dyDescent="0.25">
      <c r="A6654" s="1">
        <v>43601</v>
      </c>
      <c r="B6654">
        <v>122767</v>
      </c>
      <c r="C6654" t="s">
        <v>146</v>
      </c>
      <c r="D6654" t="s">
        <v>5901</v>
      </c>
      <c r="E6654" s="2">
        <v>160.46</v>
      </c>
    </row>
    <row r="6655" spans="1:5" x14ac:dyDescent="0.25">
      <c r="A6655" s="1">
        <v>43601</v>
      </c>
      <c r="B6655">
        <v>122767</v>
      </c>
      <c r="C6655" t="s">
        <v>146</v>
      </c>
      <c r="D6655" t="s">
        <v>5899</v>
      </c>
      <c r="E6655" s="2">
        <v>120.94</v>
      </c>
    </row>
    <row r="6656" spans="1:5" x14ac:dyDescent="0.25">
      <c r="A6656" s="1">
        <v>43601</v>
      </c>
      <c r="B6656">
        <v>122768</v>
      </c>
      <c r="C6656" t="s">
        <v>75</v>
      </c>
      <c r="D6656" t="s">
        <v>5902</v>
      </c>
      <c r="E6656" s="2">
        <v>6.08</v>
      </c>
    </row>
    <row r="6657" spans="1:5" x14ac:dyDescent="0.25">
      <c r="A6657" s="1">
        <v>43601</v>
      </c>
      <c r="B6657">
        <v>122768</v>
      </c>
      <c r="C6657" t="s">
        <v>75</v>
      </c>
      <c r="D6657" t="s">
        <v>5903</v>
      </c>
      <c r="E6657" s="2">
        <v>89.1</v>
      </c>
    </row>
    <row r="6658" spans="1:5" x14ac:dyDescent="0.25">
      <c r="A6658" s="1">
        <v>43601</v>
      </c>
      <c r="B6658">
        <v>122769</v>
      </c>
      <c r="C6658" t="s">
        <v>3548</v>
      </c>
      <c r="D6658" t="s">
        <v>5904</v>
      </c>
      <c r="E6658" s="2">
        <v>336</v>
      </c>
    </row>
    <row r="6659" spans="1:5" x14ac:dyDescent="0.25">
      <c r="A6659" s="1">
        <v>43601</v>
      </c>
      <c r="B6659">
        <v>122770</v>
      </c>
      <c r="C6659" t="s">
        <v>1696</v>
      </c>
      <c r="D6659" t="s">
        <v>5905</v>
      </c>
      <c r="E6659" s="2">
        <v>315</v>
      </c>
    </row>
    <row r="6660" spans="1:5" x14ac:dyDescent="0.25">
      <c r="A6660" s="1">
        <v>43601</v>
      </c>
      <c r="B6660">
        <v>122771</v>
      </c>
      <c r="C6660" t="s">
        <v>5906</v>
      </c>
      <c r="D6660" t="s">
        <v>5907</v>
      </c>
      <c r="E6660" s="2">
        <v>11500</v>
      </c>
    </row>
    <row r="6661" spans="1:5" x14ac:dyDescent="0.25">
      <c r="A6661" s="1">
        <v>43601</v>
      </c>
      <c r="B6661">
        <v>122772</v>
      </c>
      <c r="C6661" t="s">
        <v>50</v>
      </c>
      <c r="D6661" t="s">
        <v>2047</v>
      </c>
      <c r="E6661" s="2">
        <v>3540</v>
      </c>
    </row>
    <row r="6662" spans="1:5" x14ac:dyDescent="0.25">
      <c r="A6662" s="1">
        <v>43601</v>
      </c>
      <c r="B6662">
        <v>122773</v>
      </c>
      <c r="C6662" t="s">
        <v>51</v>
      </c>
      <c r="D6662" t="s">
        <v>52</v>
      </c>
      <c r="E6662" s="2">
        <v>58.31</v>
      </c>
    </row>
    <row r="6663" spans="1:5" x14ac:dyDescent="0.25">
      <c r="A6663" s="1">
        <v>43601</v>
      </c>
      <c r="B6663">
        <v>122774</v>
      </c>
      <c r="C6663" t="s">
        <v>80</v>
      </c>
      <c r="D6663" t="s">
        <v>153</v>
      </c>
      <c r="E6663" s="2">
        <v>133.78</v>
      </c>
    </row>
    <row r="6664" spans="1:5" x14ac:dyDescent="0.25">
      <c r="A6664" s="1">
        <v>43601</v>
      </c>
      <c r="B6664">
        <v>122774</v>
      </c>
      <c r="C6664" t="s">
        <v>80</v>
      </c>
      <c r="D6664" t="s">
        <v>5908</v>
      </c>
      <c r="E6664" s="2">
        <v>53.29</v>
      </c>
    </row>
    <row r="6665" spans="1:5" x14ac:dyDescent="0.25">
      <c r="A6665" s="1">
        <v>43601</v>
      </c>
      <c r="B6665">
        <v>122775</v>
      </c>
      <c r="C6665" t="s">
        <v>4280</v>
      </c>
      <c r="D6665" t="s">
        <v>4692</v>
      </c>
      <c r="E6665" s="2">
        <v>200</v>
      </c>
    </row>
    <row r="6666" spans="1:5" x14ac:dyDescent="0.25">
      <c r="A6666" s="1">
        <v>43601</v>
      </c>
      <c r="B6666">
        <v>122776</v>
      </c>
      <c r="C6666" t="s">
        <v>750</v>
      </c>
      <c r="D6666" t="s">
        <v>5909</v>
      </c>
      <c r="E6666" s="2">
        <f>208.5+443.5</f>
        <v>652</v>
      </c>
    </row>
    <row r="6667" spans="1:5" x14ac:dyDescent="0.25">
      <c r="A6667" s="1">
        <v>43601</v>
      </c>
      <c r="B6667">
        <v>122777</v>
      </c>
      <c r="C6667" t="s">
        <v>2591</v>
      </c>
      <c r="D6667" t="s">
        <v>5910</v>
      </c>
      <c r="E6667" s="2">
        <f>671+1040</f>
        <v>1711</v>
      </c>
    </row>
    <row r="6668" spans="1:5" x14ac:dyDescent="0.25">
      <c r="A6668" s="1">
        <v>43601</v>
      </c>
      <c r="B6668">
        <v>122778</v>
      </c>
      <c r="C6668" t="s">
        <v>158</v>
      </c>
      <c r="D6668" t="s">
        <v>5911</v>
      </c>
      <c r="E6668" s="2">
        <v>808.31</v>
      </c>
    </row>
    <row r="6669" spans="1:5" x14ac:dyDescent="0.25">
      <c r="A6669" s="1">
        <v>43601</v>
      </c>
      <c r="B6669">
        <v>122778</v>
      </c>
      <c r="C6669" t="s">
        <v>158</v>
      </c>
      <c r="D6669" t="s">
        <v>464</v>
      </c>
      <c r="E6669" s="2">
        <v>890.55</v>
      </c>
    </row>
    <row r="6670" spans="1:5" x14ac:dyDescent="0.25">
      <c r="A6670" s="1">
        <v>43601</v>
      </c>
      <c r="B6670">
        <v>122779</v>
      </c>
      <c r="C6670" t="s">
        <v>765</v>
      </c>
      <c r="D6670" t="s">
        <v>5360</v>
      </c>
      <c r="E6670" s="2">
        <v>86.9</v>
      </c>
    </row>
    <row r="6671" spans="1:5" x14ac:dyDescent="0.25">
      <c r="A6671" s="1">
        <v>43601</v>
      </c>
      <c r="B6671">
        <v>122780</v>
      </c>
      <c r="C6671" t="s">
        <v>639</v>
      </c>
      <c r="D6671" t="s">
        <v>5912</v>
      </c>
      <c r="E6671" s="2">
        <v>642</v>
      </c>
    </row>
    <row r="6672" spans="1:5" x14ac:dyDescent="0.25">
      <c r="A6672" s="1">
        <v>43601</v>
      </c>
      <c r="B6672">
        <v>122780</v>
      </c>
      <c r="C6672" t="s">
        <v>639</v>
      </c>
      <c r="D6672" t="s">
        <v>5913</v>
      </c>
      <c r="E6672" s="2">
        <v>593.85</v>
      </c>
    </row>
    <row r="6673" spans="1:5" x14ac:dyDescent="0.25">
      <c r="A6673" s="1">
        <v>43601</v>
      </c>
      <c r="B6673">
        <v>122781</v>
      </c>
      <c r="C6673" t="s">
        <v>161</v>
      </c>
      <c r="D6673" t="s">
        <v>5914</v>
      </c>
      <c r="E6673" s="2">
        <v>201</v>
      </c>
    </row>
    <row r="6674" spans="1:5" x14ac:dyDescent="0.25">
      <c r="A6674" s="1">
        <v>43601</v>
      </c>
      <c r="B6674">
        <v>122782</v>
      </c>
      <c r="C6674" t="s">
        <v>3574</v>
      </c>
      <c r="D6674" t="s">
        <v>958</v>
      </c>
      <c r="E6674" s="2">
        <v>7707.5</v>
      </c>
    </row>
    <row r="6675" spans="1:5" x14ac:dyDescent="0.25">
      <c r="A6675" s="1">
        <v>43601</v>
      </c>
      <c r="B6675">
        <v>122784</v>
      </c>
      <c r="C6675" t="s">
        <v>1516</v>
      </c>
      <c r="D6675" t="s">
        <v>5915</v>
      </c>
      <c r="E6675" s="2">
        <f>84*4</f>
        <v>336</v>
      </c>
    </row>
    <row r="6676" spans="1:5" x14ac:dyDescent="0.25">
      <c r="A6676" s="1">
        <v>43601</v>
      </c>
      <c r="B6676">
        <v>122785</v>
      </c>
      <c r="C6676" t="s">
        <v>2970</v>
      </c>
      <c r="D6676" t="s">
        <v>5916</v>
      </c>
      <c r="E6676" s="2">
        <v>50</v>
      </c>
    </row>
    <row r="6677" spans="1:5" x14ac:dyDescent="0.25">
      <c r="A6677" s="1">
        <v>43601</v>
      </c>
      <c r="B6677">
        <v>122786</v>
      </c>
      <c r="C6677" t="s">
        <v>1264</v>
      </c>
      <c r="D6677" t="s">
        <v>5917</v>
      </c>
      <c r="E6677" s="2">
        <v>5440</v>
      </c>
    </row>
    <row r="6678" spans="1:5" x14ac:dyDescent="0.25">
      <c r="A6678" s="1">
        <v>43601</v>
      </c>
      <c r="B6678">
        <v>122787</v>
      </c>
      <c r="C6678" t="s">
        <v>324</v>
      </c>
      <c r="D6678" t="s">
        <v>5918</v>
      </c>
      <c r="E6678" s="2">
        <v>6573.31</v>
      </c>
    </row>
    <row r="6679" spans="1:5" x14ac:dyDescent="0.25">
      <c r="A6679" s="1">
        <v>43601</v>
      </c>
      <c r="B6679">
        <v>122788</v>
      </c>
      <c r="C6679" t="s">
        <v>174</v>
      </c>
      <c r="D6679" t="s">
        <v>5919</v>
      </c>
      <c r="E6679" s="2">
        <v>1941.06</v>
      </c>
    </row>
    <row r="6680" spans="1:5" x14ac:dyDescent="0.25">
      <c r="A6680" s="1">
        <v>43601</v>
      </c>
      <c r="B6680">
        <v>122789</v>
      </c>
      <c r="C6680" t="s">
        <v>1729</v>
      </c>
      <c r="D6680" t="s">
        <v>5920</v>
      </c>
      <c r="E6680" s="2">
        <v>75.31</v>
      </c>
    </row>
    <row r="6681" spans="1:5" x14ac:dyDescent="0.25">
      <c r="A6681" s="1">
        <v>43601</v>
      </c>
      <c r="B6681">
        <v>122790</v>
      </c>
      <c r="C6681" t="s">
        <v>1273</v>
      </c>
      <c r="D6681" t="s">
        <v>5921</v>
      </c>
      <c r="E6681" s="2">
        <v>690.95</v>
      </c>
    </row>
    <row r="6682" spans="1:5" x14ac:dyDescent="0.25">
      <c r="A6682" s="1">
        <v>43601</v>
      </c>
      <c r="B6682">
        <v>122791</v>
      </c>
      <c r="C6682" t="s">
        <v>181</v>
      </c>
      <c r="D6682" t="s">
        <v>182</v>
      </c>
      <c r="E6682" s="2">
        <v>1709.55</v>
      </c>
    </row>
    <row r="6683" spans="1:5" x14ac:dyDescent="0.25">
      <c r="A6683" s="1">
        <v>43601</v>
      </c>
      <c r="B6683">
        <v>122792</v>
      </c>
      <c r="C6683" t="s">
        <v>1868</v>
      </c>
      <c r="D6683" t="s">
        <v>5922</v>
      </c>
      <c r="E6683" s="2">
        <f>2851.91+147.56</f>
        <v>2999.47</v>
      </c>
    </row>
    <row r="6684" spans="1:5" x14ac:dyDescent="0.25">
      <c r="A6684" s="1">
        <v>43601</v>
      </c>
      <c r="B6684">
        <v>122793</v>
      </c>
      <c r="C6684" t="s">
        <v>388</v>
      </c>
      <c r="D6684" t="s">
        <v>4137</v>
      </c>
      <c r="E6684" s="2">
        <v>788.44</v>
      </c>
    </row>
    <row r="6685" spans="1:5" x14ac:dyDescent="0.25">
      <c r="A6685" s="1">
        <v>43601</v>
      </c>
      <c r="B6685">
        <v>122794</v>
      </c>
      <c r="C6685" t="s">
        <v>901</v>
      </c>
      <c r="D6685" t="s">
        <v>5870</v>
      </c>
      <c r="E6685" s="2">
        <v>500</v>
      </c>
    </row>
    <row r="6686" spans="1:5" x14ac:dyDescent="0.25">
      <c r="A6686" s="1">
        <v>43601</v>
      </c>
      <c r="B6686">
        <v>122795</v>
      </c>
      <c r="C6686" t="s">
        <v>1290</v>
      </c>
      <c r="D6686" t="s">
        <v>5923</v>
      </c>
      <c r="E6686" s="2">
        <v>970</v>
      </c>
    </row>
    <row r="6687" spans="1:5" x14ac:dyDescent="0.25">
      <c r="A6687" s="1">
        <v>43601</v>
      </c>
      <c r="B6687">
        <v>181900327</v>
      </c>
      <c r="C6687" t="s">
        <v>274</v>
      </c>
      <c r="D6687" t="s">
        <v>5924</v>
      </c>
      <c r="E6687" s="2">
        <v>137.33000000000001</v>
      </c>
    </row>
    <row r="6688" spans="1:5" x14ac:dyDescent="0.25">
      <c r="A6688" s="1">
        <v>43601</v>
      </c>
      <c r="B6688">
        <v>181900327</v>
      </c>
      <c r="C6688" t="s">
        <v>274</v>
      </c>
      <c r="D6688" t="s">
        <v>5925</v>
      </c>
      <c r="E6688" s="2">
        <v>184.4</v>
      </c>
    </row>
    <row r="6689" spans="1:5" x14ac:dyDescent="0.25">
      <c r="A6689" s="1">
        <v>43601</v>
      </c>
      <c r="B6689">
        <v>181900328</v>
      </c>
      <c r="C6689" t="s">
        <v>48</v>
      </c>
      <c r="D6689" t="s">
        <v>4480</v>
      </c>
      <c r="E6689" s="2">
        <f>6251.53+1811.51</f>
        <v>8063.04</v>
      </c>
    </row>
    <row r="6690" spans="1:5" x14ac:dyDescent="0.25">
      <c r="A6690" s="1">
        <v>43601</v>
      </c>
      <c r="B6690">
        <v>181900329</v>
      </c>
      <c r="C6690" t="s">
        <v>650</v>
      </c>
      <c r="D6690" t="s">
        <v>5926</v>
      </c>
      <c r="E6690" s="2">
        <v>150</v>
      </c>
    </row>
    <row r="6691" spans="1:5" x14ac:dyDescent="0.25">
      <c r="A6691" s="1">
        <v>43602</v>
      </c>
      <c r="B6691">
        <v>122796</v>
      </c>
      <c r="C6691" t="s">
        <v>3583</v>
      </c>
      <c r="D6691" t="s">
        <v>5927</v>
      </c>
      <c r="E6691" s="2">
        <v>980</v>
      </c>
    </row>
    <row r="6692" spans="1:5" x14ac:dyDescent="0.25">
      <c r="A6692" s="1">
        <v>43602</v>
      </c>
      <c r="B6692">
        <v>122797</v>
      </c>
      <c r="C6692" t="s">
        <v>639</v>
      </c>
      <c r="D6692" t="s">
        <v>5913</v>
      </c>
      <c r="E6692" s="2">
        <v>593.85</v>
      </c>
    </row>
    <row r="6693" spans="1:5" x14ac:dyDescent="0.25">
      <c r="A6693" s="1">
        <v>43602</v>
      </c>
      <c r="B6693">
        <v>122798</v>
      </c>
      <c r="C6693" t="s">
        <v>639</v>
      </c>
      <c r="D6693" t="s">
        <v>5928</v>
      </c>
      <c r="E6693" s="2">
        <v>642</v>
      </c>
    </row>
    <row r="6694" spans="1:5" x14ac:dyDescent="0.25">
      <c r="A6694" s="1">
        <v>43605</v>
      </c>
      <c r="B6694">
        <v>122799</v>
      </c>
      <c r="C6694" t="s">
        <v>3583</v>
      </c>
      <c r="D6694" t="s">
        <v>5750</v>
      </c>
      <c r="E6694" s="2">
        <v>3050</v>
      </c>
    </row>
    <row r="6695" spans="1:5" x14ac:dyDescent="0.25">
      <c r="A6695" s="1">
        <v>43605</v>
      </c>
      <c r="B6695">
        <v>122800</v>
      </c>
      <c r="C6695" t="s">
        <v>3574</v>
      </c>
      <c r="D6695" t="s">
        <v>5929</v>
      </c>
      <c r="E6695" s="2">
        <f>750+750+1890+7687.5</f>
        <v>11077.5</v>
      </c>
    </row>
    <row r="6696" spans="1:5" x14ac:dyDescent="0.25">
      <c r="A6696" s="1">
        <v>43607</v>
      </c>
      <c r="B6696">
        <v>122804</v>
      </c>
      <c r="C6696" t="s">
        <v>5930</v>
      </c>
      <c r="D6696" t="s">
        <v>5931</v>
      </c>
      <c r="E6696" s="2">
        <v>229.99</v>
      </c>
    </row>
    <row r="6697" spans="1:5" x14ac:dyDescent="0.25">
      <c r="A6697" s="1">
        <v>43607</v>
      </c>
      <c r="B6697">
        <v>122805</v>
      </c>
      <c r="C6697" t="s">
        <v>1570</v>
      </c>
      <c r="D6697" t="s">
        <v>5932</v>
      </c>
      <c r="E6697" s="2">
        <v>1081.3499999999999</v>
      </c>
    </row>
    <row r="6698" spans="1:5" x14ac:dyDescent="0.25">
      <c r="A6698" s="1">
        <v>43607</v>
      </c>
      <c r="B6698">
        <v>122806</v>
      </c>
      <c r="C6698" t="s">
        <v>7</v>
      </c>
      <c r="D6698" t="s">
        <v>5933</v>
      </c>
      <c r="E6698" s="2">
        <v>18</v>
      </c>
    </row>
    <row r="6699" spans="1:5" x14ac:dyDescent="0.25">
      <c r="A6699" s="1">
        <v>43607</v>
      </c>
      <c r="B6699">
        <v>122806</v>
      </c>
      <c r="C6699" t="s">
        <v>7</v>
      </c>
      <c r="D6699" t="s">
        <v>5934</v>
      </c>
      <c r="E6699" s="2">
        <v>102</v>
      </c>
    </row>
    <row r="6700" spans="1:5" x14ac:dyDescent="0.25">
      <c r="A6700" s="1">
        <v>43607</v>
      </c>
      <c r="B6700">
        <v>122806</v>
      </c>
      <c r="C6700" t="s">
        <v>7</v>
      </c>
      <c r="D6700" t="s">
        <v>5935</v>
      </c>
      <c r="E6700" s="2">
        <v>210</v>
      </c>
    </row>
    <row r="6701" spans="1:5" x14ac:dyDescent="0.25">
      <c r="A6701" s="1">
        <v>43607</v>
      </c>
      <c r="B6701">
        <v>122807</v>
      </c>
      <c r="C6701" t="s">
        <v>5936</v>
      </c>
      <c r="D6701" t="s">
        <v>5937</v>
      </c>
      <c r="E6701" s="2">
        <v>40.58</v>
      </c>
    </row>
    <row r="6702" spans="1:5" x14ac:dyDescent="0.25">
      <c r="A6702" s="1">
        <v>43607</v>
      </c>
      <c r="B6702">
        <v>122808</v>
      </c>
      <c r="C6702" t="s">
        <v>5938</v>
      </c>
      <c r="D6702" t="s">
        <v>4656</v>
      </c>
      <c r="E6702" s="2">
        <v>565.12</v>
      </c>
    </row>
    <row r="6703" spans="1:5" x14ac:dyDescent="0.25">
      <c r="A6703" s="1">
        <v>43607</v>
      </c>
      <c r="B6703">
        <v>122808</v>
      </c>
      <c r="C6703" t="s">
        <v>5938</v>
      </c>
      <c r="D6703" t="s">
        <v>5939</v>
      </c>
      <c r="E6703" s="2">
        <v>157.74</v>
      </c>
    </row>
    <row r="6704" spans="1:5" x14ac:dyDescent="0.25">
      <c r="A6704" s="1">
        <v>43607</v>
      </c>
      <c r="B6704">
        <v>122809</v>
      </c>
      <c r="C6704" t="s">
        <v>1177</v>
      </c>
      <c r="D6704" t="s">
        <v>5940</v>
      </c>
      <c r="E6704" s="2">
        <v>54</v>
      </c>
    </row>
    <row r="6705" spans="1:5" x14ac:dyDescent="0.25">
      <c r="A6705" s="1">
        <v>43607</v>
      </c>
      <c r="B6705">
        <v>122810</v>
      </c>
      <c r="C6705" t="s">
        <v>1092</v>
      </c>
      <c r="D6705" t="s">
        <v>5249</v>
      </c>
      <c r="E6705" s="2">
        <f>83+83</f>
        <v>166</v>
      </c>
    </row>
    <row r="6706" spans="1:5" x14ac:dyDescent="0.25">
      <c r="A6706" s="1">
        <v>43607</v>
      </c>
      <c r="B6706">
        <v>122811</v>
      </c>
      <c r="C6706" t="s">
        <v>1186</v>
      </c>
      <c r="D6706" t="s">
        <v>5941</v>
      </c>
      <c r="E6706" s="2">
        <v>150</v>
      </c>
    </row>
    <row r="6707" spans="1:5" x14ac:dyDescent="0.25">
      <c r="A6707" s="1">
        <v>43607</v>
      </c>
      <c r="B6707">
        <v>122812</v>
      </c>
      <c r="C6707" t="s">
        <v>1094</v>
      </c>
      <c r="D6707" t="s">
        <v>5942</v>
      </c>
      <c r="E6707" s="2">
        <v>468</v>
      </c>
    </row>
    <row r="6708" spans="1:5" x14ac:dyDescent="0.25">
      <c r="A6708" s="1">
        <v>43607</v>
      </c>
      <c r="B6708">
        <v>122812</v>
      </c>
      <c r="C6708" t="s">
        <v>1094</v>
      </c>
      <c r="D6708" t="s">
        <v>5943</v>
      </c>
      <c r="E6708" s="2">
        <v>386.4</v>
      </c>
    </row>
    <row r="6709" spans="1:5" x14ac:dyDescent="0.25">
      <c r="A6709" s="1">
        <v>43607</v>
      </c>
      <c r="B6709">
        <v>122813</v>
      </c>
      <c r="C6709" t="s">
        <v>5944</v>
      </c>
      <c r="D6709" t="s">
        <v>5945</v>
      </c>
      <c r="E6709" s="2">
        <v>1960</v>
      </c>
    </row>
    <row r="6710" spans="1:5" x14ac:dyDescent="0.25">
      <c r="A6710" s="1">
        <v>43607</v>
      </c>
      <c r="B6710">
        <v>122816</v>
      </c>
      <c r="C6710" t="s">
        <v>123</v>
      </c>
      <c r="D6710" t="s">
        <v>5946</v>
      </c>
      <c r="E6710" s="2">
        <v>61.26</v>
      </c>
    </row>
    <row r="6711" spans="1:5" x14ac:dyDescent="0.25">
      <c r="A6711" s="1">
        <v>43607</v>
      </c>
      <c r="B6711">
        <v>122816</v>
      </c>
      <c r="C6711" t="s">
        <v>123</v>
      </c>
      <c r="D6711" t="s">
        <v>5947</v>
      </c>
      <c r="E6711" s="2">
        <f>40.84+449.24+408.4+127.96+245.04</f>
        <v>1271.48</v>
      </c>
    </row>
    <row r="6712" spans="1:5" x14ac:dyDescent="0.25">
      <c r="A6712" s="1">
        <v>43607</v>
      </c>
      <c r="B6712">
        <v>122816</v>
      </c>
      <c r="C6712" t="s">
        <v>123</v>
      </c>
      <c r="D6712" t="s">
        <v>5948</v>
      </c>
      <c r="E6712" s="2">
        <v>120.92</v>
      </c>
    </row>
    <row r="6713" spans="1:5" x14ac:dyDescent="0.25">
      <c r="A6713" s="1">
        <v>43607</v>
      </c>
      <c r="B6713">
        <v>122817</v>
      </c>
      <c r="C6713" t="s">
        <v>5949</v>
      </c>
      <c r="D6713" t="s">
        <v>5950</v>
      </c>
      <c r="E6713" s="2">
        <v>150</v>
      </c>
    </row>
    <row r="6714" spans="1:5" x14ac:dyDescent="0.25">
      <c r="A6714" s="1">
        <v>43607</v>
      </c>
      <c r="B6714">
        <v>122818</v>
      </c>
      <c r="C6714" t="s">
        <v>4273</v>
      </c>
      <c r="D6714" t="s">
        <v>5951</v>
      </c>
      <c r="E6714" s="2">
        <v>350</v>
      </c>
    </row>
    <row r="6715" spans="1:5" x14ac:dyDescent="0.25">
      <c r="A6715" s="1">
        <v>43607</v>
      </c>
      <c r="B6715">
        <v>122819</v>
      </c>
      <c r="C6715" t="s">
        <v>5952</v>
      </c>
      <c r="D6715" t="s">
        <v>5953</v>
      </c>
      <c r="E6715" s="2">
        <v>233</v>
      </c>
    </row>
    <row r="6716" spans="1:5" x14ac:dyDescent="0.25">
      <c r="A6716" s="1">
        <v>43607</v>
      </c>
      <c r="B6716">
        <v>122820</v>
      </c>
      <c r="C6716" t="s">
        <v>5725</v>
      </c>
      <c r="D6716" t="s">
        <v>5954</v>
      </c>
      <c r="E6716" s="2">
        <v>1216.8800000000001</v>
      </c>
    </row>
    <row r="6717" spans="1:5" x14ac:dyDescent="0.25">
      <c r="A6717" s="1">
        <v>43607</v>
      </c>
      <c r="B6717">
        <v>122821</v>
      </c>
      <c r="C6717" t="s">
        <v>5955</v>
      </c>
      <c r="D6717" t="s">
        <v>5937</v>
      </c>
      <c r="E6717" s="2">
        <v>40.58</v>
      </c>
    </row>
    <row r="6718" spans="1:5" x14ac:dyDescent="0.25">
      <c r="A6718" s="1">
        <v>43607</v>
      </c>
      <c r="B6718">
        <v>122822</v>
      </c>
      <c r="C6718" t="s">
        <v>4618</v>
      </c>
      <c r="D6718" t="s">
        <v>5956</v>
      </c>
      <c r="E6718" s="2">
        <v>76.33</v>
      </c>
    </row>
    <row r="6719" spans="1:5" x14ac:dyDescent="0.25">
      <c r="A6719" s="1">
        <v>43607</v>
      </c>
      <c r="B6719">
        <v>122823</v>
      </c>
      <c r="C6719" t="s">
        <v>74</v>
      </c>
      <c r="D6719" t="s">
        <v>5957</v>
      </c>
      <c r="E6719" s="2">
        <v>119.6</v>
      </c>
    </row>
    <row r="6720" spans="1:5" x14ac:dyDescent="0.25">
      <c r="A6720" s="1">
        <v>43607</v>
      </c>
      <c r="B6720">
        <v>122824</v>
      </c>
      <c r="C6720" t="s">
        <v>336</v>
      </c>
      <c r="D6720" t="s">
        <v>5958</v>
      </c>
      <c r="E6720" s="2">
        <v>43.45</v>
      </c>
    </row>
    <row r="6721" spans="1:5" x14ac:dyDescent="0.25">
      <c r="A6721" s="1">
        <v>43607</v>
      </c>
      <c r="B6721">
        <v>122825</v>
      </c>
      <c r="C6721" t="s">
        <v>5959</v>
      </c>
      <c r="D6721" t="s">
        <v>5960</v>
      </c>
      <c r="E6721" s="2">
        <v>500</v>
      </c>
    </row>
    <row r="6722" spans="1:5" x14ac:dyDescent="0.25">
      <c r="A6722" s="1">
        <v>43607</v>
      </c>
      <c r="B6722">
        <v>122826</v>
      </c>
      <c r="C6722" t="s">
        <v>16</v>
      </c>
      <c r="D6722" t="s">
        <v>5961</v>
      </c>
      <c r="E6722" s="2">
        <v>3226.61</v>
      </c>
    </row>
    <row r="6723" spans="1:5" x14ac:dyDescent="0.25">
      <c r="A6723" s="1">
        <v>43607</v>
      </c>
      <c r="B6723">
        <v>122827</v>
      </c>
      <c r="C6723" t="s">
        <v>5962</v>
      </c>
      <c r="D6723" t="s">
        <v>5963</v>
      </c>
      <c r="E6723" s="2">
        <v>125</v>
      </c>
    </row>
    <row r="6724" spans="1:5" x14ac:dyDescent="0.25">
      <c r="A6724" s="1">
        <v>43607</v>
      </c>
      <c r="B6724">
        <v>122828</v>
      </c>
      <c r="C6724" t="s">
        <v>1256</v>
      </c>
      <c r="D6724" t="s">
        <v>5964</v>
      </c>
      <c r="E6724" s="2">
        <v>70</v>
      </c>
    </row>
    <row r="6725" spans="1:5" x14ac:dyDescent="0.25">
      <c r="A6725" s="1">
        <v>43607</v>
      </c>
      <c r="B6725">
        <v>122829</v>
      </c>
      <c r="C6725" t="s">
        <v>366</v>
      </c>
      <c r="D6725" t="s">
        <v>5851</v>
      </c>
      <c r="E6725" s="2">
        <v>1000</v>
      </c>
    </row>
    <row r="6726" spans="1:5" x14ac:dyDescent="0.25">
      <c r="A6726" s="1">
        <v>43607</v>
      </c>
      <c r="B6726">
        <v>122830</v>
      </c>
      <c r="C6726" t="s">
        <v>5857</v>
      </c>
      <c r="D6726" t="s">
        <v>5965</v>
      </c>
      <c r="E6726" s="2">
        <f>850+850</f>
        <v>1700</v>
      </c>
    </row>
    <row r="6727" spans="1:5" x14ac:dyDescent="0.25">
      <c r="A6727" s="1">
        <v>43607</v>
      </c>
      <c r="B6727">
        <v>122831</v>
      </c>
      <c r="C6727" t="s">
        <v>1746</v>
      </c>
      <c r="D6727" t="s">
        <v>5851</v>
      </c>
      <c r="E6727" s="2">
        <v>300</v>
      </c>
    </row>
    <row r="6728" spans="1:5" x14ac:dyDescent="0.25">
      <c r="A6728" s="1">
        <v>43607</v>
      </c>
      <c r="B6728">
        <v>122841</v>
      </c>
      <c r="C6728" t="s">
        <v>222</v>
      </c>
      <c r="D6728" t="s">
        <v>5966</v>
      </c>
      <c r="E6728" s="2">
        <v>75.22</v>
      </c>
    </row>
    <row r="6729" spans="1:5" x14ac:dyDescent="0.25">
      <c r="A6729" s="1">
        <v>43607</v>
      </c>
      <c r="B6729">
        <v>122841</v>
      </c>
      <c r="C6729" t="s">
        <v>222</v>
      </c>
      <c r="D6729" t="s">
        <v>5967</v>
      </c>
      <c r="E6729" s="2">
        <v>196.55</v>
      </c>
    </row>
    <row r="6730" spans="1:5" x14ac:dyDescent="0.25">
      <c r="A6730" s="1">
        <v>43607</v>
      </c>
      <c r="B6730">
        <v>122841</v>
      </c>
      <c r="C6730" t="s">
        <v>222</v>
      </c>
      <c r="D6730" t="s">
        <v>5968</v>
      </c>
      <c r="E6730" s="2">
        <v>64.680000000000007</v>
      </c>
    </row>
    <row r="6731" spans="1:5" x14ac:dyDescent="0.25">
      <c r="A6731" s="1">
        <v>43607</v>
      </c>
      <c r="B6731">
        <v>122841</v>
      </c>
      <c r="C6731" t="s">
        <v>222</v>
      </c>
      <c r="D6731" t="s">
        <v>4623</v>
      </c>
      <c r="E6731" s="2">
        <v>26.22</v>
      </c>
    </row>
    <row r="6732" spans="1:5" x14ac:dyDescent="0.25">
      <c r="A6732" s="1">
        <v>43607</v>
      </c>
      <c r="B6732">
        <v>122841</v>
      </c>
      <c r="C6732" t="s">
        <v>222</v>
      </c>
      <c r="D6732" t="s">
        <v>1119</v>
      </c>
      <c r="E6732" s="2">
        <v>46.03</v>
      </c>
    </row>
    <row r="6733" spans="1:5" x14ac:dyDescent="0.25">
      <c r="A6733" s="1">
        <v>43607</v>
      </c>
      <c r="B6733">
        <v>122841</v>
      </c>
      <c r="C6733" t="s">
        <v>222</v>
      </c>
      <c r="D6733" t="s">
        <v>5969</v>
      </c>
      <c r="E6733" s="2">
        <v>159.19</v>
      </c>
    </row>
    <row r="6734" spans="1:5" x14ac:dyDescent="0.25">
      <c r="A6734" s="1">
        <v>43607</v>
      </c>
      <c r="B6734">
        <v>122841</v>
      </c>
      <c r="C6734" t="s">
        <v>222</v>
      </c>
      <c r="D6734" t="s">
        <v>5970</v>
      </c>
      <c r="E6734" s="2">
        <v>58.62</v>
      </c>
    </row>
    <row r="6735" spans="1:5" x14ac:dyDescent="0.25">
      <c r="A6735" s="1">
        <v>43607</v>
      </c>
      <c r="B6735">
        <v>122841</v>
      </c>
      <c r="C6735" t="s">
        <v>222</v>
      </c>
      <c r="D6735" t="s">
        <v>2143</v>
      </c>
      <c r="E6735" s="2">
        <v>126.61</v>
      </c>
    </row>
    <row r="6736" spans="1:5" x14ac:dyDescent="0.25">
      <c r="A6736" s="1">
        <v>43607</v>
      </c>
      <c r="B6736">
        <v>122841</v>
      </c>
      <c r="C6736" t="s">
        <v>222</v>
      </c>
      <c r="D6736" t="s">
        <v>1119</v>
      </c>
      <c r="E6736" s="2">
        <v>189.2</v>
      </c>
    </row>
    <row r="6737" spans="1:5" x14ac:dyDescent="0.25">
      <c r="A6737" s="1">
        <v>43607</v>
      </c>
      <c r="B6737">
        <v>122841</v>
      </c>
      <c r="C6737" t="s">
        <v>222</v>
      </c>
      <c r="D6737" t="s">
        <v>2143</v>
      </c>
      <c r="E6737" s="2">
        <f>59.34+29.76</f>
        <v>89.100000000000009</v>
      </c>
    </row>
    <row r="6738" spans="1:5" x14ac:dyDescent="0.25">
      <c r="A6738" s="1">
        <v>43607</v>
      </c>
      <c r="B6738">
        <v>122841</v>
      </c>
      <c r="C6738" t="s">
        <v>222</v>
      </c>
      <c r="D6738" t="s">
        <v>5971</v>
      </c>
      <c r="E6738" s="2">
        <v>116.94</v>
      </c>
    </row>
    <row r="6739" spans="1:5" x14ac:dyDescent="0.25">
      <c r="A6739" s="1">
        <v>43607</v>
      </c>
      <c r="B6739">
        <v>122841</v>
      </c>
      <c r="C6739" t="s">
        <v>222</v>
      </c>
      <c r="D6739" t="s">
        <v>5972</v>
      </c>
      <c r="E6739" s="2">
        <f>66.02+27.12</f>
        <v>93.14</v>
      </c>
    </row>
    <row r="6740" spans="1:5" x14ac:dyDescent="0.25">
      <c r="A6740" s="1">
        <v>43607</v>
      </c>
      <c r="B6740">
        <v>122841</v>
      </c>
      <c r="C6740" t="s">
        <v>222</v>
      </c>
      <c r="D6740" t="s">
        <v>4331</v>
      </c>
      <c r="E6740" s="2">
        <v>13</v>
      </c>
    </row>
    <row r="6741" spans="1:5" x14ac:dyDescent="0.25">
      <c r="A6741" s="1">
        <v>43607</v>
      </c>
      <c r="B6741">
        <v>122841</v>
      </c>
      <c r="C6741" t="s">
        <v>222</v>
      </c>
      <c r="D6741" t="s">
        <v>5973</v>
      </c>
      <c r="E6741" s="2">
        <v>285.33999999999997</v>
      </c>
    </row>
    <row r="6742" spans="1:5" x14ac:dyDescent="0.25">
      <c r="A6742" s="1">
        <v>43607</v>
      </c>
      <c r="B6742">
        <v>122841</v>
      </c>
      <c r="C6742" t="s">
        <v>222</v>
      </c>
      <c r="D6742" t="s">
        <v>4331</v>
      </c>
      <c r="E6742" s="2">
        <v>54.95</v>
      </c>
    </row>
    <row r="6743" spans="1:5" x14ac:dyDescent="0.25">
      <c r="A6743" s="1">
        <v>43607</v>
      </c>
      <c r="B6743">
        <v>122841</v>
      </c>
      <c r="C6743" t="s">
        <v>222</v>
      </c>
      <c r="D6743" t="s">
        <v>5974</v>
      </c>
      <c r="E6743" s="2">
        <v>48.54</v>
      </c>
    </row>
    <row r="6744" spans="1:5" x14ac:dyDescent="0.25">
      <c r="A6744" s="1">
        <v>43607</v>
      </c>
      <c r="B6744">
        <v>122841</v>
      </c>
      <c r="C6744" t="s">
        <v>222</v>
      </c>
      <c r="D6744" t="s">
        <v>2700</v>
      </c>
      <c r="E6744" s="2">
        <v>80.22</v>
      </c>
    </row>
    <row r="6745" spans="1:5" x14ac:dyDescent="0.25">
      <c r="A6745" s="1">
        <v>43607</v>
      </c>
      <c r="B6745">
        <v>122841</v>
      </c>
      <c r="C6745" t="s">
        <v>222</v>
      </c>
      <c r="D6745" t="s">
        <v>5975</v>
      </c>
      <c r="E6745" s="2">
        <v>86.3</v>
      </c>
    </row>
    <row r="6746" spans="1:5" x14ac:dyDescent="0.25">
      <c r="A6746" s="1">
        <v>43607</v>
      </c>
      <c r="B6746">
        <v>122841</v>
      </c>
      <c r="C6746" t="s">
        <v>222</v>
      </c>
      <c r="D6746" t="s">
        <v>5976</v>
      </c>
      <c r="E6746" s="2">
        <v>39.979999999999997</v>
      </c>
    </row>
    <row r="6747" spans="1:5" x14ac:dyDescent="0.25">
      <c r="A6747" s="1">
        <v>43607</v>
      </c>
      <c r="B6747">
        <v>122841</v>
      </c>
      <c r="C6747" t="s">
        <v>222</v>
      </c>
      <c r="D6747" t="s">
        <v>5977</v>
      </c>
      <c r="E6747" s="2">
        <v>12.66</v>
      </c>
    </row>
    <row r="6748" spans="1:5" x14ac:dyDescent="0.25">
      <c r="A6748" s="1">
        <v>43607</v>
      </c>
      <c r="B6748">
        <v>122841</v>
      </c>
      <c r="C6748" t="s">
        <v>222</v>
      </c>
      <c r="D6748" t="s">
        <v>5968</v>
      </c>
      <c r="E6748" s="2">
        <f>20.96+34.96</f>
        <v>55.92</v>
      </c>
    </row>
    <row r="6749" spans="1:5" x14ac:dyDescent="0.25">
      <c r="A6749" s="1">
        <v>43607</v>
      </c>
      <c r="B6749">
        <v>122841</v>
      </c>
      <c r="C6749" t="s">
        <v>222</v>
      </c>
      <c r="D6749" t="s">
        <v>5978</v>
      </c>
      <c r="E6749" s="2">
        <v>329</v>
      </c>
    </row>
    <row r="6750" spans="1:5" x14ac:dyDescent="0.25">
      <c r="A6750" s="1">
        <v>43607</v>
      </c>
      <c r="B6750">
        <v>122841</v>
      </c>
      <c r="C6750" t="s">
        <v>222</v>
      </c>
      <c r="D6750" t="s">
        <v>1119</v>
      </c>
      <c r="E6750" s="2">
        <v>39.72</v>
      </c>
    </row>
    <row r="6751" spans="1:5" x14ac:dyDescent="0.25">
      <c r="A6751" s="1">
        <v>43607</v>
      </c>
      <c r="B6751">
        <v>122841</v>
      </c>
      <c r="C6751" t="s">
        <v>222</v>
      </c>
      <c r="D6751" t="s">
        <v>5979</v>
      </c>
      <c r="E6751" s="2">
        <v>166.2</v>
      </c>
    </row>
    <row r="6752" spans="1:5" x14ac:dyDescent="0.25">
      <c r="A6752" s="1">
        <v>43607</v>
      </c>
      <c r="B6752">
        <v>122841</v>
      </c>
      <c r="C6752" t="s">
        <v>222</v>
      </c>
      <c r="D6752" t="s">
        <v>5980</v>
      </c>
      <c r="E6752" s="2">
        <v>102.9</v>
      </c>
    </row>
    <row r="6753" spans="1:5" x14ac:dyDescent="0.25">
      <c r="A6753" s="1">
        <v>43607</v>
      </c>
      <c r="B6753">
        <v>122841</v>
      </c>
      <c r="C6753" t="s">
        <v>222</v>
      </c>
      <c r="D6753" t="s">
        <v>5981</v>
      </c>
      <c r="E6753" s="2">
        <v>34.44</v>
      </c>
    </row>
    <row r="6754" spans="1:5" x14ac:dyDescent="0.25">
      <c r="A6754" s="1">
        <v>43607</v>
      </c>
      <c r="B6754">
        <v>122841</v>
      </c>
      <c r="C6754" t="s">
        <v>222</v>
      </c>
      <c r="D6754" t="s">
        <v>2143</v>
      </c>
      <c r="E6754" s="2">
        <v>119.67</v>
      </c>
    </row>
    <row r="6755" spans="1:5" x14ac:dyDescent="0.25">
      <c r="A6755" s="1">
        <v>43607</v>
      </c>
      <c r="B6755">
        <v>122841</v>
      </c>
      <c r="C6755" t="s">
        <v>222</v>
      </c>
      <c r="D6755" t="s">
        <v>4947</v>
      </c>
      <c r="E6755" s="2">
        <v>32.64</v>
      </c>
    </row>
    <row r="6756" spans="1:5" x14ac:dyDescent="0.25">
      <c r="A6756" s="1">
        <v>43607</v>
      </c>
      <c r="B6756">
        <v>122841</v>
      </c>
      <c r="C6756" t="s">
        <v>222</v>
      </c>
      <c r="D6756" t="s">
        <v>5982</v>
      </c>
      <c r="E6756" s="2">
        <v>111.47</v>
      </c>
    </row>
    <row r="6757" spans="1:5" x14ac:dyDescent="0.25">
      <c r="A6757" s="1">
        <v>43607</v>
      </c>
      <c r="B6757">
        <v>122841</v>
      </c>
      <c r="C6757" t="s">
        <v>222</v>
      </c>
      <c r="D6757" t="s">
        <v>5983</v>
      </c>
      <c r="E6757" s="2">
        <v>18</v>
      </c>
    </row>
    <row r="6758" spans="1:5" x14ac:dyDescent="0.25">
      <c r="A6758" s="1">
        <v>43607</v>
      </c>
      <c r="B6758">
        <v>122841</v>
      </c>
      <c r="C6758" t="s">
        <v>222</v>
      </c>
      <c r="D6758" t="s">
        <v>5984</v>
      </c>
      <c r="E6758" s="2">
        <v>250.69</v>
      </c>
    </row>
    <row r="6759" spans="1:5" x14ac:dyDescent="0.25">
      <c r="A6759" s="1">
        <v>43607</v>
      </c>
      <c r="B6759">
        <v>122841</v>
      </c>
      <c r="C6759" t="s">
        <v>222</v>
      </c>
      <c r="D6759" t="s">
        <v>5985</v>
      </c>
      <c r="E6759" s="2">
        <v>56.74</v>
      </c>
    </row>
    <row r="6760" spans="1:5" x14ac:dyDescent="0.25">
      <c r="A6760" s="1">
        <v>43607</v>
      </c>
      <c r="B6760">
        <v>122841</v>
      </c>
      <c r="C6760" t="s">
        <v>222</v>
      </c>
      <c r="D6760" t="s">
        <v>5986</v>
      </c>
      <c r="E6760" s="2">
        <v>51.19</v>
      </c>
    </row>
    <row r="6761" spans="1:5" x14ac:dyDescent="0.25">
      <c r="A6761" s="1">
        <v>43607</v>
      </c>
      <c r="B6761">
        <v>122841</v>
      </c>
      <c r="C6761" t="s">
        <v>222</v>
      </c>
      <c r="D6761" t="s">
        <v>2143</v>
      </c>
      <c r="E6761" s="2">
        <v>79.56</v>
      </c>
    </row>
    <row r="6762" spans="1:5" x14ac:dyDescent="0.25">
      <c r="A6762" s="1">
        <v>43607</v>
      </c>
      <c r="B6762">
        <v>122841</v>
      </c>
      <c r="C6762" t="s">
        <v>222</v>
      </c>
      <c r="D6762" t="s">
        <v>5987</v>
      </c>
      <c r="E6762" s="2">
        <v>45.56</v>
      </c>
    </row>
    <row r="6763" spans="1:5" x14ac:dyDescent="0.25">
      <c r="A6763" s="1">
        <v>43607</v>
      </c>
      <c r="B6763">
        <v>122841</v>
      </c>
      <c r="C6763" t="s">
        <v>222</v>
      </c>
      <c r="D6763" t="s">
        <v>5988</v>
      </c>
      <c r="E6763" s="2">
        <v>16.64</v>
      </c>
    </row>
    <row r="6764" spans="1:5" x14ac:dyDescent="0.25">
      <c r="A6764" s="1">
        <v>43607</v>
      </c>
      <c r="B6764">
        <v>122841</v>
      </c>
      <c r="C6764" t="s">
        <v>222</v>
      </c>
      <c r="D6764" t="s">
        <v>5989</v>
      </c>
      <c r="E6764" s="2">
        <v>39.28</v>
      </c>
    </row>
    <row r="6765" spans="1:5" x14ac:dyDescent="0.25">
      <c r="A6765" s="1">
        <v>43607</v>
      </c>
      <c r="B6765">
        <v>122841</v>
      </c>
      <c r="C6765" t="s">
        <v>222</v>
      </c>
      <c r="D6765" t="s">
        <v>5990</v>
      </c>
      <c r="E6765" s="2">
        <v>48.56</v>
      </c>
    </row>
    <row r="6766" spans="1:5" x14ac:dyDescent="0.25">
      <c r="A6766" s="1">
        <v>43607</v>
      </c>
      <c r="B6766">
        <v>122841</v>
      </c>
      <c r="C6766" t="s">
        <v>222</v>
      </c>
      <c r="D6766" t="s">
        <v>4331</v>
      </c>
      <c r="E6766" s="2">
        <v>42.98</v>
      </c>
    </row>
    <row r="6767" spans="1:5" x14ac:dyDescent="0.25">
      <c r="A6767" s="1">
        <v>43607</v>
      </c>
      <c r="B6767">
        <v>122841</v>
      </c>
      <c r="C6767" t="s">
        <v>222</v>
      </c>
      <c r="D6767" t="s">
        <v>1119</v>
      </c>
      <c r="E6767" s="2">
        <v>30.5</v>
      </c>
    </row>
    <row r="6768" spans="1:5" x14ac:dyDescent="0.25">
      <c r="A6768" s="1">
        <v>43607</v>
      </c>
      <c r="B6768">
        <v>122841</v>
      </c>
      <c r="C6768" t="s">
        <v>222</v>
      </c>
      <c r="D6768" t="s">
        <v>4623</v>
      </c>
      <c r="E6768" s="2">
        <v>65.52</v>
      </c>
    </row>
    <row r="6769" spans="1:5" x14ac:dyDescent="0.25">
      <c r="A6769" s="1">
        <v>43607</v>
      </c>
      <c r="B6769">
        <v>122842</v>
      </c>
      <c r="C6769" t="s">
        <v>2724</v>
      </c>
      <c r="D6769" t="s">
        <v>5840</v>
      </c>
      <c r="E6769" s="2">
        <v>1210.5</v>
      </c>
    </row>
    <row r="6770" spans="1:5" x14ac:dyDescent="0.25">
      <c r="A6770" s="1">
        <v>43607</v>
      </c>
      <c r="B6770">
        <v>181900330</v>
      </c>
      <c r="C6770" t="s">
        <v>5991</v>
      </c>
      <c r="D6770" t="s">
        <v>5992</v>
      </c>
      <c r="E6770" s="2">
        <v>70</v>
      </c>
    </row>
    <row r="6771" spans="1:5" x14ac:dyDescent="0.25">
      <c r="A6771" s="1">
        <v>43608</v>
      </c>
      <c r="B6771">
        <v>122843</v>
      </c>
      <c r="C6771" t="s">
        <v>988</v>
      </c>
      <c r="D6771" t="s">
        <v>5993</v>
      </c>
      <c r="E6771" s="2">
        <v>423.67</v>
      </c>
    </row>
    <row r="6772" spans="1:5" x14ac:dyDescent="0.25">
      <c r="A6772" s="1">
        <v>43608</v>
      </c>
      <c r="B6772">
        <v>122843</v>
      </c>
      <c r="C6772" t="s">
        <v>988</v>
      </c>
      <c r="D6772" t="s">
        <v>5994</v>
      </c>
      <c r="E6772" s="2">
        <v>1960</v>
      </c>
    </row>
    <row r="6773" spans="1:5" x14ac:dyDescent="0.25">
      <c r="A6773" s="1">
        <v>43608</v>
      </c>
      <c r="B6773">
        <v>122843</v>
      </c>
      <c r="C6773" t="s">
        <v>988</v>
      </c>
      <c r="D6773" t="s">
        <v>5995</v>
      </c>
      <c r="E6773" s="2">
        <v>105</v>
      </c>
    </row>
    <row r="6774" spans="1:5" x14ac:dyDescent="0.25">
      <c r="A6774" s="1">
        <v>43608</v>
      </c>
      <c r="B6774">
        <v>122844</v>
      </c>
      <c r="C6774" t="s">
        <v>5996</v>
      </c>
      <c r="D6774" t="s">
        <v>5997</v>
      </c>
      <c r="E6774" s="2">
        <v>25</v>
      </c>
    </row>
    <row r="6775" spans="1:5" x14ac:dyDescent="0.25">
      <c r="A6775" s="1">
        <v>43608</v>
      </c>
      <c r="B6775">
        <v>122845</v>
      </c>
      <c r="C6775" t="s">
        <v>22</v>
      </c>
      <c r="D6775" t="s">
        <v>5998</v>
      </c>
      <c r="E6775" s="2">
        <v>38.39</v>
      </c>
    </row>
    <row r="6776" spans="1:5" x14ac:dyDescent="0.25">
      <c r="A6776" s="1">
        <v>43608</v>
      </c>
      <c r="B6776">
        <v>122846</v>
      </c>
      <c r="C6776" t="s">
        <v>25</v>
      </c>
      <c r="D6776" t="s">
        <v>5999</v>
      </c>
      <c r="E6776" s="2">
        <v>385.64</v>
      </c>
    </row>
    <row r="6777" spans="1:5" x14ac:dyDescent="0.25">
      <c r="A6777" s="1">
        <v>43608</v>
      </c>
      <c r="B6777">
        <v>122847</v>
      </c>
      <c r="C6777" t="s">
        <v>343</v>
      </c>
      <c r="D6777" t="s">
        <v>6000</v>
      </c>
      <c r="E6777" s="2">
        <v>120</v>
      </c>
    </row>
    <row r="6778" spans="1:5" x14ac:dyDescent="0.25">
      <c r="A6778" s="1">
        <v>43608</v>
      </c>
      <c r="B6778">
        <v>122848</v>
      </c>
      <c r="C6778" t="s">
        <v>3994</v>
      </c>
      <c r="D6778" t="s">
        <v>6001</v>
      </c>
      <c r="E6778" s="2">
        <v>3825.7</v>
      </c>
    </row>
    <row r="6779" spans="1:5" x14ac:dyDescent="0.25">
      <c r="A6779" s="1">
        <v>43608</v>
      </c>
      <c r="B6779">
        <v>122849</v>
      </c>
      <c r="C6779" t="s">
        <v>942</v>
      </c>
      <c r="D6779" t="s">
        <v>6002</v>
      </c>
      <c r="E6779" s="2">
        <v>3250</v>
      </c>
    </row>
    <row r="6780" spans="1:5" x14ac:dyDescent="0.25">
      <c r="A6780" s="1">
        <v>43608</v>
      </c>
      <c r="B6780">
        <v>122850</v>
      </c>
      <c r="C6780" t="s">
        <v>1988</v>
      </c>
      <c r="D6780" t="s">
        <v>6003</v>
      </c>
      <c r="E6780" s="2">
        <v>650</v>
      </c>
    </row>
    <row r="6781" spans="1:5" x14ac:dyDescent="0.25">
      <c r="A6781" s="1">
        <v>43608</v>
      </c>
      <c r="B6781">
        <v>122851</v>
      </c>
      <c r="C6781" t="s">
        <v>3102</v>
      </c>
      <c r="D6781" t="s">
        <v>3589</v>
      </c>
      <c r="E6781" s="2">
        <v>100</v>
      </c>
    </row>
    <row r="6782" spans="1:5" x14ac:dyDescent="0.25">
      <c r="A6782" s="1">
        <v>43608</v>
      </c>
      <c r="B6782">
        <v>122852</v>
      </c>
      <c r="C6782" t="s">
        <v>829</v>
      </c>
      <c r="D6782" t="s">
        <v>6004</v>
      </c>
      <c r="E6782" s="2">
        <v>100</v>
      </c>
    </row>
    <row r="6783" spans="1:5" x14ac:dyDescent="0.25">
      <c r="A6783" s="1">
        <v>43608</v>
      </c>
      <c r="B6783">
        <v>122853</v>
      </c>
      <c r="C6783" t="s">
        <v>6005</v>
      </c>
      <c r="D6783" t="s">
        <v>6006</v>
      </c>
      <c r="E6783" s="2">
        <v>22.4</v>
      </c>
    </row>
    <row r="6784" spans="1:5" x14ac:dyDescent="0.25">
      <c r="A6784" s="1">
        <v>43608</v>
      </c>
      <c r="B6784">
        <v>122854</v>
      </c>
      <c r="C6784" t="s">
        <v>7</v>
      </c>
      <c r="D6784" t="s">
        <v>6007</v>
      </c>
      <c r="E6784" s="2">
        <v>60</v>
      </c>
    </row>
    <row r="6785" spans="1:5" x14ac:dyDescent="0.25">
      <c r="A6785" s="1">
        <v>43608</v>
      </c>
      <c r="B6785">
        <v>122855</v>
      </c>
      <c r="C6785" t="s">
        <v>247</v>
      </c>
      <c r="D6785" t="s">
        <v>453</v>
      </c>
      <c r="E6785" s="2">
        <f>2256.37+1583.13+9653.54+84.71</f>
        <v>13577.75</v>
      </c>
    </row>
    <row r="6786" spans="1:5" x14ac:dyDescent="0.25">
      <c r="A6786" s="1">
        <v>43608</v>
      </c>
      <c r="B6786">
        <v>122857</v>
      </c>
      <c r="C6786" t="s">
        <v>106</v>
      </c>
      <c r="D6786" t="s">
        <v>453</v>
      </c>
      <c r="E6786" s="2">
        <f>106.65+393.29+625.59+1519.85+1687.68+189.72+49.48</f>
        <v>4572.26</v>
      </c>
    </row>
    <row r="6787" spans="1:5" x14ac:dyDescent="0.25">
      <c r="A6787" s="1">
        <v>43608</v>
      </c>
      <c r="B6787">
        <v>122858</v>
      </c>
      <c r="C6787" t="s">
        <v>107</v>
      </c>
      <c r="D6787" t="s">
        <v>6008</v>
      </c>
      <c r="E6787" s="2">
        <v>85.5</v>
      </c>
    </row>
    <row r="6788" spans="1:5" x14ac:dyDescent="0.25">
      <c r="A6788" s="1">
        <v>43608</v>
      </c>
      <c r="B6788">
        <v>122859</v>
      </c>
      <c r="C6788" t="s">
        <v>2276</v>
      </c>
      <c r="D6788" t="s">
        <v>6009</v>
      </c>
      <c r="E6788" s="2">
        <v>55</v>
      </c>
    </row>
    <row r="6789" spans="1:5" x14ac:dyDescent="0.25">
      <c r="A6789" s="1">
        <v>43608</v>
      </c>
      <c r="B6789">
        <v>122860</v>
      </c>
      <c r="C6789" t="s">
        <v>6010</v>
      </c>
      <c r="D6789" t="s">
        <v>6011</v>
      </c>
      <c r="E6789" s="2">
        <v>87.1</v>
      </c>
    </row>
    <row r="6790" spans="1:5" x14ac:dyDescent="0.25">
      <c r="A6790" s="1">
        <v>43608</v>
      </c>
      <c r="B6790">
        <v>122861</v>
      </c>
      <c r="C6790" t="s">
        <v>6012</v>
      </c>
      <c r="D6790" t="s">
        <v>6013</v>
      </c>
      <c r="E6790" s="2">
        <f>1088+1078.88</f>
        <v>2166.88</v>
      </c>
    </row>
    <row r="6791" spans="1:5" x14ac:dyDescent="0.25">
      <c r="A6791" s="1">
        <v>43608</v>
      </c>
      <c r="B6791">
        <v>122862</v>
      </c>
      <c r="C6791" t="s">
        <v>681</v>
      </c>
      <c r="D6791" t="s">
        <v>6014</v>
      </c>
      <c r="E6791" s="2">
        <v>142.56</v>
      </c>
    </row>
    <row r="6792" spans="1:5" x14ac:dyDescent="0.25">
      <c r="A6792" s="1">
        <v>43608</v>
      </c>
      <c r="B6792">
        <v>122865</v>
      </c>
      <c r="C6792" t="s">
        <v>110</v>
      </c>
      <c r="D6792" t="s">
        <v>6015</v>
      </c>
      <c r="E6792" s="2">
        <f>26052.07+12748.53+3824.13+6185.4+3442.01+5544.72+5230.89+4964.19+2842.25</f>
        <v>70834.19</v>
      </c>
    </row>
    <row r="6793" spans="1:5" x14ac:dyDescent="0.25">
      <c r="A6793" s="1">
        <v>43608</v>
      </c>
      <c r="B6793">
        <v>122866</v>
      </c>
      <c r="C6793" t="s">
        <v>2826</v>
      </c>
      <c r="D6793" t="s">
        <v>4364</v>
      </c>
      <c r="E6793" s="2">
        <v>30</v>
      </c>
    </row>
    <row r="6794" spans="1:5" x14ac:dyDescent="0.25">
      <c r="A6794" s="1">
        <v>43608</v>
      </c>
      <c r="B6794">
        <v>122899</v>
      </c>
      <c r="C6794" t="s">
        <v>123</v>
      </c>
      <c r="D6794" t="s">
        <v>6016</v>
      </c>
      <c r="E6794" s="2">
        <v>490.08</v>
      </c>
    </row>
    <row r="6795" spans="1:5" x14ac:dyDescent="0.25">
      <c r="A6795" s="1">
        <v>43608</v>
      </c>
      <c r="B6795">
        <v>122899</v>
      </c>
      <c r="C6795" t="s">
        <v>123</v>
      </c>
      <c r="D6795" t="s">
        <v>6017</v>
      </c>
      <c r="E6795" s="2">
        <v>51.05</v>
      </c>
    </row>
    <row r="6796" spans="1:5" x14ac:dyDescent="0.25">
      <c r="A6796" s="1">
        <v>43608</v>
      </c>
      <c r="B6796">
        <v>122899</v>
      </c>
      <c r="C6796" t="s">
        <v>123</v>
      </c>
      <c r="D6796" t="s">
        <v>6017</v>
      </c>
      <c r="E6796" s="2">
        <v>81.680000000000007</v>
      </c>
    </row>
    <row r="6797" spans="1:5" x14ac:dyDescent="0.25">
      <c r="A6797" s="1">
        <v>43608</v>
      </c>
      <c r="B6797">
        <v>122899</v>
      </c>
      <c r="C6797" t="s">
        <v>123</v>
      </c>
      <c r="D6797" t="s">
        <v>6018</v>
      </c>
      <c r="E6797" s="2">
        <v>190.59</v>
      </c>
    </row>
    <row r="6798" spans="1:5" x14ac:dyDescent="0.25">
      <c r="A6798" s="1">
        <v>43608</v>
      </c>
      <c r="B6798">
        <v>122899</v>
      </c>
      <c r="C6798" t="s">
        <v>123</v>
      </c>
      <c r="D6798" t="s">
        <v>6019</v>
      </c>
      <c r="E6798" s="2">
        <v>234.84</v>
      </c>
    </row>
    <row r="6799" spans="1:5" x14ac:dyDescent="0.25">
      <c r="A6799" s="1">
        <v>43608</v>
      </c>
      <c r="B6799">
        <v>122899</v>
      </c>
      <c r="C6799" t="s">
        <v>123</v>
      </c>
      <c r="D6799" t="s">
        <v>6020</v>
      </c>
      <c r="E6799" s="2">
        <v>163.36000000000001</v>
      </c>
    </row>
    <row r="6800" spans="1:5" x14ac:dyDescent="0.25">
      <c r="A6800" s="1">
        <v>43608</v>
      </c>
      <c r="B6800">
        <v>122899</v>
      </c>
      <c r="C6800" t="s">
        <v>123</v>
      </c>
      <c r="D6800" t="s">
        <v>6021</v>
      </c>
      <c r="E6800" s="2">
        <f>332.16+163.36+183.78+245.04</f>
        <v>924.34</v>
      </c>
    </row>
    <row r="6801" spans="1:5" x14ac:dyDescent="0.25">
      <c r="A6801" s="1">
        <v>43608</v>
      </c>
      <c r="B6801">
        <v>122899</v>
      </c>
      <c r="C6801" t="s">
        <v>123</v>
      </c>
      <c r="D6801" t="s">
        <v>6022</v>
      </c>
      <c r="E6801" s="2">
        <v>91.89</v>
      </c>
    </row>
    <row r="6802" spans="1:5" x14ac:dyDescent="0.25">
      <c r="A6802" s="1">
        <v>43608</v>
      </c>
      <c r="B6802">
        <v>122899</v>
      </c>
      <c r="C6802" t="s">
        <v>123</v>
      </c>
      <c r="D6802" t="s">
        <v>5303</v>
      </c>
      <c r="E6802" s="2">
        <f>81.68*11</f>
        <v>898.48</v>
      </c>
    </row>
    <row r="6803" spans="1:5" x14ac:dyDescent="0.25">
      <c r="A6803" s="1">
        <v>43608</v>
      </c>
      <c r="B6803">
        <v>122899</v>
      </c>
      <c r="C6803" t="s">
        <v>123</v>
      </c>
      <c r="D6803" t="s">
        <v>6023</v>
      </c>
      <c r="E6803" s="2">
        <v>251.85</v>
      </c>
    </row>
    <row r="6804" spans="1:5" x14ac:dyDescent="0.25">
      <c r="A6804" s="1">
        <v>43608</v>
      </c>
      <c r="B6804">
        <v>122899</v>
      </c>
      <c r="C6804" t="s">
        <v>123</v>
      </c>
      <c r="D6804" t="s">
        <v>6024</v>
      </c>
      <c r="E6804" s="2">
        <v>81.680000000000007</v>
      </c>
    </row>
    <row r="6805" spans="1:5" x14ac:dyDescent="0.25">
      <c r="A6805" s="1">
        <v>43608</v>
      </c>
      <c r="B6805">
        <v>122899</v>
      </c>
      <c r="C6805" t="s">
        <v>123</v>
      </c>
      <c r="D6805" t="s">
        <v>6025</v>
      </c>
      <c r="E6805" s="2">
        <f>81.68+81.68</f>
        <v>163.36000000000001</v>
      </c>
    </row>
    <row r="6806" spans="1:5" x14ac:dyDescent="0.25">
      <c r="A6806" s="1">
        <v>43608</v>
      </c>
      <c r="B6806">
        <v>122899</v>
      </c>
      <c r="C6806" t="s">
        <v>123</v>
      </c>
      <c r="D6806" t="s">
        <v>6026</v>
      </c>
      <c r="E6806" s="2">
        <v>81.680000000000007</v>
      </c>
    </row>
    <row r="6807" spans="1:5" x14ac:dyDescent="0.25">
      <c r="A6807" s="1">
        <v>43608</v>
      </c>
      <c r="B6807">
        <v>122899</v>
      </c>
      <c r="C6807" t="s">
        <v>123</v>
      </c>
      <c r="D6807" t="s">
        <v>6027</v>
      </c>
      <c r="E6807" s="2">
        <v>163.36000000000001</v>
      </c>
    </row>
    <row r="6808" spans="1:5" x14ac:dyDescent="0.25">
      <c r="A6808" s="1">
        <v>43608</v>
      </c>
      <c r="B6808">
        <v>122899</v>
      </c>
      <c r="C6808" t="s">
        <v>123</v>
      </c>
      <c r="D6808" t="s">
        <v>6022</v>
      </c>
      <c r="E6808" s="2">
        <v>61.26</v>
      </c>
    </row>
    <row r="6809" spans="1:5" x14ac:dyDescent="0.25">
      <c r="A6809" s="1">
        <v>43608</v>
      </c>
      <c r="B6809">
        <v>122899</v>
      </c>
      <c r="C6809" t="s">
        <v>123</v>
      </c>
      <c r="D6809" t="s">
        <v>6028</v>
      </c>
      <c r="E6809" s="2">
        <v>40.840000000000003</v>
      </c>
    </row>
    <row r="6810" spans="1:5" x14ac:dyDescent="0.25">
      <c r="A6810" s="1">
        <v>43608</v>
      </c>
      <c r="B6810">
        <v>122899</v>
      </c>
      <c r="C6810" t="s">
        <v>123</v>
      </c>
      <c r="D6810" t="s">
        <v>6022</v>
      </c>
      <c r="E6810" s="2">
        <v>64.66</v>
      </c>
    </row>
    <row r="6811" spans="1:5" x14ac:dyDescent="0.25">
      <c r="A6811" s="1">
        <v>43608</v>
      </c>
      <c r="B6811">
        <v>122899</v>
      </c>
      <c r="C6811" t="s">
        <v>123</v>
      </c>
      <c r="D6811" t="s">
        <v>6029</v>
      </c>
      <c r="E6811" s="2">
        <v>163.36000000000001</v>
      </c>
    </row>
    <row r="6812" spans="1:5" x14ac:dyDescent="0.25">
      <c r="A6812" s="1">
        <v>43608</v>
      </c>
      <c r="B6812">
        <v>122899</v>
      </c>
      <c r="C6812" t="s">
        <v>123</v>
      </c>
      <c r="D6812" t="s">
        <v>5304</v>
      </c>
      <c r="E6812" s="2">
        <v>81.680000000000007</v>
      </c>
    </row>
    <row r="6813" spans="1:5" x14ac:dyDescent="0.25">
      <c r="A6813" s="1">
        <v>43608</v>
      </c>
      <c r="B6813">
        <v>122899</v>
      </c>
      <c r="C6813" t="s">
        <v>123</v>
      </c>
      <c r="D6813" t="s">
        <v>5310</v>
      </c>
      <c r="E6813" s="2">
        <f>81.68*4</f>
        <v>326.72000000000003</v>
      </c>
    </row>
    <row r="6814" spans="1:5" x14ac:dyDescent="0.25">
      <c r="A6814" s="1">
        <v>43608</v>
      </c>
      <c r="B6814">
        <v>122899</v>
      </c>
      <c r="C6814" t="s">
        <v>123</v>
      </c>
      <c r="D6814" t="s">
        <v>6030</v>
      </c>
      <c r="E6814" s="2">
        <v>204.2</v>
      </c>
    </row>
    <row r="6815" spans="1:5" x14ac:dyDescent="0.25">
      <c r="A6815" s="1">
        <v>43608</v>
      </c>
      <c r="B6815">
        <v>122899</v>
      </c>
      <c r="C6815" t="s">
        <v>123</v>
      </c>
      <c r="D6815" t="s">
        <v>5304</v>
      </c>
      <c r="E6815" s="2">
        <v>81.680000000000007</v>
      </c>
    </row>
    <row r="6816" spans="1:5" x14ac:dyDescent="0.25">
      <c r="A6816" s="1">
        <v>43608</v>
      </c>
      <c r="B6816">
        <v>122899</v>
      </c>
      <c r="C6816" t="s">
        <v>123</v>
      </c>
      <c r="D6816" t="s">
        <v>4759</v>
      </c>
      <c r="E6816" s="2">
        <f>81.68*4</f>
        <v>326.72000000000003</v>
      </c>
    </row>
    <row r="6817" spans="1:5" x14ac:dyDescent="0.25">
      <c r="A6817" s="1">
        <v>43608</v>
      </c>
      <c r="B6817">
        <v>122899</v>
      </c>
      <c r="C6817" t="s">
        <v>123</v>
      </c>
      <c r="D6817" t="s">
        <v>3716</v>
      </c>
      <c r="E6817" s="2">
        <v>81.680000000000007</v>
      </c>
    </row>
    <row r="6818" spans="1:5" x14ac:dyDescent="0.25">
      <c r="A6818" s="1">
        <v>43608</v>
      </c>
      <c r="B6818">
        <v>122899</v>
      </c>
      <c r="C6818" t="s">
        <v>123</v>
      </c>
      <c r="D6818" t="s">
        <v>6031</v>
      </c>
      <c r="E6818" s="2">
        <f>95.97+112.99</f>
        <v>208.95999999999998</v>
      </c>
    </row>
    <row r="6819" spans="1:5" x14ac:dyDescent="0.25">
      <c r="A6819" s="1">
        <v>43608</v>
      </c>
      <c r="B6819">
        <v>122899</v>
      </c>
      <c r="C6819" t="s">
        <v>123</v>
      </c>
      <c r="D6819" t="s">
        <v>6032</v>
      </c>
      <c r="E6819" s="2">
        <v>251.85</v>
      </c>
    </row>
    <row r="6820" spans="1:5" x14ac:dyDescent="0.25">
      <c r="A6820" s="1">
        <v>43608</v>
      </c>
      <c r="B6820">
        <v>122899</v>
      </c>
      <c r="C6820" t="s">
        <v>123</v>
      </c>
      <c r="D6820" t="s">
        <v>3716</v>
      </c>
      <c r="E6820" s="2">
        <v>81.680000000000007</v>
      </c>
    </row>
    <row r="6821" spans="1:5" x14ac:dyDescent="0.25">
      <c r="A6821" s="1">
        <v>43608</v>
      </c>
      <c r="B6821">
        <v>122899</v>
      </c>
      <c r="C6821" t="s">
        <v>123</v>
      </c>
      <c r="D6821" t="s">
        <v>6033</v>
      </c>
      <c r="E6821" s="2">
        <f>57.86+30.63</f>
        <v>88.49</v>
      </c>
    </row>
    <row r="6822" spans="1:5" x14ac:dyDescent="0.25">
      <c r="A6822" s="1">
        <v>43608</v>
      </c>
      <c r="B6822">
        <v>122899</v>
      </c>
      <c r="C6822" t="s">
        <v>123</v>
      </c>
      <c r="D6822" t="s">
        <v>6034</v>
      </c>
      <c r="E6822" s="2">
        <v>204.2</v>
      </c>
    </row>
    <row r="6823" spans="1:5" x14ac:dyDescent="0.25">
      <c r="A6823" s="1">
        <v>43608</v>
      </c>
      <c r="B6823">
        <v>122899</v>
      </c>
      <c r="C6823" t="s">
        <v>123</v>
      </c>
      <c r="D6823" t="s">
        <v>6035</v>
      </c>
      <c r="E6823" s="2">
        <v>400</v>
      </c>
    </row>
    <row r="6824" spans="1:5" x14ac:dyDescent="0.25">
      <c r="A6824" s="1">
        <v>43608</v>
      </c>
      <c r="B6824">
        <v>122899</v>
      </c>
      <c r="C6824" t="s">
        <v>123</v>
      </c>
      <c r="D6824" t="s">
        <v>2553</v>
      </c>
      <c r="E6824" s="2">
        <v>69.66</v>
      </c>
    </row>
    <row r="6825" spans="1:5" x14ac:dyDescent="0.25">
      <c r="A6825" s="1">
        <v>43608</v>
      </c>
      <c r="B6825">
        <v>122899</v>
      </c>
      <c r="C6825" t="s">
        <v>123</v>
      </c>
      <c r="D6825" t="s">
        <v>6036</v>
      </c>
      <c r="E6825" s="2">
        <v>81.680000000000007</v>
      </c>
    </row>
    <row r="6826" spans="1:5" x14ac:dyDescent="0.25">
      <c r="A6826" s="1">
        <v>43608</v>
      </c>
      <c r="B6826">
        <v>122899</v>
      </c>
      <c r="C6826" t="s">
        <v>123</v>
      </c>
      <c r="D6826" t="s">
        <v>6037</v>
      </c>
      <c r="E6826" s="2">
        <v>245.04</v>
      </c>
    </row>
    <row r="6827" spans="1:5" x14ac:dyDescent="0.25">
      <c r="A6827" s="1">
        <v>43608</v>
      </c>
      <c r="B6827">
        <v>122899</v>
      </c>
      <c r="C6827" t="s">
        <v>123</v>
      </c>
      <c r="D6827" t="s">
        <v>5311</v>
      </c>
      <c r="E6827" s="2">
        <v>81.680000000000007</v>
      </c>
    </row>
    <row r="6828" spans="1:5" x14ac:dyDescent="0.25">
      <c r="A6828" s="1">
        <v>43608</v>
      </c>
      <c r="B6828">
        <v>122899</v>
      </c>
      <c r="C6828" t="s">
        <v>123</v>
      </c>
      <c r="D6828" t="s">
        <v>6038</v>
      </c>
      <c r="E6828" s="2">
        <v>245.04</v>
      </c>
    </row>
    <row r="6829" spans="1:5" x14ac:dyDescent="0.25">
      <c r="A6829" s="1">
        <v>43608</v>
      </c>
      <c r="B6829">
        <v>122899</v>
      </c>
      <c r="C6829" t="s">
        <v>123</v>
      </c>
      <c r="D6829" t="s">
        <v>5311</v>
      </c>
      <c r="E6829" s="2">
        <v>95.3</v>
      </c>
    </row>
    <row r="6830" spans="1:5" x14ac:dyDescent="0.25">
      <c r="A6830" s="1">
        <v>43608</v>
      </c>
      <c r="B6830">
        <v>122899</v>
      </c>
      <c r="C6830" t="s">
        <v>123</v>
      </c>
      <c r="D6830" t="s">
        <v>6039</v>
      </c>
      <c r="E6830" s="2">
        <f>81.68+153.15</f>
        <v>234.83</v>
      </c>
    </row>
    <row r="6831" spans="1:5" x14ac:dyDescent="0.25">
      <c r="A6831" s="1">
        <v>43608</v>
      </c>
      <c r="B6831">
        <v>122899</v>
      </c>
      <c r="C6831" t="s">
        <v>123</v>
      </c>
      <c r="D6831" t="s">
        <v>6040</v>
      </c>
      <c r="E6831" s="2">
        <v>163.36000000000001</v>
      </c>
    </row>
    <row r="6832" spans="1:5" x14ac:dyDescent="0.25">
      <c r="A6832" s="1">
        <v>43608</v>
      </c>
      <c r="B6832">
        <v>122899</v>
      </c>
      <c r="C6832" t="s">
        <v>123</v>
      </c>
      <c r="D6832" t="s">
        <v>6030</v>
      </c>
      <c r="E6832" s="2">
        <v>176.97</v>
      </c>
    </row>
    <row r="6833" spans="1:5" x14ac:dyDescent="0.25">
      <c r="A6833" s="1">
        <v>43608</v>
      </c>
      <c r="B6833">
        <v>122899</v>
      </c>
      <c r="C6833" t="s">
        <v>123</v>
      </c>
      <c r="D6833" t="s">
        <v>6041</v>
      </c>
      <c r="E6833" s="2">
        <v>81.680000000000007</v>
      </c>
    </row>
    <row r="6834" spans="1:5" x14ac:dyDescent="0.25">
      <c r="A6834" s="1">
        <v>43608</v>
      </c>
      <c r="B6834">
        <v>122899</v>
      </c>
      <c r="C6834" t="s">
        <v>123</v>
      </c>
      <c r="D6834" t="s">
        <v>5320</v>
      </c>
      <c r="E6834" s="2">
        <f>81.68*4</f>
        <v>326.72000000000003</v>
      </c>
    </row>
    <row r="6835" spans="1:5" x14ac:dyDescent="0.25">
      <c r="A6835" s="1">
        <v>43608</v>
      </c>
      <c r="B6835">
        <v>122899</v>
      </c>
      <c r="C6835" t="s">
        <v>123</v>
      </c>
      <c r="D6835" t="s">
        <v>6042</v>
      </c>
      <c r="E6835" s="2">
        <f>156.55+136.13+87.81</f>
        <v>380.49</v>
      </c>
    </row>
    <row r="6836" spans="1:5" x14ac:dyDescent="0.25">
      <c r="A6836" s="1">
        <v>43608</v>
      </c>
      <c r="B6836">
        <v>122899</v>
      </c>
      <c r="C6836" t="s">
        <v>123</v>
      </c>
      <c r="D6836" t="s">
        <v>6036</v>
      </c>
      <c r="E6836" s="2">
        <v>81.680000000000007</v>
      </c>
    </row>
    <row r="6837" spans="1:5" x14ac:dyDescent="0.25">
      <c r="A6837" s="1">
        <v>43608</v>
      </c>
      <c r="B6837">
        <v>122899</v>
      </c>
      <c r="C6837" t="s">
        <v>123</v>
      </c>
      <c r="D6837" t="s">
        <v>6043</v>
      </c>
      <c r="E6837" s="2">
        <v>81.680000000000007</v>
      </c>
    </row>
    <row r="6838" spans="1:5" x14ac:dyDescent="0.25">
      <c r="A6838" s="1">
        <v>43608</v>
      </c>
      <c r="B6838">
        <v>122899</v>
      </c>
      <c r="C6838" t="s">
        <v>123</v>
      </c>
      <c r="D6838" t="s">
        <v>6044</v>
      </c>
      <c r="E6838" s="2">
        <v>81.680000000000007</v>
      </c>
    </row>
    <row r="6839" spans="1:5" x14ac:dyDescent="0.25">
      <c r="A6839" s="1">
        <v>43608</v>
      </c>
      <c r="B6839">
        <v>122899</v>
      </c>
      <c r="C6839" t="s">
        <v>123</v>
      </c>
      <c r="D6839" t="s">
        <v>6045</v>
      </c>
      <c r="E6839" s="2">
        <v>45.61</v>
      </c>
    </row>
    <row r="6840" spans="1:5" x14ac:dyDescent="0.25">
      <c r="A6840" s="1">
        <v>43608</v>
      </c>
      <c r="B6840">
        <v>122899</v>
      </c>
      <c r="C6840" t="s">
        <v>123</v>
      </c>
      <c r="D6840" t="s">
        <v>6044</v>
      </c>
      <c r="E6840" s="2">
        <v>74.87</v>
      </c>
    </row>
    <row r="6841" spans="1:5" x14ac:dyDescent="0.25">
      <c r="A6841" s="1">
        <v>43608</v>
      </c>
      <c r="B6841">
        <v>122899</v>
      </c>
      <c r="C6841" t="s">
        <v>123</v>
      </c>
      <c r="D6841" t="s">
        <v>6045</v>
      </c>
      <c r="E6841" s="2">
        <v>56.49</v>
      </c>
    </row>
    <row r="6842" spans="1:5" x14ac:dyDescent="0.25">
      <c r="A6842" s="1">
        <v>43608</v>
      </c>
      <c r="B6842">
        <v>122899</v>
      </c>
      <c r="C6842" t="s">
        <v>123</v>
      </c>
      <c r="D6842" t="s">
        <v>6046</v>
      </c>
      <c r="E6842" s="2">
        <v>248.44</v>
      </c>
    </row>
    <row r="6843" spans="1:5" x14ac:dyDescent="0.25">
      <c r="A6843" s="1">
        <v>43608</v>
      </c>
      <c r="B6843">
        <v>122899</v>
      </c>
      <c r="C6843" t="s">
        <v>123</v>
      </c>
      <c r="D6843" t="s">
        <v>6033</v>
      </c>
      <c r="E6843" s="2">
        <f>61.26+51.05+40.84+47.65</f>
        <v>200.8</v>
      </c>
    </row>
    <row r="6844" spans="1:5" x14ac:dyDescent="0.25">
      <c r="A6844" s="1">
        <v>43608</v>
      </c>
      <c r="B6844">
        <v>122899</v>
      </c>
      <c r="C6844" t="s">
        <v>123</v>
      </c>
      <c r="D6844" t="s">
        <v>6047</v>
      </c>
      <c r="E6844" s="2">
        <v>258.66000000000003</v>
      </c>
    </row>
    <row r="6845" spans="1:5" x14ac:dyDescent="0.25">
      <c r="A6845" s="1">
        <v>43608</v>
      </c>
      <c r="B6845">
        <v>122899</v>
      </c>
      <c r="C6845" t="s">
        <v>123</v>
      </c>
      <c r="D6845" t="s">
        <v>6048</v>
      </c>
      <c r="E6845" s="2">
        <v>238.23</v>
      </c>
    </row>
    <row r="6846" spans="1:5" x14ac:dyDescent="0.25">
      <c r="A6846" s="1">
        <v>43608</v>
      </c>
      <c r="B6846">
        <v>122899</v>
      </c>
      <c r="C6846" t="s">
        <v>123</v>
      </c>
      <c r="D6846" t="s">
        <v>6049</v>
      </c>
      <c r="E6846" s="2">
        <v>459.45</v>
      </c>
    </row>
    <row r="6847" spans="1:5" x14ac:dyDescent="0.25">
      <c r="A6847" s="1">
        <v>43608</v>
      </c>
      <c r="B6847">
        <v>122899</v>
      </c>
      <c r="C6847" t="s">
        <v>123</v>
      </c>
      <c r="D6847" t="s">
        <v>5311</v>
      </c>
      <c r="E6847" s="2">
        <v>163.36000000000001</v>
      </c>
    </row>
    <row r="6848" spans="1:5" x14ac:dyDescent="0.25">
      <c r="A6848" s="1">
        <v>43608</v>
      </c>
      <c r="B6848">
        <v>122899</v>
      </c>
      <c r="C6848" t="s">
        <v>123</v>
      </c>
      <c r="D6848" t="s">
        <v>6050</v>
      </c>
      <c r="E6848" s="2">
        <f>816.8+510.5+735.12</f>
        <v>2062.42</v>
      </c>
    </row>
    <row r="6849" spans="1:5" x14ac:dyDescent="0.25">
      <c r="A6849" s="1">
        <v>43608</v>
      </c>
      <c r="B6849">
        <v>122899</v>
      </c>
      <c r="C6849" t="s">
        <v>123</v>
      </c>
      <c r="D6849" t="s">
        <v>6051</v>
      </c>
      <c r="E6849" s="2">
        <v>503.7</v>
      </c>
    </row>
    <row r="6850" spans="1:5" x14ac:dyDescent="0.25">
      <c r="A6850" s="1">
        <v>43608</v>
      </c>
      <c r="B6850">
        <v>122899</v>
      </c>
      <c r="C6850" t="s">
        <v>123</v>
      </c>
      <c r="D6850" t="s">
        <v>6052</v>
      </c>
      <c r="E6850" s="2">
        <f>410+81.68</f>
        <v>491.68</v>
      </c>
    </row>
    <row r="6851" spans="1:5" x14ac:dyDescent="0.25">
      <c r="A6851" s="1">
        <v>43608</v>
      </c>
      <c r="B6851">
        <v>122899</v>
      </c>
      <c r="C6851" t="s">
        <v>123</v>
      </c>
      <c r="D6851" t="s">
        <v>4743</v>
      </c>
      <c r="E6851" s="2">
        <v>17.02</v>
      </c>
    </row>
    <row r="6852" spans="1:5" x14ac:dyDescent="0.25">
      <c r="A6852" s="1">
        <v>43608</v>
      </c>
      <c r="B6852">
        <v>122899</v>
      </c>
      <c r="C6852" t="s">
        <v>123</v>
      </c>
      <c r="D6852" t="s">
        <v>6053</v>
      </c>
      <c r="E6852" s="2">
        <v>81.680000000000007</v>
      </c>
    </row>
    <row r="6853" spans="1:5" x14ac:dyDescent="0.25">
      <c r="A6853" s="1">
        <v>43608</v>
      </c>
      <c r="B6853">
        <v>122899</v>
      </c>
      <c r="C6853" t="s">
        <v>123</v>
      </c>
      <c r="D6853" t="s">
        <v>4743</v>
      </c>
      <c r="E6853" s="2">
        <f>408.4+34.04+476.46</f>
        <v>918.9</v>
      </c>
    </row>
    <row r="6854" spans="1:5" x14ac:dyDescent="0.25">
      <c r="A6854" s="1">
        <v>43608</v>
      </c>
      <c r="B6854">
        <v>122899</v>
      </c>
      <c r="C6854" t="s">
        <v>123</v>
      </c>
      <c r="D6854" t="s">
        <v>1665</v>
      </c>
      <c r="E6854" s="2">
        <f>398.94+42+47.21+46.78+30+118.96+36.7+686.49+43.36+173.25+50+158.22</f>
        <v>1831.9099999999999</v>
      </c>
    </row>
    <row r="6855" spans="1:5" x14ac:dyDescent="0.25">
      <c r="A6855" s="1">
        <v>43608</v>
      </c>
      <c r="B6855">
        <v>122899</v>
      </c>
      <c r="C6855" t="s">
        <v>123</v>
      </c>
      <c r="D6855" t="s">
        <v>6054</v>
      </c>
      <c r="E6855" s="2">
        <v>81.680000000000007</v>
      </c>
    </row>
    <row r="6856" spans="1:5" x14ac:dyDescent="0.25">
      <c r="A6856" s="1">
        <v>43608</v>
      </c>
      <c r="B6856">
        <v>122899</v>
      </c>
      <c r="C6856" t="s">
        <v>123</v>
      </c>
      <c r="D6856" t="s">
        <v>6055</v>
      </c>
      <c r="E6856" s="2">
        <f>408.4+408.4</f>
        <v>816.8</v>
      </c>
    </row>
    <row r="6857" spans="1:5" x14ac:dyDescent="0.25">
      <c r="A6857" s="1">
        <v>43608</v>
      </c>
      <c r="B6857">
        <v>122899</v>
      </c>
      <c r="C6857" t="s">
        <v>123</v>
      </c>
      <c r="D6857" t="s">
        <v>6030</v>
      </c>
      <c r="E6857" s="2">
        <f>68.75+34.03</f>
        <v>102.78</v>
      </c>
    </row>
    <row r="6858" spans="1:5" x14ac:dyDescent="0.25">
      <c r="A6858" s="1">
        <v>43608</v>
      </c>
      <c r="B6858">
        <v>122899</v>
      </c>
      <c r="C6858" t="s">
        <v>123</v>
      </c>
      <c r="D6858" t="s">
        <v>5304</v>
      </c>
      <c r="E6858" s="2">
        <v>81.680000000000007</v>
      </c>
    </row>
    <row r="6859" spans="1:5" x14ac:dyDescent="0.25">
      <c r="A6859" s="1">
        <v>43608</v>
      </c>
      <c r="B6859">
        <v>122900</v>
      </c>
      <c r="C6859" t="s">
        <v>6056</v>
      </c>
      <c r="D6859" t="s">
        <v>6057</v>
      </c>
      <c r="E6859" s="2">
        <v>65</v>
      </c>
    </row>
    <row r="6860" spans="1:5" x14ac:dyDescent="0.25">
      <c r="A6860" s="1">
        <v>43608</v>
      </c>
      <c r="B6860">
        <v>122901</v>
      </c>
      <c r="C6860" t="s">
        <v>264</v>
      </c>
      <c r="D6860" t="s">
        <v>6058</v>
      </c>
      <c r="E6860" s="2">
        <v>52.88</v>
      </c>
    </row>
    <row r="6861" spans="1:5" x14ac:dyDescent="0.25">
      <c r="A6861" s="1">
        <v>43608</v>
      </c>
      <c r="B6861">
        <v>122902</v>
      </c>
      <c r="C6861" t="s">
        <v>6059</v>
      </c>
      <c r="D6861" t="s">
        <v>6060</v>
      </c>
      <c r="E6861" s="2">
        <v>29.75</v>
      </c>
    </row>
    <row r="6862" spans="1:5" x14ac:dyDescent="0.25">
      <c r="A6862" s="1">
        <v>43608</v>
      </c>
      <c r="B6862">
        <v>122903</v>
      </c>
      <c r="C6862" t="s">
        <v>6061</v>
      </c>
      <c r="D6862" t="s">
        <v>5340</v>
      </c>
      <c r="E6862" s="2">
        <v>39.049999999999997</v>
      </c>
    </row>
    <row r="6863" spans="1:5" x14ac:dyDescent="0.25">
      <c r="A6863" s="1">
        <v>43608</v>
      </c>
      <c r="B6863">
        <v>122904</v>
      </c>
      <c r="C6863" t="s">
        <v>708</v>
      </c>
      <c r="D6863" t="s">
        <v>5342</v>
      </c>
      <c r="E6863" s="2">
        <v>7043.82</v>
      </c>
    </row>
    <row r="6864" spans="1:5" x14ac:dyDescent="0.25">
      <c r="A6864" s="1">
        <v>43608</v>
      </c>
      <c r="B6864">
        <v>122905</v>
      </c>
      <c r="C6864" t="s">
        <v>618</v>
      </c>
      <c r="D6864" t="s">
        <v>6062</v>
      </c>
      <c r="E6864" s="2">
        <v>180</v>
      </c>
    </row>
    <row r="6865" spans="1:5" x14ac:dyDescent="0.25">
      <c r="A6865" s="1">
        <v>43608</v>
      </c>
      <c r="B6865">
        <v>122905</v>
      </c>
      <c r="C6865" t="s">
        <v>618</v>
      </c>
      <c r="D6865" t="s">
        <v>6063</v>
      </c>
      <c r="E6865" s="2">
        <v>100</v>
      </c>
    </row>
    <row r="6866" spans="1:5" x14ac:dyDescent="0.25">
      <c r="A6866" s="1">
        <v>43608</v>
      </c>
      <c r="B6866">
        <v>122906</v>
      </c>
      <c r="C6866" t="s">
        <v>47</v>
      </c>
      <c r="D6866" t="s">
        <v>6064</v>
      </c>
      <c r="E6866" s="2">
        <v>82.76</v>
      </c>
    </row>
    <row r="6867" spans="1:5" x14ac:dyDescent="0.25">
      <c r="A6867" s="1">
        <v>43608</v>
      </c>
      <c r="B6867">
        <v>122907</v>
      </c>
      <c r="C6867" t="s">
        <v>6065</v>
      </c>
      <c r="D6867" t="s">
        <v>6060</v>
      </c>
      <c r="E6867" s="2">
        <v>97</v>
      </c>
    </row>
    <row r="6868" spans="1:5" x14ac:dyDescent="0.25">
      <c r="A6868" s="1">
        <v>43608</v>
      </c>
      <c r="B6868">
        <v>122909</v>
      </c>
      <c r="C6868" t="s">
        <v>74</v>
      </c>
      <c r="D6868" t="s">
        <v>2416</v>
      </c>
      <c r="E6868" s="2">
        <v>249</v>
      </c>
    </row>
    <row r="6869" spans="1:5" x14ac:dyDescent="0.25">
      <c r="A6869" s="1">
        <v>43608</v>
      </c>
      <c r="B6869">
        <v>122909</v>
      </c>
      <c r="C6869" t="s">
        <v>74</v>
      </c>
      <c r="D6869" t="s">
        <v>6066</v>
      </c>
      <c r="E6869" s="2">
        <v>1156</v>
      </c>
    </row>
    <row r="6870" spans="1:5" x14ac:dyDescent="0.25">
      <c r="A6870" s="1">
        <v>43608</v>
      </c>
      <c r="B6870">
        <v>122909</v>
      </c>
      <c r="C6870" t="s">
        <v>74</v>
      </c>
      <c r="D6870" t="s">
        <v>4805</v>
      </c>
      <c r="E6870" s="2">
        <v>510.36</v>
      </c>
    </row>
    <row r="6871" spans="1:5" x14ac:dyDescent="0.25">
      <c r="A6871" s="1">
        <v>43608</v>
      </c>
      <c r="B6871">
        <v>122909</v>
      </c>
      <c r="C6871" t="s">
        <v>74</v>
      </c>
      <c r="D6871" t="s">
        <v>6067</v>
      </c>
      <c r="E6871" s="2">
        <v>657.8</v>
      </c>
    </row>
    <row r="6872" spans="1:5" x14ac:dyDescent="0.25">
      <c r="A6872" s="1">
        <v>43608</v>
      </c>
      <c r="B6872">
        <v>122909</v>
      </c>
      <c r="C6872" t="s">
        <v>74</v>
      </c>
      <c r="D6872" t="s">
        <v>281</v>
      </c>
      <c r="E6872" s="2">
        <v>119.6</v>
      </c>
    </row>
    <row r="6873" spans="1:5" x14ac:dyDescent="0.25">
      <c r="A6873" s="1">
        <v>43608</v>
      </c>
      <c r="B6873">
        <v>122910</v>
      </c>
      <c r="C6873" t="s">
        <v>6068</v>
      </c>
      <c r="D6873" t="s">
        <v>5340</v>
      </c>
      <c r="E6873" s="2">
        <v>39.049999999999997</v>
      </c>
    </row>
    <row r="6874" spans="1:5" x14ac:dyDescent="0.25">
      <c r="A6874" s="1">
        <v>43608</v>
      </c>
      <c r="B6874">
        <v>122911</v>
      </c>
      <c r="C6874" t="s">
        <v>4254</v>
      </c>
      <c r="D6874" t="s">
        <v>6057</v>
      </c>
      <c r="E6874" s="2">
        <v>367.5</v>
      </c>
    </row>
    <row r="6875" spans="1:5" x14ac:dyDescent="0.25">
      <c r="A6875" s="1">
        <v>43608</v>
      </c>
      <c r="B6875">
        <v>122912</v>
      </c>
      <c r="C6875" t="s">
        <v>146</v>
      </c>
      <c r="D6875" t="s">
        <v>6069</v>
      </c>
      <c r="E6875" s="2">
        <v>845.86</v>
      </c>
    </row>
    <row r="6876" spans="1:5" x14ac:dyDescent="0.25">
      <c r="A6876" s="1">
        <v>43608</v>
      </c>
      <c r="B6876">
        <v>122913</v>
      </c>
      <c r="C6876" t="s">
        <v>5346</v>
      </c>
      <c r="D6876" t="s">
        <v>6070</v>
      </c>
      <c r="E6876" s="2">
        <v>11264.14</v>
      </c>
    </row>
    <row r="6877" spans="1:5" x14ac:dyDescent="0.25">
      <c r="A6877" s="1">
        <v>43608</v>
      </c>
      <c r="B6877">
        <v>122914</v>
      </c>
      <c r="C6877" t="s">
        <v>336</v>
      </c>
      <c r="D6877" t="s">
        <v>6071</v>
      </c>
      <c r="E6877" s="2">
        <v>246.9</v>
      </c>
    </row>
    <row r="6878" spans="1:5" x14ac:dyDescent="0.25">
      <c r="A6878" s="1">
        <v>43608</v>
      </c>
      <c r="B6878">
        <v>122915</v>
      </c>
      <c r="C6878" t="s">
        <v>75</v>
      </c>
      <c r="D6878" t="s">
        <v>6072</v>
      </c>
      <c r="E6878" s="2">
        <v>6.23</v>
      </c>
    </row>
    <row r="6879" spans="1:5" x14ac:dyDescent="0.25">
      <c r="A6879" s="1">
        <v>43608</v>
      </c>
      <c r="B6879">
        <v>122916</v>
      </c>
      <c r="C6879" t="s">
        <v>739</v>
      </c>
      <c r="D6879" t="s">
        <v>5342</v>
      </c>
      <c r="E6879" s="2">
        <v>22850.34</v>
      </c>
    </row>
    <row r="6880" spans="1:5" x14ac:dyDescent="0.25">
      <c r="A6880" s="1">
        <v>43608</v>
      </c>
      <c r="B6880">
        <v>122917</v>
      </c>
      <c r="C6880" t="s">
        <v>2579</v>
      </c>
      <c r="D6880" t="s">
        <v>6073</v>
      </c>
      <c r="E6880" s="2">
        <v>2871</v>
      </c>
    </row>
    <row r="6881" spans="1:5" x14ac:dyDescent="0.25">
      <c r="A6881" s="1">
        <v>43608</v>
      </c>
      <c r="B6881">
        <v>122918</v>
      </c>
      <c r="C6881" t="s">
        <v>50</v>
      </c>
      <c r="D6881" t="s">
        <v>2047</v>
      </c>
      <c r="E6881" s="2">
        <v>3540</v>
      </c>
    </row>
    <row r="6882" spans="1:5" x14ac:dyDescent="0.25">
      <c r="A6882" s="1">
        <v>43608</v>
      </c>
      <c r="B6882">
        <v>122919</v>
      </c>
      <c r="C6882" t="s">
        <v>5959</v>
      </c>
      <c r="D6882" t="s">
        <v>6074</v>
      </c>
      <c r="E6882" s="2">
        <v>3500</v>
      </c>
    </row>
    <row r="6883" spans="1:5" x14ac:dyDescent="0.25">
      <c r="A6883" s="1">
        <v>43608</v>
      </c>
      <c r="B6883">
        <v>122920</v>
      </c>
      <c r="C6883" t="s">
        <v>51</v>
      </c>
      <c r="D6883" t="s">
        <v>5352</v>
      </c>
      <c r="E6883" s="2">
        <v>100.32</v>
      </c>
    </row>
    <row r="6884" spans="1:5" x14ac:dyDescent="0.25">
      <c r="A6884" s="1">
        <v>43608</v>
      </c>
      <c r="B6884">
        <v>122920</v>
      </c>
      <c r="C6884" t="s">
        <v>51</v>
      </c>
      <c r="D6884" t="s">
        <v>6075</v>
      </c>
      <c r="E6884" s="2">
        <v>42.41</v>
      </c>
    </row>
    <row r="6885" spans="1:5" x14ac:dyDescent="0.25">
      <c r="A6885" s="1">
        <v>43608</v>
      </c>
      <c r="B6885">
        <v>122921</v>
      </c>
      <c r="C6885" t="s">
        <v>298</v>
      </c>
      <c r="D6885" t="s">
        <v>5342</v>
      </c>
      <c r="E6885" s="2">
        <v>28550.9</v>
      </c>
    </row>
    <row r="6886" spans="1:5" x14ac:dyDescent="0.25">
      <c r="A6886" s="1">
        <v>43608</v>
      </c>
      <c r="B6886">
        <v>122922</v>
      </c>
      <c r="C6886" t="s">
        <v>4256</v>
      </c>
      <c r="D6886" t="s">
        <v>6057</v>
      </c>
      <c r="E6886" s="2">
        <v>420</v>
      </c>
    </row>
    <row r="6887" spans="1:5" x14ac:dyDescent="0.25">
      <c r="A6887" s="1">
        <v>43608</v>
      </c>
      <c r="B6887">
        <v>122923</v>
      </c>
      <c r="C6887" t="s">
        <v>14</v>
      </c>
      <c r="D6887" t="s">
        <v>6076</v>
      </c>
      <c r="E6887" s="2">
        <v>141.72999999999999</v>
      </c>
    </row>
    <row r="6888" spans="1:5" x14ac:dyDescent="0.25">
      <c r="A6888" s="1">
        <v>43608</v>
      </c>
      <c r="B6888">
        <v>122923</v>
      </c>
      <c r="C6888" t="s">
        <v>14</v>
      </c>
      <c r="D6888" t="s">
        <v>6077</v>
      </c>
      <c r="E6888" s="2">
        <v>32062.5</v>
      </c>
    </row>
    <row r="6889" spans="1:5" x14ac:dyDescent="0.25">
      <c r="A6889" s="1">
        <v>43608</v>
      </c>
      <c r="B6889">
        <v>122924</v>
      </c>
      <c r="C6889" t="s">
        <v>629</v>
      </c>
      <c r="D6889" t="s">
        <v>6078</v>
      </c>
      <c r="E6889" s="2">
        <v>83.97</v>
      </c>
    </row>
    <row r="6890" spans="1:5" x14ac:dyDescent="0.25">
      <c r="A6890" s="1">
        <v>43608</v>
      </c>
      <c r="B6890">
        <v>122925</v>
      </c>
      <c r="C6890" t="s">
        <v>3840</v>
      </c>
      <c r="D6890" t="s">
        <v>6079</v>
      </c>
      <c r="E6890" s="2">
        <v>41983.199999999997</v>
      </c>
    </row>
    <row r="6891" spans="1:5" x14ac:dyDescent="0.25">
      <c r="A6891" s="1">
        <v>43608</v>
      </c>
      <c r="B6891">
        <v>122926</v>
      </c>
      <c r="C6891" t="s">
        <v>4114</v>
      </c>
      <c r="D6891" t="s">
        <v>6080</v>
      </c>
      <c r="E6891" s="2">
        <v>386.32</v>
      </c>
    </row>
    <row r="6892" spans="1:5" x14ac:dyDescent="0.25">
      <c r="A6892" s="1">
        <v>43608</v>
      </c>
      <c r="B6892">
        <v>122927</v>
      </c>
      <c r="C6892" t="s">
        <v>2591</v>
      </c>
      <c r="D6892" t="s">
        <v>5763</v>
      </c>
      <c r="E6892" s="2">
        <f>910+640.5</f>
        <v>1550.5</v>
      </c>
    </row>
    <row r="6893" spans="1:5" x14ac:dyDescent="0.25">
      <c r="A6893" s="1">
        <v>43608</v>
      </c>
      <c r="B6893">
        <v>122928</v>
      </c>
      <c r="C6893" t="s">
        <v>6081</v>
      </c>
      <c r="D6893" t="s">
        <v>6082</v>
      </c>
      <c r="E6893" s="2">
        <v>3530</v>
      </c>
    </row>
    <row r="6894" spans="1:5" x14ac:dyDescent="0.25">
      <c r="A6894" s="1">
        <v>43608</v>
      </c>
      <c r="B6894">
        <v>122928</v>
      </c>
      <c r="C6894" t="s">
        <v>6081</v>
      </c>
      <c r="D6894" t="s">
        <v>6083</v>
      </c>
      <c r="E6894" s="2">
        <v>6075</v>
      </c>
    </row>
    <row r="6895" spans="1:5" x14ac:dyDescent="0.25">
      <c r="A6895" s="1">
        <v>43608</v>
      </c>
      <c r="B6895">
        <v>122929</v>
      </c>
      <c r="C6895" t="s">
        <v>6084</v>
      </c>
      <c r="D6895" t="s">
        <v>6011</v>
      </c>
      <c r="E6895" s="2">
        <v>14.4</v>
      </c>
    </row>
    <row r="6896" spans="1:5" x14ac:dyDescent="0.25">
      <c r="A6896" s="1">
        <v>43608</v>
      </c>
      <c r="B6896">
        <v>122930</v>
      </c>
      <c r="C6896" t="s">
        <v>213</v>
      </c>
      <c r="D6896" t="s">
        <v>4124</v>
      </c>
      <c r="E6896" s="2">
        <v>34.950000000000003</v>
      </c>
    </row>
    <row r="6897" spans="1:5" x14ac:dyDescent="0.25">
      <c r="A6897" s="1">
        <v>43608</v>
      </c>
      <c r="B6897">
        <v>122932</v>
      </c>
      <c r="C6897" t="s">
        <v>1516</v>
      </c>
      <c r="D6897" t="s">
        <v>6085</v>
      </c>
      <c r="E6897" s="2">
        <f>84*4</f>
        <v>336</v>
      </c>
    </row>
    <row r="6898" spans="1:5" x14ac:dyDescent="0.25">
      <c r="A6898" s="1">
        <v>43608</v>
      </c>
      <c r="B6898">
        <v>122932</v>
      </c>
      <c r="C6898" t="s">
        <v>1516</v>
      </c>
      <c r="D6898" t="s">
        <v>6086</v>
      </c>
      <c r="E6898" s="2">
        <v>108</v>
      </c>
    </row>
    <row r="6899" spans="1:5" x14ac:dyDescent="0.25">
      <c r="A6899" s="1">
        <v>43608</v>
      </c>
      <c r="B6899">
        <v>122933</v>
      </c>
      <c r="C6899" t="s">
        <v>2064</v>
      </c>
      <c r="D6899" t="s">
        <v>2312</v>
      </c>
      <c r="E6899" s="2">
        <v>74</v>
      </c>
    </row>
    <row r="6900" spans="1:5" x14ac:dyDescent="0.25">
      <c r="A6900" s="1">
        <v>43608</v>
      </c>
      <c r="B6900">
        <v>122934</v>
      </c>
      <c r="C6900" t="s">
        <v>317</v>
      </c>
      <c r="D6900" t="s">
        <v>3368</v>
      </c>
      <c r="E6900" s="2">
        <v>3500</v>
      </c>
    </row>
    <row r="6901" spans="1:5" x14ac:dyDescent="0.25">
      <c r="A6901" s="1">
        <v>43608</v>
      </c>
      <c r="B6901">
        <v>122936</v>
      </c>
      <c r="C6901" t="s">
        <v>318</v>
      </c>
      <c r="D6901" t="s">
        <v>5342</v>
      </c>
      <c r="E6901" s="2">
        <v>5697.14</v>
      </c>
    </row>
    <row r="6902" spans="1:5" x14ac:dyDescent="0.25">
      <c r="A6902" s="1">
        <v>43608</v>
      </c>
      <c r="B6902">
        <v>122936</v>
      </c>
      <c r="C6902" t="s">
        <v>318</v>
      </c>
      <c r="D6902" t="s">
        <v>6087</v>
      </c>
      <c r="E6902" s="2">
        <v>17362.77</v>
      </c>
    </row>
    <row r="6903" spans="1:5" x14ac:dyDescent="0.25">
      <c r="A6903" s="1">
        <v>43608</v>
      </c>
      <c r="B6903">
        <v>122936</v>
      </c>
      <c r="C6903" t="s">
        <v>318</v>
      </c>
      <c r="D6903" t="s">
        <v>5342</v>
      </c>
      <c r="E6903" s="2">
        <v>118652.83</v>
      </c>
    </row>
    <row r="6904" spans="1:5" x14ac:dyDescent="0.25">
      <c r="A6904" s="1">
        <v>43608</v>
      </c>
      <c r="B6904">
        <v>122937</v>
      </c>
      <c r="C6904" t="s">
        <v>166</v>
      </c>
      <c r="D6904" t="s">
        <v>6088</v>
      </c>
      <c r="E6904" s="2">
        <v>650</v>
      </c>
    </row>
    <row r="6905" spans="1:5" x14ac:dyDescent="0.25">
      <c r="A6905" s="1">
        <v>43608</v>
      </c>
      <c r="B6905">
        <v>122938</v>
      </c>
      <c r="C6905" t="s">
        <v>6089</v>
      </c>
      <c r="D6905" t="s">
        <v>6090</v>
      </c>
      <c r="E6905" s="2">
        <v>25</v>
      </c>
    </row>
    <row r="6906" spans="1:5" x14ac:dyDescent="0.25">
      <c r="A6906" s="1">
        <v>43608</v>
      </c>
      <c r="B6906">
        <v>122939</v>
      </c>
      <c r="C6906" t="s">
        <v>179</v>
      </c>
      <c r="D6906" t="s">
        <v>6091</v>
      </c>
      <c r="E6906" s="2">
        <v>582.25</v>
      </c>
    </row>
    <row r="6907" spans="1:5" x14ac:dyDescent="0.25">
      <c r="A6907" s="1">
        <v>43608</v>
      </c>
      <c r="B6907">
        <v>122939</v>
      </c>
      <c r="C6907" t="s">
        <v>179</v>
      </c>
      <c r="D6907" t="s">
        <v>6092</v>
      </c>
      <c r="E6907" s="2">
        <v>84</v>
      </c>
    </row>
    <row r="6908" spans="1:5" x14ac:dyDescent="0.25">
      <c r="A6908" s="1">
        <v>43608</v>
      </c>
      <c r="B6908">
        <v>122939</v>
      </c>
      <c r="C6908" t="s">
        <v>179</v>
      </c>
      <c r="D6908" t="s">
        <v>1016</v>
      </c>
      <c r="E6908" s="3">
        <v>-84</v>
      </c>
    </row>
    <row r="6909" spans="1:5" x14ac:dyDescent="0.25">
      <c r="A6909" s="1">
        <v>43608</v>
      </c>
      <c r="B6909">
        <v>122940</v>
      </c>
      <c r="C6909" t="s">
        <v>387</v>
      </c>
      <c r="D6909" t="s">
        <v>899</v>
      </c>
      <c r="E6909" s="2">
        <v>174.68</v>
      </c>
    </row>
    <row r="6910" spans="1:5" x14ac:dyDescent="0.25">
      <c r="A6910" s="1">
        <v>43608</v>
      </c>
      <c r="B6910">
        <v>122948</v>
      </c>
      <c r="C6910" t="s">
        <v>222</v>
      </c>
      <c r="D6910" t="s">
        <v>6093</v>
      </c>
      <c r="E6910" s="2">
        <v>202.43</v>
      </c>
    </row>
    <row r="6911" spans="1:5" x14ac:dyDescent="0.25">
      <c r="A6911" s="1">
        <v>43608</v>
      </c>
      <c r="B6911">
        <v>122948</v>
      </c>
      <c r="C6911" t="s">
        <v>222</v>
      </c>
      <c r="D6911" t="s">
        <v>6094</v>
      </c>
      <c r="E6911" s="2">
        <v>59.65</v>
      </c>
    </row>
    <row r="6912" spans="1:5" x14ac:dyDescent="0.25">
      <c r="A6912" s="1">
        <v>43608</v>
      </c>
      <c r="B6912">
        <v>122948</v>
      </c>
      <c r="C6912" t="s">
        <v>222</v>
      </c>
      <c r="D6912" t="s">
        <v>5542</v>
      </c>
      <c r="E6912" s="2">
        <f>70.38+63.75</f>
        <v>134.13</v>
      </c>
    </row>
    <row r="6913" spans="1:5" x14ac:dyDescent="0.25">
      <c r="A6913" s="1">
        <v>43608</v>
      </c>
      <c r="B6913">
        <v>122948</v>
      </c>
      <c r="C6913" t="s">
        <v>222</v>
      </c>
      <c r="D6913" t="s">
        <v>1311</v>
      </c>
      <c r="E6913" s="2">
        <v>67.84</v>
      </c>
    </row>
    <row r="6914" spans="1:5" x14ac:dyDescent="0.25">
      <c r="A6914" s="1">
        <v>43608</v>
      </c>
      <c r="B6914">
        <v>122948</v>
      </c>
      <c r="C6914" t="s">
        <v>222</v>
      </c>
      <c r="D6914" t="s">
        <v>6095</v>
      </c>
      <c r="E6914" s="2">
        <v>82.21</v>
      </c>
    </row>
    <row r="6915" spans="1:5" x14ac:dyDescent="0.25">
      <c r="A6915" s="1">
        <v>43608</v>
      </c>
      <c r="B6915">
        <v>122948</v>
      </c>
      <c r="C6915" t="s">
        <v>222</v>
      </c>
      <c r="D6915" t="s">
        <v>1311</v>
      </c>
      <c r="E6915" s="2">
        <v>83.3</v>
      </c>
    </row>
    <row r="6916" spans="1:5" x14ac:dyDescent="0.25">
      <c r="A6916" s="1">
        <v>43608</v>
      </c>
      <c r="B6916">
        <v>122948</v>
      </c>
      <c r="C6916" t="s">
        <v>222</v>
      </c>
      <c r="D6916" t="s">
        <v>6096</v>
      </c>
      <c r="E6916" s="2">
        <v>71.900000000000006</v>
      </c>
    </row>
    <row r="6917" spans="1:5" x14ac:dyDescent="0.25">
      <c r="A6917" s="1">
        <v>43608</v>
      </c>
      <c r="B6917">
        <v>122948</v>
      </c>
      <c r="C6917" t="s">
        <v>222</v>
      </c>
      <c r="D6917" t="s">
        <v>6097</v>
      </c>
      <c r="E6917" s="2">
        <v>66.8</v>
      </c>
    </row>
    <row r="6918" spans="1:5" x14ac:dyDescent="0.25">
      <c r="A6918" s="1">
        <v>43608</v>
      </c>
      <c r="B6918">
        <v>122948</v>
      </c>
      <c r="C6918" t="s">
        <v>222</v>
      </c>
      <c r="D6918" t="s">
        <v>6098</v>
      </c>
      <c r="E6918" s="2">
        <v>92.92</v>
      </c>
    </row>
    <row r="6919" spans="1:5" x14ac:dyDescent="0.25">
      <c r="A6919" s="1">
        <v>43608</v>
      </c>
      <c r="B6919">
        <v>122948</v>
      </c>
      <c r="C6919" t="s">
        <v>222</v>
      </c>
      <c r="D6919" t="s">
        <v>6099</v>
      </c>
      <c r="E6919" s="2">
        <v>94.28</v>
      </c>
    </row>
    <row r="6920" spans="1:5" x14ac:dyDescent="0.25">
      <c r="A6920" s="1">
        <v>43608</v>
      </c>
      <c r="B6920">
        <v>122948</v>
      </c>
      <c r="C6920" t="s">
        <v>222</v>
      </c>
      <c r="D6920" t="s">
        <v>6100</v>
      </c>
      <c r="E6920" s="2">
        <f>52.92+17.64</f>
        <v>70.56</v>
      </c>
    </row>
    <row r="6921" spans="1:5" x14ac:dyDescent="0.25">
      <c r="A6921" s="1">
        <v>43608</v>
      </c>
      <c r="B6921">
        <v>122948</v>
      </c>
      <c r="C6921" t="s">
        <v>222</v>
      </c>
      <c r="D6921" t="s">
        <v>5543</v>
      </c>
      <c r="E6921" s="2">
        <v>123.98</v>
      </c>
    </row>
    <row r="6922" spans="1:5" x14ac:dyDescent="0.25">
      <c r="A6922" s="1">
        <v>43608</v>
      </c>
      <c r="B6922">
        <v>122948</v>
      </c>
      <c r="C6922" t="s">
        <v>222</v>
      </c>
      <c r="D6922" t="s">
        <v>6101</v>
      </c>
      <c r="E6922" s="2">
        <v>29.12</v>
      </c>
    </row>
    <row r="6923" spans="1:5" x14ac:dyDescent="0.25">
      <c r="A6923" s="1">
        <v>43608</v>
      </c>
      <c r="B6923">
        <v>122948</v>
      </c>
      <c r="C6923" t="s">
        <v>222</v>
      </c>
      <c r="D6923" t="s">
        <v>6102</v>
      </c>
      <c r="E6923" s="2">
        <v>138.02000000000001</v>
      </c>
    </row>
    <row r="6924" spans="1:5" x14ac:dyDescent="0.25">
      <c r="A6924" s="1">
        <v>43608</v>
      </c>
      <c r="B6924">
        <v>122948</v>
      </c>
      <c r="C6924" t="s">
        <v>222</v>
      </c>
      <c r="D6924" t="s">
        <v>6103</v>
      </c>
      <c r="E6924" s="2">
        <v>148.96</v>
      </c>
    </row>
    <row r="6925" spans="1:5" x14ac:dyDescent="0.25">
      <c r="A6925" s="1">
        <v>43608</v>
      </c>
      <c r="B6925">
        <v>122948</v>
      </c>
      <c r="C6925" t="s">
        <v>222</v>
      </c>
      <c r="D6925" t="s">
        <v>1311</v>
      </c>
      <c r="E6925" s="2">
        <v>37.21</v>
      </c>
    </row>
    <row r="6926" spans="1:5" x14ac:dyDescent="0.25">
      <c r="A6926" s="1">
        <v>43608</v>
      </c>
      <c r="B6926">
        <v>122948</v>
      </c>
      <c r="C6926" t="s">
        <v>222</v>
      </c>
      <c r="D6926" t="s">
        <v>6104</v>
      </c>
      <c r="E6926" s="2">
        <v>99.6</v>
      </c>
    </row>
    <row r="6927" spans="1:5" x14ac:dyDescent="0.25">
      <c r="A6927" s="1">
        <v>43608</v>
      </c>
      <c r="B6927">
        <v>122948</v>
      </c>
      <c r="C6927" t="s">
        <v>222</v>
      </c>
      <c r="D6927" t="s">
        <v>6105</v>
      </c>
      <c r="E6927" s="2">
        <f>113.43+53.73+125.26+170.43+51.7</f>
        <v>514.55000000000007</v>
      </c>
    </row>
    <row r="6928" spans="1:5" x14ac:dyDescent="0.25">
      <c r="A6928" s="1">
        <v>43608</v>
      </c>
      <c r="B6928">
        <v>122948</v>
      </c>
      <c r="C6928" t="s">
        <v>222</v>
      </c>
      <c r="D6928" t="s">
        <v>3472</v>
      </c>
      <c r="E6928" s="2">
        <v>165.04</v>
      </c>
    </row>
    <row r="6929" spans="1:5" x14ac:dyDescent="0.25">
      <c r="A6929" s="1">
        <v>43608</v>
      </c>
      <c r="B6929">
        <v>122948</v>
      </c>
      <c r="C6929" t="s">
        <v>222</v>
      </c>
      <c r="D6929" t="s">
        <v>6106</v>
      </c>
      <c r="E6929" s="2">
        <v>101.68</v>
      </c>
    </row>
    <row r="6930" spans="1:5" x14ac:dyDescent="0.25">
      <c r="A6930" s="1">
        <v>43608</v>
      </c>
      <c r="B6930">
        <v>122948</v>
      </c>
      <c r="C6930" t="s">
        <v>222</v>
      </c>
      <c r="D6930" t="s">
        <v>1311</v>
      </c>
      <c r="E6930" s="2">
        <v>31.67</v>
      </c>
    </row>
    <row r="6931" spans="1:5" x14ac:dyDescent="0.25">
      <c r="A6931" s="1">
        <v>43608</v>
      </c>
      <c r="B6931">
        <v>122948</v>
      </c>
      <c r="C6931" t="s">
        <v>222</v>
      </c>
      <c r="D6931" t="s">
        <v>6107</v>
      </c>
      <c r="E6931" s="2">
        <v>134.41999999999999</v>
      </c>
    </row>
    <row r="6932" spans="1:5" x14ac:dyDescent="0.25">
      <c r="A6932" s="1">
        <v>43608</v>
      </c>
      <c r="B6932">
        <v>122948</v>
      </c>
      <c r="C6932" t="s">
        <v>222</v>
      </c>
      <c r="D6932" t="s">
        <v>6108</v>
      </c>
      <c r="E6932" s="2">
        <v>177.57</v>
      </c>
    </row>
    <row r="6933" spans="1:5" x14ac:dyDescent="0.25">
      <c r="A6933" s="1">
        <v>43608</v>
      </c>
      <c r="B6933">
        <v>122948</v>
      </c>
      <c r="C6933" t="s">
        <v>222</v>
      </c>
      <c r="D6933" t="s">
        <v>6094</v>
      </c>
      <c r="E6933" s="2">
        <v>115.68</v>
      </c>
    </row>
    <row r="6934" spans="1:5" x14ac:dyDescent="0.25">
      <c r="A6934" s="1">
        <v>43608</v>
      </c>
      <c r="B6934">
        <v>122948</v>
      </c>
      <c r="C6934" t="s">
        <v>222</v>
      </c>
      <c r="D6934" t="s">
        <v>5763</v>
      </c>
      <c r="E6934" s="2">
        <f>55.9+85.31</f>
        <v>141.21</v>
      </c>
    </row>
    <row r="6935" spans="1:5" x14ac:dyDescent="0.25">
      <c r="A6935" s="1">
        <v>43608</v>
      </c>
      <c r="B6935">
        <v>122949</v>
      </c>
      <c r="C6935" t="s">
        <v>1290</v>
      </c>
      <c r="D6935" t="s">
        <v>5923</v>
      </c>
      <c r="E6935" s="2">
        <v>8243</v>
      </c>
    </row>
    <row r="6936" spans="1:5" x14ac:dyDescent="0.25">
      <c r="A6936" s="1">
        <v>43608</v>
      </c>
      <c r="B6936">
        <v>181900331</v>
      </c>
      <c r="C6936" t="s">
        <v>3842</v>
      </c>
      <c r="D6936" t="s">
        <v>4229</v>
      </c>
      <c r="E6936" s="2">
        <v>275</v>
      </c>
    </row>
    <row r="6937" spans="1:5" x14ac:dyDescent="0.25">
      <c r="A6937" s="1">
        <v>43608</v>
      </c>
      <c r="B6937">
        <v>181900332</v>
      </c>
      <c r="C6937" t="s">
        <v>6109</v>
      </c>
      <c r="D6937" t="s">
        <v>4229</v>
      </c>
      <c r="E6937" s="2">
        <v>330.7</v>
      </c>
    </row>
    <row r="6938" spans="1:5" x14ac:dyDescent="0.25">
      <c r="A6938" s="1">
        <v>43608</v>
      </c>
      <c r="B6938">
        <v>181900333</v>
      </c>
      <c r="C6938" t="s">
        <v>274</v>
      </c>
      <c r="D6938" t="s">
        <v>6110</v>
      </c>
      <c r="E6938" s="2">
        <v>235.91</v>
      </c>
    </row>
    <row r="6939" spans="1:5" x14ac:dyDescent="0.25">
      <c r="A6939" s="1">
        <v>43608</v>
      </c>
      <c r="B6939">
        <v>181900333</v>
      </c>
      <c r="C6939" t="s">
        <v>274</v>
      </c>
      <c r="D6939" t="s">
        <v>6111</v>
      </c>
      <c r="E6939" s="2">
        <v>235.91</v>
      </c>
    </row>
    <row r="6940" spans="1:5" x14ac:dyDescent="0.25">
      <c r="A6940" s="1">
        <v>43608</v>
      </c>
      <c r="B6940">
        <v>181900334</v>
      </c>
      <c r="C6940" t="s">
        <v>2266</v>
      </c>
      <c r="D6940" t="s">
        <v>4229</v>
      </c>
      <c r="E6940" s="2">
        <v>42</v>
      </c>
    </row>
    <row r="6941" spans="1:5" x14ac:dyDescent="0.25">
      <c r="A6941" s="1">
        <v>43614</v>
      </c>
      <c r="B6941">
        <v>122950</v>
      </c>
      <c r="C6941" t="s">
        <v>6112</v>
      </c>
      <c r="D6941" t="s">
        <v>6113</v>
      </c>
      <c r="E6941" s="2">
        <v>60</v>
      </c>
    </row>
    <row r="6942" spans="1:5" x14ac:dyDescent="0.25">
      <c r="A6942" s="1">
        <v>43614</v>
      </c>
      <c r="B6942">
        <v>122951</v>
      </c>
      <c r="C6942" t="s">
        <v>986</v>
      </c>
      <c r="D6942" t="s">
        <v>6114</v>
      </c>
      <c r="E6942" s="2">
        <v>580</v>
      </c>
    </row>
    <row r="6943" spans="1:5" x14ac:dyDescent="0.25">
      <c r="A6943" s="1">
        <v>43614</v>
      </c>
      <c r="B6943">
        <v>122952</v>
      </c>
      <c r="C6943" t="s">
        <v>5083</v>
      </c>
      <c r="D6943" t="s">
        <v>6115</v>
      </c>
      <c r="E6943" s="2">
        <v>3181.1</v>
      </c>
    </row>
    <row r="6944" spans="1:5" x14ac:dyDescent="0.25">
      <c r="A6944" s="1">
        <v>43614</v>
      </c>
      <c r="B6944">
        <v>122953</v>
      </c>
      <c r="C6944" t="s">
        <v>7</v>
      </c>
      <c r="D6944" t="s">
        <v>6116</v>
      </c>
      <c r="E6944" s="2">
        <v>68</v>
      </c>
    </row>
    <row r="6945" spans="1:5" x14ac:dyDescent="0.25">
      <c r="A6945" s="1">
        <v>43614</v>
      </c>
      <c r="B6945">
        <v>122953</v>
      </c>
      <c r="C6945" t="s">
        <v>7</v>
      </c>
      <c r="D6945" t="s">
        <v>6117</v>
      </c>
      <c r="E6945" s="2">
        <v>360</v>
      </c>
    </row>
    <row r="6946" spans="1:5" x14ac:dyDescent="0.25">
      <c r="A6946" s="1">
        <v>43614</v>
      </c>
      <c r="B6946">
        <v>122954</v>
      </c>
      <c r="C6946" t="s">
        <v>6118</v>
      </c>
      <c r="D6946" t="s">
        <v>6119</v>
      </c>
      <c r="E6946" s="2">
        <v>48.25</v>
      </c>
    </row>
    <row r="6947" spans="1:5" x14ac:dyDescent="0.25">
      <c r="A6947" s="1">
        <v>43614</v>
      </c>
      <c r="B6947">
        <v>122955</v>
      </c>
      <c r="C6947" t="s">
        <v>6120</v>
      </c>
      <c r="D6947" t="s">
        <v>6121</v>
      </c>
      <c r="E6947" s="2">
        <v>25</v>
      </c>
    </row>
    <row r="6948" spans="1:5" x14ac:dyDescent="0.25">
      <c r="A6948" s="1">
        <v>43614</v>
      </c>
      <c r="B6948">
        <v>122956</v>
      </c>
      <c r="C6948" t="s">
        <v>3120</v>
      </c>
      <c r="D6948" t="s">
        <v>6122</v>
      </c>
      <c r="E6948" s="2">
        <v>23.78</v>
      </c>
    </row>
    <row r="6949" spans="1:5" x14ac:dyDescent="0.25">
      <c r="A6949" s="1">
        <v>43614</v>
      </c>
      <c r="B6949">
        <v>122957</v>
      </c>
      <c r="C6949" t="s">
        <v>6123</v>
      </c>
      <c r="D6949" t="s">
        <v>6124</v>
      </c>
      <c r="E6949" s="2">
        <v>520</v>
      </c>
    </row>
    <row r="6950" spans="1:5" x14ac:dyDescent="0.25">
      <c r="A6950" s="1">
        <v>43614</v>
      </c>
      <c r="B6950">
        <v>122958</v>
      </c>
      <c r="C6950" t="s">
        <v>72</v>
      </c>
      <c r="D6950" t="s">
        <v>1016</v>
      </c>
      <c r="E6950" s="3">
        <v>-155.29</v>
      </c>
    </row>
    <row r="6951" spans="1:5" x14ac:dyDescent="0.25">
      <c r="A6951" s="1">
        <v>43614</v>
      </c>
      <c r="B6951">
        <v>122958</v>
      </c>
      <c r="C6951" t="s">
        <v>72</v>
      </c>
      <c r="D6951" t="s">
        <v>6125</v>
      </c>
      <c r="E6951" s="2">
        <v>1070.74</v>
      </c>
    </row>
    <row r="6952" spans="1:5" x14ac:dyDescent="0.25">
      <c r="A6952" s="1">
        <v>43614</v>
      </c>
      <c r="B6952">
        <v>122959</v>
      </c>
      <c r="C6952" t="s">
        <v>6126</v>
      </c>
      <c r="D6952" t="s">
        <v>6127</v>
      </c>
      <c r="E6952" s="2">
        <v>1995</v>
      </c>
    </row>
    <row r="6953" spans="1:5" x14ac:dyDescent="0.25">
      <c r="A6953" s="1">
        <v>43614</v>
      </c>
      <c r="B6953">
        <v>122960</v>
      </c>
      <c r="C6953" t="s">
        <v>74</v>
      </c>
      <c r="D6953" t="s">
        <v>228</v>
      </c>
      <c r="E6953" s="2">
        <v>89.7</v>
      </c>
    </row>
    <row r="6954" spans="1:5" x14ac:dyDescent="0.25">
      <c r="A6954" s="1">
        <v>43614</v>
      </c>
      <c r="B6954">
        <v>122960</v>
      </c>
      <c r="C6954" t="s">
        <v>74</v>
      </c>
      <c r="D6954" t="s">
        <v>6128</v>
      </c>
      <c r="E6954" s="2">
        <v>87.22</v>
      </c>
    </row>
    <row r="6955" spans="1:5" x14ac:dyDescent="0.25">
      <c r="A6955" s="1">
        <v>43614</v>
      </c>
      <c r="B6955">
        <v>122961</v>
      </c>
      <c r="C6955" t="s">
        <v>3548</v>
      </c>
      <c r="D6955" t="s">
        <v>6129</v>
      </c>
      <c r="E6955" s="2">
        <v>140.25</v>
      </c>
    </row>
    <row r="6956" spans="1:5" x14ac:dyDescent="0.25">
      <c r="A6956" s="1">
        <v>43614</v>
      </c>
      <c r="B6956">
        <v>122962</v>
      </c>
      <c r="C6956" t="s">
        <v>12</v>
      </c>
      <c r="D6956" t="s">
        <v>6130</v>
      </c>
      <c r="E6956" s="2">
        <v>79.8</v>
      </c>
    </row>
    <row r="6957" spans="1:5" x14ac:dyDescent="0.25">
      <c r="A6957" s="1">
        <v>43614</v>
      </c>
      <c r="B6957">
        <v>122963</v>
      </c>
      <c r="C6957" t="s">
        <v>205</v>
      </c>
      <c r="D6957" t="s">
        <v>6131</v>
      </c>
      <c r="E6957" s="2">
        <v>58.44</v>
      </c>
    </row>
    <row r="6958" spans="1:5" x14ac:dyDescent="0.25">
      <c r="A6958" s="1">
        <v>43614</v>
      </c>
      <c r="B6958">
        <v>122969</v>
      </c>
      <c r="C6958" t="s">
        <v>631</v>
      </c>
      <c r="D6958" t="s">
        <v>6132</v>
      </c>
      <c r="E6958" s="2">
        <v>39.979999999999997</v>
      </c>
    </row>
    <row r="6959" spans="1:5" x14ac:dyDescent="0.25">
      <c r="A6959" s="1">
        <v>43614</v>
      </c>
      <c r="B6959">
        <v>122969</v>
      </c>
      <c r="C6959" t="s">
        <v>631</v>
      </c>
      <c r="D6959" t="s">
        <v>6133</v>
      </c>
      <c r="E6959" s="2">
        <v>291.42</v>
      </c>
    </row>
    <row r="6960" spans="1:5" x14ac:dyDescent="0.25">
      <c r="A6960" s="1">
        <v>43614</v>
      </c>
      <c r="B6960">
        <v>122969</v>
      </c>
      <c r="C6960" t="s">
        <v>631</v>
      </c>
      <c r="D6960" t="s">
        <v>6134</v>
      </c>
      <c r="E6960" s="2">
        <v>99.98</v>
      </c>
    </row>
    <row r="6961" spans="1:5" x14ac:dyDescent="0.25">
      <c r="A6961" s="1">
        <v>43614</v>
      </c>
      <c r="B6961">
        <v>122969</v>
      </c>
      <c r="C6961" t="s">
        <v>631</v>
      </c>
      <c r="D6961" t="s">
        <v>6135</v>
      </c>
      <c r="E6961" s="2">
        <v>297.64</v>
      </c>
    </row>
    <row r="6962" spans="1:5" x14ac:dyDescent="0.25">
      <c r="A6962" s="1">
        <v>43614</v>
      </c>
      <c r="B6962">
        <v>122969</v>
      </c>
      <c r="C6962" t="s">
        <v>631</v>
      </c>
      <c r="D6962" t="s">
        <v>6136</v>
      </c>
      <c r="E6962" s="2">
        <v>103.32</v>
      </c>
    </row>
    <row r="6963" spans="1:5" x14ac:dyDescent="0.25">
      <c r="A6963" s="1">
        <v>43614</v>
      </c>
      <c r="B6963">
        <v>122969</v>
      </c>
      <c r="C6963" t="s">
        <v>631</v>
      </c>
      <c r="D6963" t="s">
        <v>6137</v>
      </c>
      <c r="E6963" s="2">
        <v>463.66</v>
      </c>
    </row>
    <row r="6964" spans="1:5" x14ac:dyDescent="0.25">
      <c r="A6964" s="1">
        <v>43614</v>
      </c>
      <c r="B6964">
        <v>122969</v>
      </c>
      <c r="C6964" t="s">
        <v>631</v>
      </c>
      <c r="D6964" t="s">
        <v>6138</v>
      </c>
      <c r="E6964" s="2">
        <v>161.76</v>
      </c>
    </row>
    <row r="6965" spans="1:5" x14ac:dyDescent="0.25">
      <c r="A6965" s="1">
        <v>43614</v>
      </c>
      <c r="B6965">
        <v>122969</v>
      </c>
      <c r="C6965" t="s">
        <v>631</v>
      </c>
      <c r="D6965" t="s">
        <v>6139</v>
      </c>
      <c r="E6965" s="2">
        <v>334.42</v>
      </c>
    </row>
    <row r="6966" spans="1:5" x14ac:dyDescent="0.25">
      <c r="A6966" s="1">
        <v>43614</v>
      </c>
      <c r="B6966">
        <v>122969</v>
      </c>
      <c r="C6966" t="s">
        <v>631</v>
      </c>
      <c r="D6966" t="s">
        <v>6140</v>
      </c>
      <c r="E6966" s="2">
        <v>298.24</v>
      </c>
    </row>
    <row r="6967" spans="1:5" x14ac:dyDescent="0.25">
      <c r="A6967" s="1">
        <v>43614</v>
      </c>
      <c r="B6967">
        <v>122969</v>
      </c>
      <c r="C6967" t="s">
        <v>631</v>
      </c>
      <c r="D6967" t="s">
        <v>6141</v>
      </c>
      <c r="E6967" s="2">
        <v>23.72</v>
      </c>
    </row>
    <row r="6968" spans="1:5" x14ac:dyDescent="0.25">
      <c r="A6968" s="1">
        <v>43614</v>
      </c>
      <c r="B6968">
        <v>122969</v>
      </c>
      <c r="C6968" t="s">
        <v>631</v>
      </c>
      <c r="D6968" t="s">
        <v>5430</v>
      </c>
      <c r="E6968" s="2">
        <v>535.86</v>
      </c>
    </row>
    <row r="6969" spans="1:5" x14ac:dyDescent="0.25">
      <c r="A6969" s="1">
        <v>43614</v>
      </c>
      <c r="B6969">
        <v>122969</v>
      </c>
      <c r="C6969" t="s">
        <v>631</v>
      </c>
      <c r="D6969" t="s">
        <v>6142</v>
      </c>
      <c r="E6969" s="2">
        <v>122.34</v>
      </c>
    </row>
    <row r="6970" spans="1:5" x14ac:dyDescent="0.25">
      <c r="A6970" s="1">
        <v>43614</v>
      </c>
      <c r="B6970">
        <v>122969</v>
      </c>
      <c r="C6970" t="s">
        <v>631</v>
      </c>
      <c r="D6970" t="s">
        <v>6143</v>
      </c>
      <c r="E6970" s="2">
        <v>497.26</v>
      </c>
    </row>
    <row r="6971" spans="1:5" x14ac:dyDescent="0.25">
      <c r="A6971" s="1">
        <v>43614</v>
      </c>
      <c r="B6971">
        <v>122969</v>
      </c>
      <c r="C6971" t="s">
        <v>631</v>
      </c>
      <c r="D6971" t="s">
        <v>6144</v>
      </c>
      <c r="E6971" s="2">
        <v>286.51</v>
      </c>
    </row>
    <row r="6972" spans="1:5" x14ac:dyDescent="0.25">
      <c r="A6972" s="1">
        <v>43614</v>
      </c>
      <c r="B6972">
        <v>122969</v>
      </c>
      <c r="C6972" t="s">
        <v>631</v>
      </c>
      <c r="D6972" t="s">
        <v>6145</v>
      </c>
      <c r="E6972" s="2">
        <v>251.66</v>
      </c>
    </row>
    <row r="6973" spans="1:5" x14ac:dyDescent="0.25">
      <c r="A6973" s="1">
        <v>43614</v>
      </c>
      <c r="B6973">
        <v>122969</v>
      </c>
      <c r="C6973" t="s">
        <v>631</v>
      </c>
      <c r="D6973" t="s">
        <v>6146</v>
      </c>
      <c r="E6973" s="2">
        <v>254.86</v>
      </c>
    </row>
    <row r="6974" spans="1:5" x14ac:dyDescent="0.25">
      <c r="A6974" s="1">
        <v>43614</v>
      </c>
      <c r="B6974">
        <v>122969</v>
      </c>
      <c r="C6974" t="s">
        <v>631</v>
      </c>
      <c r="D6974" t="s">
        <v>6141</v>
      </c>
      <c r="E6974" s="2">
        <v>84.5</v>
      </c>
    </row>
    <row r="6975" spans="1:5" x14ac:dyDescent="0.25">
      <c r="A6975" s="1">
        <v>43614</v>
      </c>
      <c r="B6975">
        <v>122969</v>
      </c>
      <c r="C6975" t="s">
        <v>631</v>
      </c>
      <c r="D6975" t="s">
        <v>6147</v>
      </c>
      <c r="E6975" s="2">
        <v>323.73</v>
      </c>
    </row>
    <row r="6976" spans="1:5" x14ac:dyDescent="0.25">
      <c r="A6976" s="1">
        <v>43614</v>
      </c>
      <c r="B6976">
        <v>122969</v>
      </c>
      <c r="C6976" t="s">
        <v>631</v>
      </c>
      <c r="D6976" t="s">
        <v>6148</v>
      </c>
      <c r="E6976" s="2">
        <v>49.38</v>
      </c>
    </row>
    <row r="6977" spans="1:5" x14ac:dyDescent="0.25">
      <c r="A6977" s="1">
        <v>43614</v>
      </c>
      <c r="B6977">
        <v>122969</v>
      </c>
      <c r="C6977" t="s">
        <v>631</v>
      </c>
      <c r="D6977" t="s">
        <v>6149</v>
      </c>
      <c r="E6977" s="2">
        <v>186.96</v>
      </c>
    </row>
    <row r="6978" spans="1:5" x14ac:dyDescent="0.25">
      <c r="A6978" s="1">
        <v>43614</v>
      </c>
      <c r="B6978">
        <v>122969</v>
      </c>
      <c r="C6978" t="s">
        <v>631</v>
      </c>
      <c r="D6978" t="s">
        <v>6150</v>
      </c>
      <c r="E6978" s="2">
        <v>169.58</v>
      </c>
    </row>
    <row r="6979" spans="1:5" x14ac:dyDescent="0.25">
      <c r="A6979" s="1">
        <v>43614</v>
      </c>
      <c r="B6979">
        <v>122969</v>
      </c>
      <c r="C6979" t="s">
        <v>631</v>
      </c>
      <c r="D6979" t="s">
        <v>6151</v>
      </c>
      <c r="E6979" s="2">
        <v>331.96</v>
      </c>
    </row>
    <row r="6980" spans="1:5" x14ac:dyDescent="0.25">
      <c r="A6980" s="1">
        <v>43614</v>
      </c>
      <c r="B6980">
        <v>122969</v>
      </c>
      <c r="C6980" t="s">
        <v>631</v>
      </c>
      <c r="D6980" t="s">
        <v>6152</v>
      </c>
      <c r="E6980" s="2">
        <v>23.84</v>
      </c>
    </row>
    <row r="6981" spans="1:5" x14ac:dyDescent="0.25">
      <c r="A6981" s="1">
        <v>43614</v>
      </c>
      <c r="B6981">
        <v>122969</v>
      </c>
      <c r="C6981" t="s">
        <v>631</v>
      </c>
      <c r="D6981" t="s">
        <v>1119</v>
      </c>
      <c r="E6981" s="2">
        <v>192.77</v>
      </c>
    </row>
    <row r="6982" spans="1:5" x14ac:dyDescent="0.25">
      <c r="A6982" s="1">
        <v>43614</v>
      </c>
      <c r="B6982">
        <v>122969</v>
      </c>
      <c r="C6982" t="s">
        <v>631</v>
      </c>
      <c r="D6982" t="s">
        <v>6153</v>
      </c>
      <c r="E6982" s="2">
        <v>779.89</v>
      </c>
    </row>
    <row r="6983" spans="1:5" x14ac:dyDescent="0.25">
      <c r="A6983" s="1">
        <v>43614</v>
      </c>
      <c r="B6983">
        <v>122969</v>
      </c>
      <c r="C6983" t="s">
        <v>631</v>
      </c>
      <c r="D6983" t="s">
        <v>6154</v>
      </c>
      <c r="E6983" s="2">
        <v>193.32</v>
      </c>
    </row>
    <row r="6984" spans="1:5" x14ac:dyDescent="0.25">
      <c r="A6984" s="1">
        <v>43614</v>
      </c>
      <c r="B6984">
        <v>122969</v>
      </c>
      <c r="C6984" t="s">
        <v>631</v>
      </c>
      <c r="D6984" t="s">
        <v>6155</v>
      </c>
      <c r="E6984" s="2">
        <v>80.05</v>
      </c>
    </row>
    <row r="6985" spans="1:5" x14ac:dyDescent="0.25">
      <c r="A6985" s="1">
        <v>43614</v>
      </c>
      <c r="B6985">
        <v>122969</v>
      </c>
      <c r="C6985" t="s">
        <v>631</v>
      </c>
      <c r="D6985" t="s">
        <v>6156</v>
      </c>
      <c r="E6985" s="2">
        <v>57.8</v>
      </c>
    </row>
    <row r="6986" spans="1:5" x14ac:dyDescent="0.25">
      <c r="A6986" s="1">
        <v>43614</v>
      </c>
      <c r="B6986">
        <v>122970</v>
      </c>
      <c r="C6986" t="s">
        <v>341</v>
      </c>
      <c r="D6986" t="s">
        <v>773</v>
      </c>
      <c r="E6986" s="2">
        <v>105</v>
      </c>
    </row>
    <row r="6987" spans="1:5" x14ac:dyDescent="0.25">
      <c r="A6987" s="1">
        <v>43614</v>
      </c>
      <c r="B6987">
        <v>122971</v>
      </c>
      <c r="C6987" t="s">
        <v>1264</v>
      </c>
      <c r="D6987" t="s">
        <v>6157</v>
      </c>
      <c r="E6987" s="2">
        <v>5880</v>
      </c>
    </row>
    <row r="6988" spans="1:5" x14ac:dyDescent="0.25">
      <c r="A6988" s="1">
        <v>43614</v>
      </c>
      <c r="B6988">
        <v>122972</v>
      </c>
      <c r="C6988" t="s">
        <v>5736</v>
      </c>
      <c r="D6988" t="s">
        <v>6158</v>
      </c>
      <c r="E6988" s="2">
        <v>640.55999999999995</v>
      </c>
    </row>
    <row r="6989" spans="1:5" x14ac:dyDescent="0.25">
      <c r="A6989" s="1">
        <v>43614</v>
      </c>
      <c r="B6989">
        <v>122972</v>
      </c>
      <c r="C6989" t="s">
        <v>5736</v>
      </c>
      <c r="D6989" t="s">
        <v>6159</v>
      </c>
      <c r="E6989" s="2">
        <v>375</v>
      </c>
    </row>
    <row r="6990" spans="1:5" x14ac:dyDescent="0.25">
      <c r="A6990" s="1">
        <v>43614</v>
      </c>
      <c r="B6990">
        <v>122973</v>
      </c>
      <c r="C6990" t="s">
        <v>2292</v>
      </c>
      <c r="D6990" t="s">
        <v>6160</v>
      </c>
      <c r="E6990" s="2">
        <v>125</v>
      </c>
    </row>
    <row r="6991" spans="1:5" x14ac:dyDescent="0.25">
      <c r="A6991" s="1">
        <v>43614</v>
      </c>
      <c r="B6991">
        <v>181900335</v>
      </c>
      <c r="C6991" t="s">
        <v>2096</v>
      </c>
      <c r="D6991" t="s">
        <v>4229</v>
      </c>
      <c r="E6991" s="2">
        <v>50</v>
      </c>
    </row>
    <row r="6992" spans="1:5" x14ac:dyDescent="0.25">
      <c r="A6992" s="1">
        <v>43615</v>
      </c>
      <c r="B6992">
        <v>122974</v>
      </c>
      <c r="C6992" t="s">
        <v>988</v>
      </c>
      <c r="D6992" t="s">
        <v>565</v>
      </c>
      <c r="E6992" s="2">
        <v>701.98</v>
      </c>
    </row>
    <row r="6993" spans="1:5" x14ac:dyDescent="0.25">
      <c r="A6993" s="1">
        <v>43615</v>
      </c>
      <c r="B6993">
        <v>122976</v>
      </c>
      <c r="C6993" t="s">
        <v>654</v>
      </c>
      <c r="D6993" t="s">
        <v>6161</v>
      </c>
      <c r="E6993" s="2">
        <f>1035.7*4</f>
        <v>4142.8</v>
      </c>
    </row>
    <row r="6994" spans="1:5" x14ac:dyDescent="0.25">
      <c r="A6994" s="1">
        <v>43615</v>
      </c>
      <c r="B6994">
        <v>122977</v>
      </c>
      <c r="C6994" t="s">
        <v>1312</v>
      </c>
      <c r="D6994" t="s">
        <v>2521</v>
      </c>
      <c r="E6994" s="2">
        <v>59.99</v>
      </c>
    </row>
    <row r="6995" spans="1:5" x14ac:dyDescent="0.25">
      <c r="A6995" s="1">
        <v>43615</v>
      </c>
      <c r="B6995">
        <v>122978</v>
      </c>
      <c r="C6995" t="s">
        <v>235</v>
      </c>
      <c r="D6995" t="s">
        <v>6162</v>
      </c>
      <c r="E6995" s="2">
        <v>800</v>
      </c>
    </row>
    <row r="6996" spans="1:5" x14ac:dyDescent="0.25">
      <c r="A6996" s="1">
        <v>43615</v>
      </c>
      <c r="B6996">
        <v>122980</v>
      </c>
      <c r="C6996" t="s">
        <v>22</v>
      </c>
      <c r="D6996" t="s">
        <v>23</v>
      </c>
      <c r="E6996" s="2">
        <v>1633.76</v>
      </c>
    </row>
    <row r="6997" spans="1:5" x14ac:dyDescent="0.25">
      <c r="A6997" s="1">
        <v>43615</v>
      </c>
      <c r="B6997">
        <v>122980</v>
      </c>
      <c r="C6997" t="s">
        <v>22</v>
      </c>
      <c r="D6997" t="s">
        <v>24</v>
      </c>
      <c r="E6997" s="2">
        <v>3976.88</v>
      </c>
    </row>
    <row r="6998" spans="1:5" x14ac:dyDescent="0.25">
      <c r="A6998" s="1">
        <v>43615</v>
      </c>
      <c r="B6998">
        <v>122981</v>
      </c>
      <c r="C6998" t="s">
        <v>3994</v>
      </c>
      <c r="D6998" t="s">
        <v>6163</v>
      </c>
      <c r="E6998" s="2">
        <v>585.16999999999996</v>
      </c>
    </row>
    <row r="6999" spans="1:5" x14ac:dyDescent="0.25">
      <c r="A6999" s="1">
        <v>43615</v>
      </c>
      <c r="B6999">
        <v>122982</v>
      </c>
      <c r="C6999" t="s">
        <v>5930</v>
      </c>
      <c r="D6999" t="s">
        <v>6164</v>
      </c>
      <c r="E6999" s="2">
        <v>1960.75</v>
      </c>
    </row>
    <row r="7000" spans="1:5" x14ac:dyDescent="0.25">
      <c r="A7000" s="1">
        <v>43615</v>
      </c>
      <c r="B7000">
        <v>122983</v>
      </c>
      <c r="C7000" t="s">
        <v>3100</v>
      </c>
      <c r="D7000" t="s">
        <v>6165</v>
      </c>
      <c r="E7000" s="2">
        <v>199</v>
      </c>
    </row>
    <row r="7001" spans="1:5" x14ac:dyDescent="0.25">
      <c r="A7001" s="1">
        <v>43615</v>
      </c>
      <c r="B7001">
        <v>122984</v>
      </c>
      <c r="C7001" t="s">
        <v>67</v>
      </c>
      <c r="D7001" t="s">
        <v>5830</v>
      </c>
      <c r="E7001" s="2">
        <v>2539.94</v>
      </c>
    </row>
    <row r="7002" spans="1:5" x14ac:dyDescent="0.25">
      <c r="A7002" s="1">
        <v>43615</v>
      </c>
      <c r="B7002">
        <v>122984</v>
      </c>
      <c r="C7002" t="s">
        <v>67</v>
      </c>
      <c r="D7002" t="s">
        <v>6166</v>
      </c>
      <c r="E7002" s="2">
        <v>556.5</v>
      </c>
    </row>
    <row r="7003" spans="1:5" x14ac:dyDescent="0.25">
      <c r="A7003" s="1">
        <v>43615</v>
      </c>
      <c r="B7003">
        <v>122985</v>
      </c>
      <c r="C7003" t="s">
        <v>6167</v>
      </c>
      <c r="D7003" t="s">
        <v>5153</v>
      </c>
      <c r="E7003" s="2">
        <v>247</v>
      </c>
    </row>
    <row r="7004" spans="1:5" x14ac:dyDescent="0.25">
      <c r="A7004" s="1">
        <v>43615</v>
      </c>
      <c r="B7004">
        <v>122986</v>
      </c>
      <c r="C7004" t="s">
        <v>4977</v>
      </c>
      <c r="D7004" t="s">
        <v>6168</v>
      </c>
      <c r="E7004" s="2">
        <v>820</v>
      </c>
    </row>
    <row r="7005" spans="1:5" x14ac:dyDescent="0.25">
      <c r="A7005" s="1">
        <v>43615</v>
      </c>
      <c r="B7005">
        <v>122986</v>
      </c>
      <c r="C7005" t="s">
        <v>4977</v>
      </c>
      <c r="D7005" t="s">
        <v>6169</v>
      </c>
      <c r="E7005" s="2">
        <v>1450</v>
      </c>
    </row>
    <row r="7006" spans="1:5" x14ac:dyDescent="0.25">
      <c r="A7006" s="1">
        <v>43615</v>
      </c>
      <c r="B7006">
        <v>122986</v>
      </c>
      <c r="C7006" t="s">
        <v>4977</v>
      </c>
      <c r="D7006" t="s">
        <v>6170</v>
      </c>
      <c r="E7006" s="2">
        <v>1750</v>
      </c>
    </row>
    <row r="7007" spans="1:5" x14ac:dyDescent="0.25">
      <c r="A7007" s="1">
        <v>43615</v>
      </c>
      <c r="B7007">
        <v>122987</v>
      </c>
      <c r="C7007" t="s">
        <v>2276</v>
      </c>
      <c r="D7007" t="s">
        <v>6009</v>
      </c>
      <c r="E7007" s="2">
        <f>105+160</f>
        <v>265</v>
      </c>
    </row>
    <row r="7008" spans="1:5" x14ac:dyDescent="0.25">
      <c r="A7008" s="1">
        <v>43615</v>
      </c>
      <c r="B7008">
        <v>122988</v>
      </c>
      <c r="C7008" t="s">
        <v>31</v>
      </c>
      <c r="D7008" t="s">
        <v>4013</v>
      </c>
      <c r="E7008" s="2">
        <v>149.76</v>
      </c>
    </row>
    <row r="7009" spans="1:5" x14ac:dyDescent="0.25">
      <c r="A7009" s="1">
        <v>43615</v>
      </c>
      <c r="B7009">
        <v>122989</v>
      </c>
      <c r="C7009" t="s">
        <v>6171</v>
      </c>
      <c r="D7009" t="s">
        <v>6172</v>
      </c>
      <c r="E7009" s="2">
        <v>500</v>
      </c>
    </row>
    <row r="7010" spans="1:5" x14ac:dyDescent="0.25">
      <c r="A7010" s="1">
        <v>43615</v>
      </c>
      <c r="B7010">
        <v>122990</v>
      </c>
      <c r="C7010" t="s">
        <v>68</v>
      </c>
      <c r="D7010" t="s">
        <v>6173</v>
      </c>
      <c r="E7010" s="2">
        <v>832.15</v>
      </c>
    </row>
    <row r="7011" spans="1:5" x14ac:dyDescent="0.25">
      <c r="A7011" s="1">
        <v>43615</v>
      </c>
      <c r="B7011">
        <v>122991</v>
      </c>
      <c r="C7011" t="s">
        <v>1002</v>
      </c>
      <c r="D7011" t="s">
        <v>6174</v>
      </c>
      <c r="E7011" s="2">
        <v>1850</v>
      </c>
    </row>
    <row r="7012" spans="1:5" x14ac:dyDescent="0.25">
      <c r="A7012" s="1">
        <v>43615</v>
      </c>
      <c r="B7012">
        <v>122992</v>
      </c>
      <c r="C7012" t="s">
        <v>1092</v>
      </c>
      <c r="D7012" t="s">
        <v>6175</v>
      </c>
      <c r="E7012" s="2">
        <v>41.5</v>
      </c>
    </row>
    <row r="7013" spans="1:5" x14ac:dyDescent="0.25">
      <c r="A7013" s="1">
        <v>43615</v>
      </c>
      <c r="B7013">
        <v>122993</v>
      </c>
      <c r="C7013" t="s">
        <v>2179</v>
      </c>
      <c r="D7013" t="s">
        <v>6176</v>
      </c>
      <c r="E7013" s="2">
        <v>700</v>
      </c>
    </row>
    <row r="7014" spans="1:5" x14ac:dyDescent="0.25">
      <c r="A7014" s="1">
        <v>43615</v>
      </c>
      <c r="B7014">
        <v>122994</v>
      </c>
      <c r="C7014" t="s">
        <v>2378</v>
      </c>
      <c r="D7014" t="s">
        <v>6177</v>
      </c>
      <c r="E7014" s="2">
        <v>216</v>
      </c>
    </row>
    <row r="7015" spans="1:5" x14ac:dyDescent="0.25">
      <c r="A7015" s="1">
        <v>43615</v>
      </c>
      <c r="B7015">
        <v>122994</v>
      </c>
      <c r="C7015" t="s">
        <v>2378</v>
      </c>
      <c r="D7015" t="s">
        <v>6178</v>
      </c>
      <c r="E7015" s="2">
        <v>6828</v>
      </c>
    </row>
    <row r="7016" spans="1:5" x14ac:dyDescent="0.25">
      <c r="A7016" s="1">
        <v>43615</v>
      </c>
      <c r="B7016">
        <v>122995</v>
      </c>
      <c r="C7016" t="s">
        <v>3556</v>
      </c>
      <c r="D7016" t="s">
        <v>4994</v>
      </c>
      <c r="E7016" s="2">
        <v>675</v>
      </c>
    </row>
    <row r="7017" spans="1:5" x14ac:dyDescent="0.25">
      <c r="A7017" s="1">
        <v>43615</v>
      </c>
      <c r="B7017">
        <v>122996</v>
      </c>
      <c r="C7017" t="s">
        <v>40</v>
      </c>
      <c r="D7017" t="s">
        <v>6179</v>
      </c>
      <c r="E7017" s="2">
        <v>99</v>
      </c>
    </row>
    <row r="7018" spans="1:5" x14ac:dyDescent="0.25">
      <c r="A7018" s="1">
        <v>43615</v>
      </c>
      <c r="B7018">
        <v>122997</v>
      </c>
      <c r="C7018" t="s">
        <v>264</v>
      </c>
      <c r="D7018" t="s">
        <v>6180</v>
      </c>
      <c r="E7018" s="2">
        <v>625.44000000000005</v>
      </c>
    </row>
    <row r="7019" spans="1:5" x14ac:dyDescent="0.25">
      <c r="A7019" s="1">
        <v>43615</v>
      </c>
      <c r="B7019">
        <v>122998</v>
      </c>
      <c r="C7019" t="s">
        <v>1670</v>
      </c>
      <c r="D7019" t="s">
        <v>6181</v>
      </c>
      <c r="E7019" s="2">
        <v>3030.31</v>
      </c>
    </row>
    <row r="7020" spans="1:5" x14ac:dyDescent="0.25">
      <c r="A7020" s="1">
        <v>43615</v>
      </c>
      <c r="B7020">
        <v>122999</v>
      </c>
      <c r="C7020" t="s">
        <v>6182</v>
      </c>
      <c r="D7020" t="s">
        <v>6183</v>
      </c>
      <c r="E7020" s="2">
        <v>39.049999999999997</v>
      </c>
    </row>
    <row r="7021" spans="1:5" x14ac:dyDescent="0.25">
      <c r="A7021" s="1">
        <v>43615</v>
      </c>
      <c r="B7021">
        <v>123000</v>
      </c>
      <c r="C7021" t="s">
        <v>47</v>
      </c>
      <c r="D7021" t="s">
        <v>6184</v>
      </c>
      <c r="E7021" s="2">
        <v>906.89</v>
      </c>
    </row>
    <row r="7022" spans="1:5" x14ac:dyDescent="0.25">
      <c r="A7022" s="1">
        <v>43615</v>
      </c>
      <c r="B7022">
        <v>123001</v>
      </c>
      <c r="C7022" t="s">
        <v>2570</v>
      </c>
      <c r="D7022" t="s">
        <v>6185</v>
      </c>
      <c r="E7022" s="2">
        <v>630</v>
      </c>
    </row>
    <row r="7023" spans="1:5" x14ac:dyDescent="0.25">
      <c r="A7023" s="1">
        <v>43615</v>
      </c>
      <c r="B7023">
        <v>123002</v>
      </c>
      <c r="C7023" t="s">
        <v>3548</v>
      </c>
      <c r="D7023" t="s">
        <v>6186</v>
      </c>
      <c r="E7023" s="2">
        <v>283.5</v>
      </c>
    </row>
    <row r="7024" spans="1:5" x14ac:dyDescent="0.25">
      <c r="A7024" s="1">
        <v>43615</v>
      </c>
      <c r="B7024">
        <v>123003</v>
      </c>
      <c r="C7024" t="s">
        <v>6187</v>
      </c>
      <c r="D7024" t="s">
        <v>6188</v>
      </c>
      <c r="E7024" s="2">
        <v>7400</v>
      </c>
    </row>
    <row r="7025" spans="1:5" x14ac:dyDescent="0.25">
      <c r="A7025" s="1">
        <v>43615</v>
      </c>
      <c r="B7025">
        <v>123004</v>
      </c>
      <c r="C7025" t="s">
        <v>50</v>
      </c>
      <c r="D7025" t="s">
        <v>2047</v>
      </c>
      <c r="E7025" s="2">
        <v>3540</v>
      </c>
    </row>
    <row r="7026" spans="1:5" x14ac:dyDescent="0.25">
      <c r="A7026" s="1">
        <v>43615</v>
      </c>
      <c r="B7026">
        <v>123005</v>
      </c>
      <c r="C7026" t="s">
        <v>2591</v>
      </c>
      <c r="D7026" t="s">
        <v>5763</v>
      </c>
      <c r="E7026" s="2">
        <f>130+549</f>
        <v>679</v>
      </c>
    </row>
    <row r="7027" spans="1:5" x14ac:dyDescent="0.25">
      <c r="A7027" s="1">
        <v>43615</v>
      </c>
      <c r="B7027">
        <v>123006</v>
      </c>
      <c r="C7027" t="s">
        <v>158</v>
      </c>
      <c r="D7027" t="s">
        <v>6189</v>
      </c>
      <c r="E7027" s="2">
        <v>47.46</v>
      </c>
    </row>
    <row r="7028" spans="1:5" x14ac:dyDescent="0.25">
      <c r="A7028" s="1">
        <v>43615</v>
      </c>
      <c r="B7028">
        <v>123007</v>
      </c>
      <c r="C7028" t="s">
        <v>161</v>
      </c>
      <c r="D7028" t="s">
        <v>6190</v>
      </c>
      <c r="E7028" s="2">
        <v>1300</v>
      </c>
    </row>
    <row r="7029" spans="1:5" x14ac:dyDescent="0.25">
      <c r="A7029" s="1">
        <v>43615</v>
      </c>
      <c r="B7029">
        <v>123008</v>
      </c>
      <c r="C7029" t="s">
        <v>1516</v>
      </c>
      <c r="D7029" t="s">
        <v>6191</v>
      </c>
      <c r="E7029" s="2">
        <v>72</v>
      </c>
    </row>
    <row r="7030" spans="1:5" x14ac:dyDescent="0.25">
      <c r="A7030" s="1">
        <v>43615</v>
      </c>
      <c r="B7030">
        <v>123009</v>
      </c>
      <c r="C7030" t="s">
        <v>6192</v>
      </c>
      <c r="D7030" t="s">
        <v>6193</v>
      </c>
      <c r="E7030" s="2">
        <v>25</v>
      </c>
    </row>
    <row r="7031" spans="1:5" x14ac:dyDescent="0.25">
      <c r="A7031" s="1">
        <v>43615</v>
      </c>
      <c r="B7031">
        <v>123010</v>
      </c>
      <c r="C7031" t="s">
        <v>2250</v>
      </c>
      <c r="D7031" t="s">
        <v>6194</v>
      </c>
      <c r="E7031" s="2">
        <v>200</v>
      </c>
    </row>
    <row r="7032" spans="1:5" x14ac:dyDescent="0.25">
      <c r="A7032" s="1">
        <v>43615</v>
      </c>
      <c r="B7032">
        <v>123011</v>
      </c>
      <c r="C7032" t="s">
        <v>88</v>
      </c>
      <c r="D7032" t="s">
        <v>6195</v>
      </c>
      <c r="E7032" s="2">
        <v>285</v>
      </c>
    </row>
    <row r="7033" spans="1:5" x14ac:dyDescent="0.25">
      <c r="A7033" s="1">
        <v>43615</v>
      </c>
      <c r="B7033">
        <v>123012</v>
      </c>
      <c r="C7033" t="s">
        <v>5734</v>
      </c>
      <c r="D7033" t="s">
        <v>6196</v>
      </c>
      <c r="E7033" s="2">
        <v>35</v>
      </c>
    </row>
    <row r="7034" spans="1:5" x14ac:dyDescent="0.25">
      <c r="A7034" s="1">
        <v>43615</v>
      </c>
      <c r="B7034">
        <v>123013</v>
      </c>
      <c r="C7034" t="s">
        <v>1051</v>
      </c>
      <c r="D7034" t="s">
        <v>6197</v>
      </c>
      <c r="E7034" s="2">
        <v>70</v>
      </c>
    </row>
    <row r="7035" spans="1:5" x14ac:dyDescent="0.25">
      <c r="A7035" s="1">
        <v>43615</v>
      </c>
      <c r="B7035">
        <v>123014</v>
      </c>
      <c r="C7035" t="s">
        <v>6198</v>
      </c>
      <c r="D7035" t="s">
        <v>6199</v>
      </c>
      <c r="E7035" s="2">
        <v>601.5</v>
      </c>
    </row>
    <row r="7036" spans="1:5" x14ac:dyDescent="0.25">
      <c r="A7036" s="1">
        <v>43615</v>
      </c>
      <c r="B7036">
        <v>123015</v>
      </c>
      <c r="C7036" t="s">
        <v>6200</v>
      </c>
      <c r="D7036" t="s">
        <v>6201</v>
      </c>
      <c r="E7036" s="2">
        <v>1574.95</v>
      </c>
    </row>
    <row r="7037" spans="1:5" x14ac:dyDescent="0.25">
      <c r="A7037" s="1">
        <v>43615</v>
      </c>
      <c r="B7037">
        <v>123016</v>
      </c>
      <c r="C7037" t="s">
        <v>179</v>
      </c>
      <c r="D7037" t="s">
        <v>6202</v>
      </c>
      <c r="E7037" s="2">
        <v>65</v>
      </c>
    </row>
    <row r="7038" spans="1:5" x14ac:dyDescent="0.25">
      <c r="A7038" s="1">
        <v>43615</v>
      </c>
      <c r="B7038">
        <v>123017</v>
      </c>
      <c r="C7038" t="s">
        <v>6203</v>
      </c>
      <c r="D7038" t="s">
        <v>6204</v>
      </c>
      <c r="E7038" s="2">
        <v>1749.8</v>
      </c>
    </row>
    <row r="7039" spans="1:5" x14ac:dyDescent="0.25">
      <c r="A7039" s="1">
        <v>43615</v>
      </c>
      <c r="B7039">
        <v>123017</v>
      </c>
      <c r="C7039" t="s">
        <v>6203</v>
      </c>
      <c r="D7039" t="s">
        <v>6205</v>
      </c>
      <c r="E7039" s="2">
        <v>2312.25</v>
      </c>
    </row>
    <row r="7040" spans="1:5" x14ac:dyDescent="0.25">
      <c r="A7040" s="1">
        <v>43615</v>
      </c>
      <c r="B7040">
        <v>123018</v>
      </c>
      <c r="C7040" t="s">
        <v>780</v>
      </c>
      <c r="D7040" t="s">
        <v>2312</v>
      </c>
      <c r="E7040" s="2">
        <f>836.45+257.24</f>
        <v>1093.69</v>
      </c>
    </row>
    <row r="7041" spans="1:6" x14ac:dyDescent="0.25">
      <c r="A7041" s="1">
        <v>43615</v>
      </c>
      <c r="B7041">
        <v>123019</v>
      </c>
      <c r="C7041" t="s">
        <v>184</v>
      </c>
      <c r="D7041" t="s">
        <v>6206</v>
      </c>
      <c r="E7041" s="2">
        <v>4307.8599999999997</v>
      </c>
    </row>
    <row r="7042" spans="1:6" x14ac:dyDescent="0.25">
      <c r="A7042" s="1">
        <v>43615</v>
      </c>
      <c r="B7042">
        <v>181900341</v>
      </c>
      <c r="C7042" t="s">
        <v>394</v>
      </c>
      <c r="D7042" t="s">
        <v>4229</v>
      </c>
      <c r="E7042" s="2">
        <v>63.42</v>
      </c>
    </row>
    <row r="7043" spans="1:6" x14ac:dyDescent="0.25">
      <c r="A7043" s="1">
        <v>43615</v>
      </c>
      <c r="B7043">
        <v>181900342</v>
      </c>
      <c r="C7043" t="s">
        <v>1546</v>
      </c>
      <c r="D7043" t="s">
        <v>4229</v>
      </c>
      <c r="E7043" s="2">
        <v>63.89</v>
      </c>
    </row>
    <row r="7044" spans="1:6" x14ac:dyDescent="0.25">
      <c r="A7044" s="1">
        <v>43615</v>
      </c>
      <c r="B7044">
        <v>181900343</v>
      </c>
      <c r="C7044" t="s">
        <v>6207</v>
      </c>
      <c r="D7044" t="s">
        <v>4229</v>
      </c>
      <c r="E7044" s="2">
        <v>271.99</v>
      </c>
    </row>
    <row r="7045" spans="1:6" x14ac:dyDescent="0.25">
      <c r="A7045" s="1">
        <v>43615</v>
      </c>
      <c r="B7045">
        <v>181900345</v>
      </c>
      <c r="C7045" t="s">
        <v>274</v>
      </c>
      <c r="D7045" t="s">
        <v>6208</v>
      </c>
      <c r="E7045" s="2">
        <v>334.55</v>
      </c>
    </row>
    <row r="7046" spans="1:6" x14ac:dyDescent="0.25">
      <c r="A7046" s="1">
        <v>43615</v>
      </c>
      <c r="B7046">
        <v>181900345</v>
      </c>
      <c r="C7046" t="s">
        <v>274</v>
      </c>
      <c r="D7046" t="s">
        <v>6209</v>
      </c>
      <c r="E7046" s="2">
        <v>499.36</v>
      </c>
    </row>
    <row r="7047" spans="1:6" x14ac:dyDescent="0.25">
      <c r="A7047" s="1">
        <v>43615</v>
      </c>
      <c r="B7047">
        <v>181900345</v>
      </c>
      <c r="C7047" t="s">
        <v>274</v>
      </c>
      <c r="D7047" t="s">
        <v>6210</v>
      </c>
      <c r="E7047" s="2">
        <v>1848.5</v>
      </c>
    </row>
    <row r="7048" spans="1:6" x14ac:dyDescent="0.25">
      <c r="A7048" s="1">
        <v>43615</v>
      </c>
      <c r="B7048">
        <v>181900346</v>
      </c>
      <c r="C7048" t="s">
        <v>48</v>
      </c>
      <c r="D7048" t="s">
        <v>465</v>
      </c>
      <c r="E7048" s="2">
        <v>11345.35</v>
      </c>
    </row>
    <row r="7049" spans="1:6" x14ac:dyDescent="0.25">
      <c r="C7049" t="s">
        <v>2659</v>
      </c>
      <c r="F7049" s="9">
        <f>SUM(E6263:E7048)</f>
        <v>1368092.7299999993</v>
      </c>
    </row>
    <row r="7050" spans="1:6" x14ac:dyDescent="0.25">
      <c r="A7050" s="1">
        <v>43619</v>
      </c>
      <c r="B7050">
        <v>123020</v>
      </c>
      <c r="C7050" t="s">
        <v>6059</v>
      </c>
      <c r="D7050" t="s">
        <v>3601</v>
      </c>
      <c r="E7050" s="2">
        <v>29.75</v>
      </c>
    </row>
    <row r="7051" spans="1:6" x14ac:dyDescent="0.25">
      <c r="A7051" s="1">
        <v>43619</v>
      </c>
      <c r="B7051">
        <v>123021</v>
      </c>
      <c r="C7051" t="s">
        <v>6211</v>
      </c>
      <c r="D7051" t="s">
        <v>6212</v>
      </c>
      <c r="E7051" s="2">
        <v>23809.279999999999</v>
      </c>
    </row>
    <row r="7052" spans="1:6" x14ac:dyDescent="0.25">
      <c r="A7052" s="1">
        <v>43619</v>
      </c>
      <c r="B7052">
        <v>123021</v>
      </c>
      <c r="C7052" t="s">
        <v>6211</v>
      </c>
      <c r="D7052" t="s">
        <v>6213</v>
      </c>
      <c r="E7052" s="2">
        <v>63860.84</v>
      </c>
    </row>
    <row r="7053" spans="1:6" x14ac:dyDescent="0.25">
      <c r="A7053" s="1">
        <v>43619</v>
      </c>
      <c r="B7053">
        <v>123028</v>
      </c>
      <c r="C7053" t="s">
        <v>631</v>
      </c>
      <c r="D7053" t="s">
        <v>6214</v>
      </c>
      <c r="E7053" s="2">
        <v>538.27</v>
      </c>
    </row>
    <row r="7054" spans="1:6" x14ac:dyDescent="0.25">
      <c r="A7054" s="1">
        <v>43619</v>
      </c>
      <c r="B7054">
        <v>123028</v>
      </c>
      <c r="C7054" t="s">
        <v>631</v>
      </c>
      <c r="D7054" t="s">
        <v>6215</v>
      </c>
      <c r="E7054" s="2">
        <v>269.63</v>
      </c>
    </row>
    <row r="7055" spans="1:6" x14ac:dyDescent="0.25">
      <c r="A7055" s="1">
        <v>43619</v>
      </c>
      <c r="B7055">
        <v>123028</v>
      </c>
      <c r="C7055" t="s">
        <v>631</v>
      </c>
      <c r="D7055" t="s">
        <v>6216</v>
      </c>
      <c r="E7055" s="2">
        <v>42.24</v>
      </c>
    </row>
    <row r="7056" spans="1:6" x14ac:dyDescent="0.25">
      <c r="A7056" s="1">
        <v>43619</v>
      </c>
      <c r="B7056">
        <v>123028</v>
      </c>
      <c r="C7056" t="s">
        <v>631</v>
      </c>
      <c r="D7056" t="s">
        <v>6217</v>
      </c>
      <c r="E7056" s="2">
        <v>315.14</v>
      </c>
    </row>
    <row r="7057" spans="1:5" x14ac:dyDescent="0.25">
      <c r="A7057" s="1">
        <v>43619</v>
      </c>
      <c r="B7057">
        <v>123028</v>
      </c>
      <c r="C7057" t="s">
        <v>631</v>
      </c>
      <c r="D7057" t="s">
        <v>6218</v>
      </c>
      <c r="E7057" s="2">
        <v>575.29999999999995</v>
      </c>
    </row>
    <row r="7058" spans="1:5" x14ac:dyDescent="0.25">
      <c r="A7058" s="1">
        <v>43619</v>
      </c>
      <c r="B7058">
        <v>123028</v>
      </c>
      <c r="C7058" t="s">
        <v>631</v>
      </c>
      <c r="D7058" t="s">
        <v>6219</v>
      </c>
      <c r="E7058" s="2">
        <v>138.81</v>
      </c>
    </row>
    <row r="7059" spans="1:5" x14ac:dyDescent="0.25">
      <c r="A7059" s="1">
        <v>43619</v>
      </c>
      <c r="B7059">
        <v>123028</v>
      </c>
      <c r="C7059" t="s">
        <v>631</v>
      </c>
      <c r="D7059" t="s">
        <v>6214</v>
      </c>
      <c r="E7059" s="2">
        <v>1639.32</v>
      </c>
    </row>
    <row r="7060" spans="1:5" x14ac:dyDescent="0.25">
      <c r="A7060" s="1">
        <v>43619</v>
      </c>
      <c r="B7060">
        <v>123028</v>
      </c>
      <c r="C7060" t="s">
        <v>631</v>
      </c>
      <c r="D7060" t="s">
        <v>6220</v>
      </c>
      <c r="E7060" s="2">
        <v>58.6</v>
      </c>
    </row>
    <row r="7061" spans="1:5" x14ac:dyDescent="0.25">
      <c r="A7061" s="1">
        <v>43619</v>
      </c>
      <c r="B7061">
        <v>123028</v>
      </c>
      <c r="C7061" t="s">
        <v>631</v>
      </c>
      <c r="D7061" t="s">
        <v>6221</v>
      </c>
      <c r="E7061" s="2">
        <v>183.85</v>
      </c>
    </row>
    <row r="7062" spans="1:5" x14ac:dyDescent="0.25">
      <c r="A7062" s="1">
        <v>43619</v>
      </c>
      <c r="B7062">
        <v>123028</v>
      </c>
      <c r="C7062" t="s">
        <v>631</v>
      </c>
      <c r="D7062" t="s">
        <v>6222</v>
      </c>
      <c r="E7062" s="2">
        <v>59.9</v>
      </c>
    </row>
    <row r="7063" spans="1:5" x14ac:dyDescent="0.25">
      <c r="A7063" s="1">
        <v>43619</v>
      </c>
      <c r="B7063">
        <v>123028</v>
      </c>
      <c r="C7063" t="s">
        <v>631</v>
      </c>
      <c r="D7063" t="s">
        <v>6223</v>
      </c>
      <c r="E7063" s="2">
        <v>334.36</v>
      </c>
    </row>
    <row r="7064" spans="1:5" x14ac:dyDescent="0.25">
      <c r="A7064" s="1">
        <v>43619</v>
      </c>
      <c r="B7064">
        <v>123028</v>
      </c>
      <c r="C7064" t="s">
        <v>631</v>
      </c>
      <c r="D7064" t="s">
        <v>6224</v>
      </c>
      <c r="E7064" s="2">
        <v>100.84</v>
      </c>
    </row>
    <row r="7065" spans="1:5" x14ac:dyDescent="0.25">
      <c r="A7065" s="1">
        <v>43619</v>
      </c>
      <c r="B7065">
        <v>123028</v>
      </c>
      <c r="C7065" t="s">
        <v>631</v>
      </c>
      <c r="D7065" t="s">
        <v>6225</v>
      </c>
      <c r="E7065" s="2">
        <v>251.76</v>
      </c>
    </row>
    <row r="7066" spans="1:5" x14ac:dyDescent="0.25">
      <c r="A7066" s="1">
        <v>43619</v>
      </c>
      <c r="B7066">
        <v>123028</v>
      </c>
      <c r="C7066" t="s">
        <v>631</v>
      </c>
      <c r="D7066" t="s">
        <v>6226</v>
      </c>
      <c r="E7066" s="2">
        <v>170.16</v>
      </c>
    </row>
    <row r="7067" spans="1:5" x14ac:dyDescent="0.25">
      <c r="A7067" s="1">
        <v>43619</v>
      </c>
      <c r="B7067">
        <v>123028</v>
      </c>
      <c r="C7067" t="s">
        <v>631</v>
      </c>
      <c r="D7067" t="s">
        <v>6227</v>
      </c>
      <c r="E7067" s="2">
        <v>96.01</v>
      </c>
    </row>
    <row r="7068" spans="1:5" x14ac:dyDescent="0.25">
      <c r="A7068" s="1">
        <v>43619</v>
      </c>
      <c r="B7068">
        <v>123028</v>
      </c>
      <c r="C7068" t="s">
        <v>631</v>
      </c>
      <c r="D7068" t="s">
        <v>6228</v>
      </c>
      <c r="E7068" s="2">
        <v>297.94</v>
      </c>
    </row>
    <row r="7069" spans="1:5" x14ac:dyDescent="0.25">
      <c r="A7069" s="1">
        <v>43619</v>
      </c>
      <c r="B7069">
        <v>123028</v>
      </c>
      <c r="C7069" t="s">
        <v>631</v>
      </c>
      <c r="D7069" t="s">
        <v>6229</v>
      </c>
      <c r="E7069" s="2">
        <v>194.5</v>
      </c>
    </row>
    <row r="7070" spans="1:5" x14ac:dyDescent="0.25">
      <c r="A7070" s="1">
        <v>43619</v>
      </c>
      <c r="B7070">
        <v>123028</v>
      </c>
      <c r="C7070" t="s">
        <v>631</v>
      </c>
      <c r="D7070" t="s">
        <v>6230</v>
      </c>
      <c r="E7070" s="2">
        <v>258.72000000000003</v>
      </c>
    </row>
    <row r="7071" spans="1:5" x14ac:dyDescent="0.25">
      <c r="A7071" s="1">
        <v>43619</v>
      </c>
      <c r="B7071">
        <v>123028</v>
      </c>
      <c r="C7071" t="s">
        <v>631</v>
      </c>
      <c r="D7071" t="s">
        <v>6231</v>
      </c>
      <c r="E7071" s="2">
        <v>277.66000000000003</v>
      </c>
    </row>
    <row r="7072" spans="1:5" x14ac:dyDescent="0.25">
      <c r="A7072" s="1">
        <v>43619</v>
      </c>
      <c r="B7072">
        <v>123028</v>
      </c>
      <c r="C7072" t="s">
        <v>631</v>
      </c>
      <c r="D7072" t="s">
        <v>6232</v>
      </c>
      <c r="E7072" s="2">
        <v>56.94</v>
      </c>
    </row>
    <row r="7073" spans="1:5" x14ac:dyDescent="0.25">
      <c r="A7073" s="1">
        <v>43619</v>
      </c>
      <c r="B7073">
        <v>123028</v>
      </c>
      <c r="C7073" t="s">
        <v>631</v>
      </c>
      <c r="D7073" t="s">
        <v>6233</v>
      </c>
      <c r="E7073" s="2">
        <v>210</v>
      </c>
    </row>
    <row r="7074" spans="1:5" x14ac:dyDescent="0.25">
      <c r="A7074" s="1">
        <v>43619</v>
      </c>
      <c r="B7074">
        <v>123028</v>
      </c>
      <c r="C7074" t="s">
        <v>631</v>
      </c>
      <c r="D7074" t="s">
        <v>6234</v>
      </c>
      <c r="E7074" s="2">
        <v>294.62</v>
      </c>
    </row>
    <row r="7075" spans="1:5" x14ac:dyDescent="0.25">
      <c r="A7075" s="1">
        <v>43622</v>
      </c>
      <c r="B7075">
        <v>123029</v>
      </c>
      <c r="C7075" t="s">
        <v>2526</v>
      </c>
      <c r="D7075" t="s">
        <v>6235</v>
      </c>
      <c r="E7075" s="2">
        <v>96.9</v>
      </c>
    </row>
    <row r="7076" spans="1:5" x14ac:dyDescent="0.25">
      <c r="A7076" s="1">
        <v>43622</v>
      </c>
      <c r="B7076">
        <v>123030</v>
      </c>
      <c r="C7076" t="s">
        <v>4259</v>
      </c>
      <c r="D7076" t="s">
        <v>6236</v>
      </c>
      <c r="E7076" s="2">
        <f>520+5550</f>
        <v>6070</v>
      </c>
    </row>
    <row r="7077" spans="1:5" x14ac:dyDescent="0.25">
      <c r="A7077" s="1">
        <v>43622</v>
      </c>
      <c r="B7077">
        <v>123032</v>
      </c>
      <c r="C7077" t="s">
        <v>6237</v>
      </c>
      <c r="D7077" t="s">
        <v>6238</v>
      </c>
      <c r="E7077" s="2">
        <v>30</v>
      </c>
    </row>
    <row r="7078" spans="1:5" x14ac:dyDescent="0.25">
      <c r="A7078" s="1">
        <v>43622</v>
      </c>
      <c r="B7078">
        <v>123033</v>
      </c>
      <c r="C7078" t="s">
        <v>244</v>
      </c>
      <c r="D7078" t="s">
        <v>6239</v>
      </c>
      <c r="E7078" s="2">
        <v>144</v>
      </c>
    </row>
    <row r="7079" spans="1:5" x14ac:dyDescent="0.25">
      <c r="A7079" s="1">
        <v>43622</v>
      </c>
      <c r="B7079">
        <v>123034</v>
      </c>
      <c r="C7079" t="s">
        <v>7</v>
      </c>
      <c r="D7079" t="s">
        <v>6240</v>
      </c>
      <c r="E7079" s="2">
        <v>180</v>
      </c>
    </row>
    <row r="7080" spans="1:5" x14ac:dyDescent="0.25">
      <c r="A7080" s="1">
        <v>43622</v>
      </c>
      <c r="B7080">
        <v>123035</v>
      </c>
      <c r="C7080" t="s">
        <v>4977</v>
      </c>
      <c r="D7080" t="s">
        <v>6241</v>
      </c>
      <c r="E7080" s="2">
        <v>200</v>
      </c>
    </row>
    <row r="7081" spans="1:5" x14ac:dyDescent="0.25">
      <c r="A7081" s="1">
        <v>43622</v>
      </c>
      <c r="B7081">
        <v>123036</v>
      </c>
      <c r="C7081" t="s">
        <v>3440</v>
      </c>
      <c r="D7081" t="s">
        <v>6242</v>
      </c>
      <c r="E7081" s="2">
        <v>1500</v>
      </c>
    </row>
    <row r="7082" spans="1:5" x14ac:dyDescent="0.25">
      <c r="A7082" s="1">
        <v>43622</v>
      </c>
      <c r="B7082">
        <v>123037</v>
      </c>
      <c r="C7082" t="s">
        <v>6243</v>
      </c>
      <c r="D7082" t="s">
        <v>5965</v>
      </c>
      <c r="E7082" s="2">
        <v>1155</v>
      </c>
    </row>
    <row r="7083" spans="1:5" x14ac:dyDescent="0.25">
      <c r="A7083" s="1">
        <v>43622</v>
      </c>
      <c r="B7083">
        <v>123038</v>
      </c>
      <c r="C7083" t="s">
        <v>2675</v>
      </c>
      <c r="D7083" t="s">
        <v>6244</v>
      </c>
      <c r="E7083" s="2">
        <v>145</v>
      </c>
    </row>
    <row r="7084" spans="1:5" x14ac:dyDescent="0.25">
      <c r="A7084" s="1">
        <v>43622</v>
      </c>
      <c r="B7084">
        <v>123039</v>
      </c>
      <c r="C7084" t="s">
        <v>365</v>
      </c>
      <c r="D7084" t="s">
        <v>6245</v>
      </c>
      <c r="E7084" s="2">
        <v>108.76</v>
      </c>
    </row>
    <row r="7085" spans="1:5" x14ac:dyDescent="0.25">
      <c r="A7085" s="1">
        <v>43622</v>
      </c>
      <c r="B7085">
        <v>123041</v>
      </c>
      <c r="C7085" t="s">
        <v>125</v>
      </c>
      <c r="D7085" t="s">
        <v>6246</v>
      </c>
      <c r="E7085" s="2">
        <v>48.75</v>
      </c>
    </row>
    <row r="7086" spans="1:5" x14ac:dyDescent="0.25">
      <c r="A7086" s="1">
        <v>43622</v>
      </c>
      <c r="B7086">
        <v>123041</v>
      </c>
      <c r="C7086" t="s">
        <v>125</v>
      </c>
      <c r="D7086" t="s">
        <v>6247</v>
      </c>
      <c r="E7086" s="2">
        <f>334.51+76.13</f>
        <v>410.64</v>
      </c>
    </row>
    <row r="7087" spans="1:5" x14ac:dyDescent="0.25">
      <c r="A7087" s="1">
        <v>43622</v>
      </c>
      <c r="B7087">
        <v>123041</v>
      </c>
      <c r="C7087" t="s">
        <v>125</v>
      </c>
      <c r="D7087" t="s">
        <v>6248</v>
      </c>
      <c r="E7087" s="2">
        <v>-11.98</v>
      </c>
    </row>
    <row r="7088" spans="1:5" x14ac:dyDescent="0.25">
      <c r="A7088" s="1">
        <v>43622</v>
      </c>
      <c r="B7088">
        <v>123042</v>
      </c>
      <c r="C7088" t="s">
        <v>3009</v>
      </c>
      <c r="D7088" t="s">
        <v>6249</v>
      </c>
      <c r="E7088" s="2">
        <v>30.15</v>
      </c>
    </row>
    <row r="7089" spans="1:5" x14ac:dyDescent="0.25">
      <c r="A7089" s="1">
        <v>43622</v>
      </c>
      <c r="B7089">
        <v>123043</v>
      </c>
      <c r="C7089" t="s">
        <v>5107</v>
      </c>
      <c r="D7089" t="s">
        <v>5840</v>
      </c>
      <c r="E7089" s="2">
        <v>467.2</v>
      </c>
    </row>
    <row r="7090" spans="1:5" x14ac:dyDescent="0.25">
      <c r="A7090" s="1">
        <v>43622</v>
      </c>
      <c r="B7090">
        <v>123044</v>
      </c>
      <c r="C7090" t="s">
        <v>6250</v>
      </c>
      <c r="D7090" t="s">
        <v>6251</v>
      </c>
      <c r="E7090" s="2">
        <v>908.42</v>
      </c>
    </row>
    <row r="7091" spans="1:5" x14ac:dyDescent="0.25">
      <c r="A7091" s="1">
        <v>43622</v>
      </c>
      <c r="B7091">
        <v>123045</v>
      </c>
      <c r="C7091" t="s">
        <v>74</v>
      </c>
      <c r="D7091" t="s">
        <v>6252</v>
      </c>
      <c r="E7091" s="2">
        <v>68.3</v>
      </c>
    </row>
    <row r="7092" spans="1:5" x14ac:dyDescent="0.25">
      <c r="A7092" s="1">
        <v>43622</v>
      </c>
      <c r="B7092">
        <v>123046</v>
      </c>
      <c r="C7092" t="s">
        <v>6253</v>
      </c>
      <c r="D7092" t="s">
        <v>6254</v>
      </c>
      <c r="E7092" s="2">
        <v>149.5</v>
      </c>
    </row>
    <row r="7093" spans="1:5" x14ac:dyDescent="0.25">
      <c r="A7093" s="1">
        <v>43622</v>
      </c>
      <c r="B7093">
        <v>123047</v>
      </c>
      <c r="C7093" t="s">
        <v>336</v>
      </c>
      <c r="D7093" t="s">
        <v>6255</v>
      </c>
      <c r="E7093" s="2">
        <v>157</v>
      </c>
    </row>
    <row r="7094" spans="1:5" x14ac:dyDescent="0.25">
      <c r="A7094" s="1">
        <v>43622</v>
      </c>
      <c r="B7094">
        <v>123048</v>
      </c>
      <c r="C7094" t="s">
        <v>80</v>
      </c>
      <c r="D7094" t="s">
        <v>4312</v>
      </c>
      <c r="E7094" s="2">
        <v>77.83</v>
      </c>
    </row>
    <row r="7095" spans="1:5" x14ac:dyDescent="0.25">
      <c r="A7095" s="1">
        <v>43622</v>
      </c>
      <c r="B7095">
        <v>123049</v>
      </c>
      <c r="C7095" t="s">
        <v>80</v>
      </c>
      <c r="D7095" t="s">
        <v>4313</v>
      </c>
      <c r="E7095" s="2">
        <v>130.81</v>
      </c>
    </row>
    <row r="7096" spans="1:5" x14ac:dyDescent="0.25">
      <c r="A7096" s="1">
        <v>43622</v>
      </c>
      <c r="B7096">
        <v>123050</v>
      </c>
      <c r="C7096" t="s">
        <v>16</v>
      </c>
      <c r="D7096" t="s">
        <v>6256</v>
      </c>
      <c r="E7096" s="2">
        <v>22.69</v>
      </c>
    </row>
    <row r="7097" spans="1:5" x14ac:dyDescent="0.25">
      <c r="A7097" s="1">
        <v>43622</v>
      </c>
      <c r="B7097">
        <v>123051</v>
      </c>
      <c r="C7097" t="s">
        <v>213</v>
      </c>
      <c r="D7097" t="s">
        <v>6257</v>
      </c>
      <c r="E7097" s="2">
        <v>222.87</v>
      </c>
    </row>
    <row r="7098" spans="1:5" x14ac:dyDescent="0.25">
      <c r="A7098" s="1">
        <v>43622</v>
      </c>
      <c r="B7098">
        <v>123052</v>
      </c>
      <c r="C7098" t="s">
        <v>2970</v>
      </c>
      <c r="D7098" t="s">
        <v>6258</v>
      </c>
      <c r="E7098" s="2">
        <v>1000</v>
      </c>
    </row>
    <row r="7099" spans="1:5" x14ac:dyDescent="0.25">
      <c r="A7099" s="1">
        <v>43622</v>
      </c>
      <c r="B7099">
        <v>123053</v>
      </c>
      <c r="C7099" t="s">
        <v>17</v>
      </c>
      <c r="D7099" t="s">
        <v>6259</v>
      </c>
      <c r="E7099" s="2">
        <v>85</v>
      </c>
    </row>
    <row r="7100" spans="1:5" x14ac:dyDescent="0.25">
      <c r="A7100" s="1">
        <v>43622</v>
      </c>
      <c r="B7100">
        <v>123054</v>
      </c>
      <c r="C7100" t="s">
        <v>1264</v>
      </c>
      <c r="D7100" t="s">
        <v>6260</v>
      </c>
      <c r="E7100" s="2">
        <v>7059.5</v>
      </c>
    </row>
    <row r="7101" spans="1:5" x14ac:dyDescent="0.25">
      <c r="A7101" s="1">
        <v>43622</v>
      </c>
      <c r="B7101">
        <v>123056</v>
      </c>
      <c r="C7101" t="s">
        <v>1139</v>
      </c>
      <c r="D7101" t="s">
        <v>6261</v>
      </c>
      <c r="E7101" s="2">
        <v>320.77</v>
      </c>
    </row>
    <row r="7102" spans="1:5" x14ac:dyDescent="0.25">
      <c r="A7102" s="1">
        <v>43622</v>
      </c>
      <c r="B7102">
        <v>123057</v>
      </c>
      <c r="C7102" t="s">
        <v>226</v>
      </c>
      <c r="D7102" t="s">
        <v>6262</v>
      </c>
      <c r="E7102" s="2">
        <v>146.52000000000001</v>
      </c>
    </row>
    <row r="7103" spans="1:5" x14ac:dyDescent="0.25">
      <c r="A7103" s="1">
        <v>43622</v>
      </c>
      <c r="B7103">
        <v>123057</v>
      </c>
      <c r="C7103" t="s">
        <v>226</v>
      </c>
      <c r="D7103" t="s">
        <v>6263</v>
      </c>
      <c r="E7103" s="2">
        <v>105.18</v>
      </c>
    </row>
    <row r="7104" spans="1:5" x14ac:dyDescent="0.25">
      <c r="A7104" s="1">
        <v>43622</v>
      </c>
      <c r="B7104">
        <v>123058</v>
      </c>
      <c r="C7104" t="s">
        <v>1312</v>
      </c>
      <c r="D7104" t="s">
        <v>6264</v>
      </c>
      <c r="E7104" s="2">
        <v>63.66</v>
      </c>
    </row>
    <row r="7105" spans="1:5" x14ac:dyDescent="0.25">
      <c r="A7105" s="1">
        <v>43622</v>
      </c>
      <c r="B7105">
        <v>123059</v>
      </c>
      <c r="C7105" t="s">
        <v>6265</v>
      </c>
      <c r="D7105" t="s">
        <v>6266</v>
      </c>
      <c r="E7105" s="2">
        <v>39.049999999999997</v>
      </c>
    </row>
    <row r="7106" spans="1:5" x14ac:dyDescent="0.25">
      <c r="A7106" s="1">
        <v>43622</v>
      </c>
      <c r="B7106">
        <v>123060</v>
      </c>
      <c r="C7106" t="s">
        <v>6267</v>
      </c>
      <c r="D7106" t="s">
        <v>3601</v>
      </c>
      <c r="E7106" s="2">
        <v>14.85</v>
      </c>
    </row>
    <row r="7107" spans="1:5" x14ac:dyDescent="0.25">
      <c r="A7107" s="1">
        <v>43622</v>
      </c>
      <c r="B7107">
        <v>123061</v>
      </c>
      <c r="C7107" t="s">
        <v>942</v>
      </c>
      <c r="D7107" t="s">
        <v>6268</v>
      </c>
      <c r="E7107" s="2">
        <v>375</v>
      </c>
    </row>
    <row r="7108" spans="1:5" x14ac:dyDescent="0.25">
      <c r="A7108" s="1">
        <v>43622</v>
      </c>
      <c r="B7108">
        <v>123062</v>
      </c>
      <c r="C7108" t="s">
        <v>3100</v>
      </c>
      <c r="D7108" t="s">
        <v>6269</v>
      </c>
      <c r="E7108" s="2">
        <v>199.99</v>
      </c>
    </row>
    <row r="7109" spans="1:5" x14ac:dyDescent="0.25">
      <c r="A7109" s="1">
        <v>43622</v>
      </c>
      <c r="B7109">
        <v>123062</v>
      </c>
      <c r="C7109" t="s">
        <v>3100</v>
      </c>
      <c r="D7109" t="s">
        <v>6270</v>
      </c>
      <c r="E7109" s="2">
        <v>527.89</v>
      </c>
    </row>
    <row r="7110" spans="1:5" x14ac:dyDescent="0.25">
      <c r="A7110" s="1">
        <v>43622</v>
      </c>
      <c r="B7110">
        <v>123063</v>
      </c>
      <c r="C7110" t="s">
        <v>5828</v>
      </c>
      <c r="D7110" t="s">
        <v>1013</v>
      </c>
      <c r="E7110" s="2">
        <v>95</v>
      </c>
    </row>
    <row r="7111" spans="1:5" x14ac:dyDescent="0.25">
      <c r="A7111" s="1">
        <v>43622</v>
      </c>
      <c r="B7111">
        <v>123064</v>
      </c>
      <c r="C7111" t="s">
        <v>829</v>
      </c>
      <c r="D7111" t="s">
        <v>6271</v>
      </c>
      <c r="E7111" s="2">
        <v>250</v>
      </c>
    </row>
    <row r="7112" spans="1:5" x14ac:dyDescent="0.25">
      <c r="A7112" s="1">
        <v>43622</v>
      </c>
      <c r="B7112">
        <v>123065</v>
      </c>
      <c r="C7112" t="s">
        <v>6272</v>
      </c>
      <c r="D7112" t="s">
        <v>6273</v>
      </c>
      <c r="E7112" s="2">
        <v>88.25</v>
      </c>
    </row>
    <row r="7113" spans="1:5" x14ac:dyDescent="0.25">
      <c r="A7113" s="1">
        <v>43622</v>
      </c>
      <c r="B7113">
        <v>123066</v>
      </c>
      <c r="C7113" t="s">
        <v>241</v>
      </c>
      <c r="D7113" t="s">
        <v>6274</v>
      </c>
      <c r="E7113" s="2">
        <v>2100</v>
      </c>
    </row>
    <row r="7114" spans="1:5" x14ac:dyDescent="0.25">
      <c r="A7114" s="1">
        <v>43622</v>
      </c>
      <c r="B7114">
        <v>123067</v>
      </c>
      <c r="C7114" t="s">
        <v>243</v>
      </c>
      <c r="D7114" t="s">
        <v>6275</v>
      </c>
      <c r="E7114" s="2">
        <v>93</v>
      </c>
    </row>
    <row r="7115" spans="1:5" x14ac:dyDescent="0.25">
      <c r="A7115" s="1">
        <v>43622</v>
      </c>
      <c r="B7115">
        <v>123071</v>
      </c>
      <c r="C7115" t="s">
        <v>106</v>
      </c>
      <c r="D7115" t="s">
        <v>6276</v>
      </c>
      <c r="E7115" s="2">
        <v>12372.74</v>
      </c>
    </row>
    <row r="7116" spans="1:5" x14ac:dyDescent="0.25">
      <c r="A7116" s="1">
        <v>43622</v>
      </c>
      <c r="B7116">
        <v>123072</v>
      </c>
      <c r="C7116" t="s">
        <v>4977</v>
      </c>
      <c r="D7116" t="s">
        <v>6277</v>
      </c>
      <c r="E7116" s="2">
        <v>2400</v>
      </c>
    </row>
    <row r="7117" spans="1:5" x14ac:dyDescent="0.25">
      <c r="A7117" s="1">
        <v>43622</v>
      </c>
      <c r="B7117">
        <v>123073</v>
      </c>
      <c r="C7117" t="s">
        <v>2276</v>
      </c>
      <c r="D7117" t="s">
        <v>6278</v>
      </c>
      <c r="E7117" s="2">
        <v>600</v>
      </c>
    </row>
    <row r="7118" spans="1:5" x14ac:dyDescent="0.25">
      <c r="A7118" s="1">
        <v>43622</v>
      </c>
      <c r="B7118">
        <v>123074</v>
      </c>
      <c r="C7118" t="s">
        <v>6279</v>
      </c>
      <c r="D7118" t="s">
        <v>6273</v>
      </c>
      <c r="E7118" s="2">
        <v>76.349999999999994</v>
      </c>
    </row>
    <row r="7119" spans="1:5" x14ac:dyDescent="0.25">
      <c r="A7119" s="1">
        <v>43622</v>
      </c>
      <c r="B7119">
        <v>123075</v>
      </c>
      <c r="C7119" t="s">
        <v>358</v>
      </c>
      <c r="D7119" t="s">
        <v>6280</v>
      </c>
      <c r="E7119" s="2">
        <v>1106.1199999999999</v>
      </c>
    </row>
    <row r="7120" spans="1:5" x14ac:dyDescent="0.25">
      <c r="A7120" s="1">
        <v>43622</v>
      </c>
      <c r="B7120">
        <v>123076</v>
      </c>
      <c r="C7120" t="s">
        <v>2378</v>
      </c>
      <c r="D7120" t="s">
        <v>6281</v>
      </c>
      <c r="E7120" s="2">
        <v>324</v>
      </c>
    </row>
    <row r="7121" spans="1:5" x14ac:dyDescent="0.25">
      <c r="A7121" s="1">
        <v>43622</v>
      </c>
      <c r="B7121">
        <v>123077</v>
      </c>
      <c r="C7121" t="s">
        <v>6282</v>
      </c>
      <c r="D7121" t="s">
        <v>6273</v>
      </c>
      <c r="E7121" s="2">
        <v>10.35</v>
      </c>
    </row>
    <row r="7122" spans="1:5" x14ac:dyDescent="0.25">
      <c r="A7122" s="1">
        <v>43622</v>
      </c>
      <c r="B7122">
        <v>123078</v>
      </c>
      <c r="C7122" t="s">
        <v>5296</v>
      </c>
      <c r="D7122" t="s">
        <v>6283</v>
      </c>
      <c r="E7122" s="2">
        <f>28500+54000</f>
        <v>82500</v>
      </c>
    </row>
    <row r="7123" spans="1:5" x14ac:dyDescent="0.25">
      <c r="A7123" s="1">
        <v>43622</v>
      </c>
      <c r="B7123">
        <v>123079</v>
      </c>
      <c r="C7123" t="s">
        <v>6284</v>
      </c>
      <c r="D7123" t="s">
        <v>6273</v>
      </c>
      <c r="E7123" s="2">
        <v>26.8</v>
      </c>
    </row>
    <row r="7124" spans="1:5" x14ac:dyDescent="0.25">
      <c r="A7124" s="1">
        <v>43622</v>
      </c>
      <c r="B7124">
        <v>123080</v>
      </c>
      <c r="C7124" t="s">
        <v>2675</v>
      </c>
      <c r="D7124" t="s">
        <v>6285</v>
      </c>
      <c r="E7124" s="2">
        <v>1000</v>
      </c>
    </row>
    <row r="7125" spans="1:5" x14ac:dyDescent="0.25">
      <c r="A7125" s="1">
        <v>43622</v>
      </c>
      <c r="B7125">
        <v>123080</v>
      </c>
      <c r="C7125" t="s">
        <v>2675</v>
      </c>
      <c r="D7125" t="s">
        <v>5262</v>
      </c>
      <c r="E7125" s="2">
        <v>500</v>
      </c>
    </row>
    <row r="7126" spans="1:5" x14ac:dyDescent="0.25">
      <c r="A7126" s="1">
        <v>43622</v>
      </c>
      <c r="B7126">
        <v>123081</v>
      </c>
      <c r="C7126" t="s">
        <v>6286</v>
      </c>
      <c r="D7126" t="s">
        <v>6273</v>
      </c>
      <c r="E7126" s="2">
        <v>20</v>
      </c>
    </row>
    <row r="7127" spans="1:5" x14ac:dyDescent="0.25">
      <c r="A7127" s="1">
        <v>43622</v>
      </c>
      <c r="B7127">
        <v>123082</v>
      </c>
      <c r="C7127" t="s">
        <v>264</v>
      </c>
      <c r="D7127" t="s">
        <v>6287</v>
      </c>
      <c r="E7127" s="2">
        <v>118.36</v>
      </c>
    </row>
    <row r="7128" spans="1:5" x14ac:dyDescent="0.25">
      <c r="A7128" s="1">
        <v>43622</v>
      </c>
      <c r="B7128">
        <v>123083</v>
      </c>
      <c r="C7128" t="s">
        <v>5003</v>
      </c>
      <c r="D7128" t="s">
        <v>5004</v>
      </c>
      <c r="E7128" s="2">
        <v>3375</v>
      </c>
    </row>
    <row r="7129" spans="1:5" x14ac:dyDescent="0.25">
      <c r="A7129" s="1">
        <v>43622</v>
      </c>
      <c r="B7129">
        <v>123084</v>
      </c>
      <c r="C7129" t="s">
        <v>6288</v>
      </c>
      <c r="D7129" t="s">
        <v>6289</v>
      </c>
      <c r="E7129" s="2">
        <v>400</v>
      </c>
    </row>
    <row r="7130" spans="1:5" x14ac:dyDescent="0.25">
      <c r="A7130" s="1">
        <v>43622</v>
      </c>
      <c r="B7130">
        <v>123085</v>
      </c>
      <c r="C7130" t="s">
        <v>6290</v>
      </c>
      <c r="D7130" t="s">
        <v>6273</v>
      </c>
      <c r="E7130" s="2">
        <v>11.95</v>
      </c>
    </row>
    <row r="7131" spans="1:5" x14ac:dyDescent="0.25">
      <c r="A7131" s="1">
        <v>43622</v>
      </c>
      <c r="B7131">
        <v>123086</v>
      </c>
      <c r="C7131" t="s">
        <v>275</v>
      </c>
      <c r="D7131" t="s">
        <v>6291</v>
      </c>
      <c r="E7131" s="2">
        <v>682.5</v>
      </c>
    </row>
    <row r="7132" spans="1:5" x14ac:dyDescent="0.25">
      <c r="A7132" s="1">
        <v>43622</v>
      </c>
      <c r="B7132">
        <v>123087</v>
      </c>
      <c r="C7132" t="s">
        <v>5260</v>
      </c>
      <c r="D7132" t="s">
        <v>6292</v>
      </c>
      <c r="E7132" s="2">
        <v>447.67</v>
      </c>
    </row>
    <row r="7133" spans="1:5" x14ac:dyDescent="0.25">
      <c r="A7133" s="1">
        <v>43622</v>
      </c>
      <c r="B7133">
        <v>123088</v>
      </c>
      <c r="C7133" t="s">
        <v>6293</v>
      </c>
      <c r="D7133" t="s">
        <v>6294</v>
      </c>
      <c r="E7133" s="2">
        <v>39.049999999999997</v>
      </c>
    </row>
    <row r="7134" spans="1:5" x14ac:dyDescent="0.25">
      <c r="A7134" s="1">
        <v>43622</v>
      </c>
      <c r="B7134">
        <v>123092</v>
      </c>
      <c r="C7134" t="s">
        <v>869</v>
      </c>
      <c r="D7134" t="s">
        <v>6295</v>
      </c>
      <c r="E7134" s="2">
        <f>2973.84+102.94+382.81</f>
        <v>3459.59</v>
      </c>
    </row>
    <row r="7135" spans="1:5" x14ac:dyDescent="0.25">
      <c r="A7135" s="1">
        <v>43622</v>
      </c>
      <c r="B7135">
        <v>123092</v>
      </c>
      <c r="C7135" t="s">
        <v>869</v>
      </c>
      <c r="D7135" t="s">
        <v>6296</v>
      </c>
      <c r="E7135" s="2">
        <v>1078.25</v>
      </c>
    </row>
    <row r="7136" spans="1:5" x14ac:dyDescent="0.25">
      <c r="A7136" s="1">
        <v>43622</v>
      </c>
      <c r="B7136">
        <v>123093</v>
      </c>
      <c r="C7136" t="s">
        <v>134</v>
      </c>
      <c r="D7136" t="s">
        <v>6297</v>
      </c>
      <c r="E7136" s="2">
        <v>150</v>
      </c>
    </row>
    <row r="7137" spans="1:5" x14ac:dyDescent="0.25">
      <c r="A7137" s="1">
        <v>43622</v>
      </c>
      <c r="B7137">
        <v>123094</v>
      </c>
      <c r="C7137" t="s">
        <v>2259</v>
      </c>
      <c r="D7137" t="s">
        <v>598</v>
      </c>
      <c r="E7137" s="2">
        <v>0</v>
      </c>
    </row>
    <row r="7138" spans="1:5" x14ac:dyDescent="0.25">
      <c r="A7138" s="1">
        <v>43622</v>
      </c>
      <c r="B7138">
        <v>123095</v>
      </c>
      <c r="C7138" t="s">
        <v>47</v>
      </c>
      <c r="D7138" t="s">
        <v>6298</v>
      </c>
      <c r="E7138" s="2">
        <v>2271.15</v>
      </c>
    </row>
    <row r="7139" spans="1:5" x14ac:dyDescent="0.25">
      <c r="A7139" s="1">
        <v>43622</v>
      </c>
      <c r="B7139">
        <v>123096</v>
      </c>
      <c r="C7139" t="s">
        <v>74</v>
      </c>
      <c r="D7139" t="s">
        <v>4805</v>
      </c>
      <c r="E7139" s="2">
        <v>-7.16</v>
      </c>
    </row>
    <row r="7140" spans="1:5" x14ac:dyDescent="0.25">
      <c r="A7140" s="1">
        <v>43622</v>
      </c>
      <c r="B7140">
        <v>123096</v>
      </c>
      <c r="C7140" t="s">
        <v>74</v>
      </c>
      <c r="D7140" t="s">
        <v>6299</v>
      </c>
      <c r="E7140" s="2">
        <v>1085.03</v>
      </c>
    </row>
    <row r="7141" spans="1:5" x14ac:dyDescent="0.25">
      <c r="A7141" s="1">
        <v>43622</v>
      </c>
      <c r="B7141">
        <v>123097</v>
      </c>
      <c r="C7141" t="s">
        <v>142</v>
      </c>
      <c r="D7141" s="10" t="s">
        <v>6300</v>
      </c>
      <c r="E7141" s="2">
        <f>25.5+25.5+25.5</f>
        <v>76.5</v>
      </c>
    </row>
    <row r="7142" spans="1:5" x14ac:dyDescent="0.25">
      <c r="A7142" s="1">
        <v>43622</v>
      </c>
      <c r="B7142">
        <v>123098</v>
      </c>
      <c r="C7142" t="s">
        <v>730</v>
      </c>
      <c r="D7142" t="s">
        <v>6301</v>
      </c>
      <c r="E7142" s="2">
        <v>624</v>
      </c>
    </row>
    <row r="7143" spans="1:5" x14ac:dyDescent="0.25">
      <c r="A7143" s="1">
        <v>43622</v>
      </c>
      <c r="B7143">
        <v>123099</v>
      </c>
      <c r="C7143" t="s">
        <v>4497</v>
      </c>
      <c r="D7143" t="s">
        <v>6302</v>
      </c>
      <c r="E7143" s="2">
        <v>195</v>
      </c>
    </row>
    <row r="7144" spans="1:5" x14ac:dyDescent="0.25">
      <c r="A7144" s="1">
        <v>43622</v>
      </c>
      <c r="B7144">
        <v>123100</v>
      </c>
      <c r="C7144" t="s">
        <v>75</v>
      </c>
      <c r="D7144" t="s">
        <v>6303</v>
      </c>
      <c r="E7144" s="2">
        <f>24.95+35.32+98.56</f>
        <v>158.82999999999998</v>
      </c>
    </row>
    <row r="7145" spans="1:5" x14ac:dyDescent="0.25">
      <c r="A7145" s="1">
        <v>43622</v>
      </c>
      <c r="B7145">
        <v>123101</v>
      </c>
      <c r="C7145" t="s">
        <v>875</v>
      </c>
      <c r="D7145" t="s">
        <v>6304</v>
      </c>
      <c r="E7145" s="2">
        <v>250</v>
      </c>
    </row>
    <row r="7146" spans="1:5" x14ac:dyDescent="0.25">
      <c r="A7146" s="1">
        <v>43622</v>
      </c>
      <c r="B7146">
        <v>123101</v>
      </c>
      <c r="C7146" t="s">
        <v>875</v>
      </c>
      <c r="D7146" t="s">
        <v>6305</v>
      </c>
      <c r="E7146" s="2">
        <v>250</v>
      </c>
    </row>
    <row r="7147" spans="1:5" x14ac:dyDescent="0.25">
      <c r="A7147" s="1">
        <v>43622</v>
      </c>
      <c r="B7147">
        <v>123102</v>
      </c>
      <c r="C7147" t="s">
        <v>6306</v>
      </c>
      <c r="D7147" t="s">
        <v>6307</v>
      </c>
      <c r="E7147" s="2">
        <v>25.45</v>
      </c>
    </row>
    <row r="7148" spans="1:5" x14ac:dyDescent="0.25">
      <c r="A7148" s="1">
        <v>43622</v>
      </c>
      <c r="B7148">
        <v>123103</v>
      </c>
      <c r="C7148" t="s">
        <v>6308</v>
      </c>
      <c r="D7148" t="s">
        <v>6307</v>
      </c>
      <c r="E7148" s="2">
        <v>22.3</v>
      </c>
    </row>
    <row r="7149" spans="1:5" x14ac:dyDescent="0.25">
      <c r="A7149" s="1">
        <v>43622</v>
      </c>
      <c r="B7149">
        <v>123104</v>
      </c>
      <c r="C7149" t="s">
        <v>1494</v>
      </c>
      <c r="D7149" t="s">
        <v>6309</v>
      </c>
      <c r="E7149" s="2">
        <v>89.1</v>
      </c>
    </row>
    <row r="7150" spans="1:5" x14ac:dyDescent="0.25">
      <c r="A7150" s="1">
        <v>43622</v>
      </c>
      <c r="B7150">
        <v>123105</v>
      </c>
      <c r="C7150" t="s">
        <v>295</v>
      </c>
      <c r="D7150" t="s">
        <v>6310</v>
      </c>
      <c r="E7150" s="2">
        <v>2883.6</v>
      </c>
    </row>
    <row r="7151" spans="1:5" x14ac:dyDescent="0.25">
      <c r="A7151" s="1">
        <v>43622</v>
      </c>
      <c r="B7151">
        <v>123106</v>
      </c>
      <c r="C7151" t="s">
        <v>6311</v>
      </c>
      <c r="D7151" t="s">
        <v>6312</v>
      </c>
      <c r="E7151" s="2">
        <v>1200</v>
      </c>
    </row>
    <row r="7152" spans="1:5" x14ac:dyDescent="0.25">
      <c r="A7152" s="1">
        <v>43622</v>
      </c>
      <c r="B7152">
        <v>123107</v>
      </c>
      <c r="C7152" t="s">
        <v>50</v>
      </c>
      <c r="D7152" t="s">
        <v>6313</v>
      </c>
      <c r="E7152" s="2">
        <v>4450</v>
      </c>
    </row>
    <row r="7153" spans="1:5" x14ac:dyDescent="0.25">
      <c r="A7153" s="1">
        <v>43622</v>
      </c>
      <c r="B7153">
        <v>123108</v>
      </c>
      <c r="C7153" t="s">
        <v>6314</v>
      </c>
      <c r="D7153" t="s">
        <v>6307</v>
      </c>
      <c r="E7153" s="2">
        <v>13.75</v>
      </c>
    </row>
    <row r="7154" spans="1:5" x14ac:dyDescent="0.25">
      <c r="A7154" s="1">
        <v>43622</v>
      </c>
      <c r="B7154">
        <v>123109</v>
      </c>
      <c r="C7154" t="s">
        <v>629</v>
      </c>
      <c r="D7154" t="s">
        <v>6315</v>
      </c>
      <c r="E7154" s="2">
        <v>552.29999999999995</v>
      </c>
    </row>
    <row r="7155" spans="1:5" x14ac:dyDescent="0.25">
      <c r="A7155" s="1">
        <v>43622</v>
      </c>
      <c r="B7155">
        <v>123110</v>
      </c>
      <c r="C7155" t="s">
        <v>629</v>
      </c>
      <c r="D7155" t="s">
        <v>6316</v>
      </c>
      <c r="E7155" s="2">
        <v>145.6</v>
      </c>
    </row>
    <row r="7156" spans="1:5" x14ac:dyDescent="0.25">
      <c r="A7156" s="1">
        <v>43622</v>
      </c>
      <c r="B7156">
        <v>123111</v>
      </c>
      <c r="C7156" t="s">
        <v>750</v>
      </c>
      <c r="D7156" t="s">
        <v>6317</v>
      </c>
      <c r="E7156" s="2">
        <v>3990</v>
      </c>
    </row>
    <row r="7157" spans="1:5" x14ac:dyDescent="0.25">
      <c r="A7157" s="1">
        <v>43622</v>
      </c>
      <c r="B7157">
        <v>123112</v>
      </c>
      <c r="C7157" t="s">
        <v>1848</v>
      </c>
      <c r="D7157" t="s">
        <v>6318</v>
      </c>
      <c r="E7157" s="2">
        <f>226.94+21.98</f>
        <v>248.92</v>
      </c>
    </row>
    <row r="7158" spans="1:5" x14ac:dyDescent="0.25">
      <c r="A7158" s="1">
        <v>43622</v>
      </c>
      <c r="B7158">
        <v>123113</v>
      </c>
      <c r="C7158" t="s">
        <v>16</v>
      </c>
      <c r="D7158" t="s">
        <v>4116</v>
      </c>
      <c r="E7158" s="2">
        <v>2.1800000000000002</v>
      </c>
    </row>
    <row r="7159" spans="1:5" x14ac:dyDescent="0.25">
      <c r="A7159" s="1">
        <v>43622</v>
      </c>
      <c r="B7159">
        <v>123114</v>
      </c>
      <c r="C7159" t="s">
        <v>765</v>
      </c>
      <c r="D7159" t="s">
        <v>6319</v>
      </c>
      <c r="E7159" s="2">
        <v>625.30999999999995</v>
      </c>
    </row>
    <row r="7160" spans="1:5" x14ac:dyDescent="0.25">
      <c r="A7160" s="1">
        <v>43622</v>
      </c>
      <c r="B7160">
        <v>123115</v>
      </c>
      <c r="C7160" t="s">
        <v>160</v>
      </c>
      <c r="D7160" t="s">
        <v>6320</v>
      </c>
      <c r="E7160" s="2">
        <v>550</v>
      </c>
    </row>
    <row r="7161" spans="1:5" x14ac:dyDescent="0.25">
      <c r="A7161" s="1">
        <v>43622</v>
      </c>
      <c r="B7161">
        <v>123116</v>
      </c>
      <c r="C7161" t="s">
        <v>6321</v>
      </c>
      <c r="D7161" t="s">
        <v>6307</v>
      </c>
      <c r="E7161" s="2">
        <v>4</v>
      </c>
    </row>
    <row r="7162" spans="1:5" x14ac:dyDescent="0.25">
      <c r="A7162" s="1">
        <v>43622</v>
      </c>
      <c r="B7162">
        <v>123117</v>
      </c>
      <c r="C7162" t="s">
        <v>768</v>
      </c>
      <c r="D7162" t="s">
        <v>6322</v>
      </c>
      <c r="E7162" s="2">
        <v>4900</v>
      </c>
    </row>
    <row r="7163" spans="1:5" x14ac:dyDescent="0.25">
      <c r="A7163" s="1">
        <v>43622</v>
      </c>
      <c r="B7163">
        <v>123118</v>
      </c>
      <c r="C7163" t="s">
        <v>213</v>
      </c>
      <c r="D7163" t="s">
        <v>6323</v>
      </c>
      <c r="E7163" s="2">
        <v>49.52</v>
      </c>
    </row>
    <row r="7164" spans="1:5" x14ac:dyDescent="0.25">
      <c r="A7164" s="1">
        <v>43622</v>
      </c>
      <c r="B7164">
        <v>123119</v>
      </c>
      <c r="C7164" t="s">
        <v>1516</v>
      </c>
      <c r="D7164" t="s">
        <v>6324</v>
      </c>
      <c r="E7164" s="2">
        <v>72</v>
      </c>
    </row>
    <row r="7165" spans="1:5" x14ac:dyDescent="0.25">
      <c r="A7165" s="1">
        <v>43622</v>
      </c>
      <c r="B7165">
        <v>123120</v>
      </c>
      <c r="C7165" t="s">
        <v>164</v>
      </c>
      <c r="D7165" t="s">
        <v>6325</v>
      </c>
      <c r="E7165" s="2">
        <v>110</v>
      </c>
    </row>
    <row r="7166" spans="1:5" x14ac:dyDescent="0.25">
      <c r="A7166" s="1">
        <v>43622</v>
      </c>
      <c r="B7166">
        <v>123121</v>
      </c>
      <c r="C7166" t="s">
        <v>6326</v>
      </c>
      <c r="D7166" t="s">
        <v>6327</v>
      </c>
      <c r="E7166" s="2">
        <v>1440</v>
      </c>
    </row>
    <row r="7167" spans="1:5" x14ac:dyDescent="0.25">
      <c r="A7167" s="1">
        <v>43622</v>
      </c>
      <c r="B7167">
        <v>123122</v>
      </c>
      <c r="C7167" t="s">
        <v>6328</v>
      </c>
      <c r="D7167" t="s">
        <v>6329</v>
      </c>
      <c r="E7167" s="2">
        <v>4375</v>
      </c>
    </row>
    <row r="7168" spans="1:5" x14ac:dyDescent="0.25">
      <c r="A7168" s="1">
        <v>43622</v>
      </c>
      <c r="B7168">
        <v>123123</v>
      </c>
      <c r="C7168" t="s">
        <v>366</v>
      </c>
      <c r="D7168" t="s">
        <v>6330</v>
      </c>
      <c r="E7168" s="2">
        <v>200</v>
      </c>
    </row>
    <row r="7169" spans="1:5" x14ac:dyDescent="0.25">
      <c r="A7169" s="1">
        <v>43622</v>
      </c>
      <c r="B7169">
        <v>123124</v>
      </c>
      <c r="C7169" t="s">
        <v>1264</v>
      </c>
      <c r="D7169" t="s">
        <v>6331</v>
      </c>
      <c r="E7169" s="2">
        <v>13000</v>
      </c>
    </row>
    <row r="7170" spans="1:5" x14ac:dyDescent="0.25">
      <c r="A7170" s="1">
        <v>43622</v>
      </c>
      <c r="B7170">
        <v>123125</v>
      </c>
      <c r="C7170" t="s">
        <v>324</v>
      </c>
      <c r="D7170" t="s">
        <v>6332</v>
      </c>
      <c r="E7170" s="2">
        <v>5000</v>
      </c>
    </row>
    <row r="7171" spans="1:5" x14ac:dyDescent="0.25">
      <c r="A7171" s="1">
        <v>43622</v>
      </c>
      <c r="B7171">
        <v>123126</v>
      </c>
      <c r="C7171" t="s">
        <v>6333</v>
      </c>
      <c r="D7171" t="s">
        <v>6334</v>
      </c>
      <c r="E7171" s="2">
        <v>300</v>
      </c>
    </row>
    <row r="7172" spans="1:5" x14ac:dyDescent="0.25">
      <c r="A7172" s="1">
        <v>43622</v>
      </c>
      <c r="B7172">
        <v>123127</v>
      </c>
      <c r="C7172" t="s">
        <v>6335</v>
      </c>
      <c r="D7172" t="s">
        <v>6307</v>
      </c>
      <c r="E7172" s="2">
        <v>14.65</v>
      </c>
    </row>
    <row r="7173" spans="1:5" x14ac:dyDescent="0.25">
      <c r="A7173" s="1">
        <v>43622</v>
      </c>
      <c r="B7173">
        <v>123128</v>
      </c>
      <c r="C7173" t="s">
        <v>644</v>
      </c>
      <c r="D7173" t="s">
        <v>6336</v>
      </c>
      <c r="E7173" s="2">
        <v>70.67</v>
      </c>
    </row>
    <row r="7174" spans="1:5" x14ac:dyDescent="0.25">
      <c r="A7174" s="1">
        <v>43622</v>
      </c>
      <c r="B7174">
        <v>123128</v>
      </c>
      <c r="C7174" t="s">
        <v>644</v>
      </c>
      <c r="D7174" t="s">
        <v>6337</v>
      </c>
      <c r="E7174" s="2">
        <f>46.34+87.36+53.98</f>
        <v>187.67999999999998</v>
      </c>
    </row>
    <row r="7175" spans="1:5" x14ac:dyDescent="0.25">
      <c r="A7175" s="1">
        <v>43622</v>
      </c>
      <c r="B7175">
        <v>123130</v>
      </c>
      <c r="C7175" t="s">
        <v>392</v>
      </c>
      <c r="D7175" t="s">
        <v>2458</v>
      </c>
      <c r="E7175" s="2">
        <v>15628.41</v>
      </c>
    </row>
    <row r="7176" spans="1:5" x14ac:dyDescent="0.25">
      <c r="A7176" s="1">
        <v>43628</v>
      </c>
      <c r="B7176">
        <v>123131</v>
      </c>
      <c r="C7176" t="s">
        <v>812</v>
      </c>
      <c r="D7176" t="s">
        <v>6338</v>
      </c>
      <c r="E7176" s="2">
        <v>1895</v>
      </c>
    </row>
    <row r="7177" spans="1:5" x14ac:dyDescent="0.25">
      <c r="A7177" s="1">
        <v>43628</v>
      </c>
      <c r="B7177">
        <v>123132</v>
      </c>
      <c r="C7177" t="s">
        <v>64</v>
      </c>
      <c r="D7177" t="s">
        <v>6339</v>
      </c>
      <c r="E7177" s="2">
        <v>632</v>
      </c>
    </row>
    <row r="7178" spans="1:5" x14ac:dyDescent="0.25">
      <c r="A7178" s="1">
        <v>43628</v>
      </c>
      <c r="B7178">
        <v>123133</v>
      </c>
      <c r="C7178" t="s">
        <v>2165</v>
      </c>
      <c r="D7178" t="s">
        <v>6340</v>
      </c>
      <c r="E7178" s="2">
        <v>310.95</v>
      </c>
    </row>
    <row r="7179" spans="1:5" x14ac:dyDescent="0.25">
      <c r="A7179" s="1">
        <v>43628</v>
      </c>
      <c r="B7179">
        <v>123134</v>
      </c>
      <c r="C7179" t="s">
        <v>6341</v>
      </c>
      <c r="D7179" t="s">
        <v>6342</v>
      </c>
      <c r="E7179" s="2">
        <v>600</v>
      </c>
    </row>
    <row r="7180" spans="1:5" x14ac:dyDescent="0.25">
      <c r="A7180" s="1">
        <v>43628</v>
      </c>
      <c r="B7180">
        <v>123135</v>
      </c>
      <c r="C7180" t="s">
        <v>198</v>
      </c>
      <c r="D7180" t="s">
        <v>6343</v>
      </c>
      <c r="E7180" s="2">
        <v>514</v>
      </c>
    </row>
    <row r="7181" spans="1:5" x14ac:dyDescent="0.25">
      <c r="A7181" s="1">
        <v>43628</v>
      </c>
      <c r="B7181">
        <v>123136</v>
      </c>
      <c r="C7181" t="s">
        <v>365</v>
      </c>
      <c r="D7181" t="s">
        <v>6344</v>
      </c>
      <c r="E7181" s="2">
        <f>20.08+76.04+15.06+17.57</f>
        <v>128.75</v>
      </c>
    </row>
    <row r="7182" spans="1:5" x14ac:dyDescent="0.25">
      <c r="A7182" s="1">
        <v>43628</v>
      </c>
      <c r="B7182">
        <v>123137</v>
      </c>
      <c r="C7182" t="s">
        <v>74</v>
      </c>
      <c r="D7182" t="s">
        <v>6345</v>
      </c>
      <c r="E7182" s="2">
        <v>1305</v>
      </c>
    </row>
    <row r="7183" spans="1:5" x14ac:dyDescent="0.25">
      <c r="A7183" s="1">
        <v>43628</v>
      </c>
      <c r="B7183">
        <v>123138</v>
      </c>
      <c r="C7183" t="s">
        <v>6346</v>
      </c>
      <c r="D7183" t="s">
        <v>6347</v>
      </c>
      <c r="E7183" s="2">
        <v>270</v>
      </c>
    </row>
    <row r="7184" spans="1:5" x14ac:dyDescent="0.25">
      <c r="A7184" s="1">
        <v>43628</v>
      </c>
      <c r="B7184">
        <v>123139</v>
      </c>
      <c r="C7184" t="s">
        <v>6348</v>
      </c>
      <c r="D7184" t="s">
        <v>6349</v>
      </c>
      <c r="E7184" s="2">
        <v>95</v>
      </c>
    </row>
    <row r="7185" spans="1:5" x14ac:dyDescent="0.25">
      <c r="A7185" s="1">
        <v>43628</v>
      </c>
      <c r="B7185">
        <v>123139</v>
      </c>
      <c r="C7185" t="s">
        <v>6348</v>
      </c>
      <c r="D7185" t="s">
        <v>6350</v>
      </c>
      <c r="E7185" s="2">
        <v>385</v>
      </c>
    </row>
    <row r="7186" spans="1:5" x14ac:dyDescent="0.25">
      <c r="A7186" s="1">
        <v>43628</v>
      </c>
      <c r="B7186">
        <v>123140</v>
      </c>
      <c r="C7186" t="s">
        <v>77</v>
      </c>
      <c r="D7186" t="s">
        <v>6351</v>
      </c>
      <c r="E7186" s="2">
        <v>89.32</v>
      </c>
    </row>
    <row r="7187" spans="1:5" x14ac:dyDescent="0.25">
      <c r="A7187" s="1">
        <v>43628</v>
      </c>
      <c r="B7187">
        <v>123141</v>
      </c>
      <c r="C7187" t="s">
        <v>6352</v>
      </c>
      <c r="D7187" t="s">
        <v>6353</v>
      </c>
      <c r="E7187" s="2">
        <v>200</v>
      </c>
    </row>
    <row r="7188" spans="1:5" x14ac:dyDescent="0.25">
      <c r="A7188" s="1">
        <v>43628</v>
      </c>
      <c r="B7188">
        <v>123142</v>
      </c>
      <c r="C7188" t="s">
        <v>3413</v>
      </c>
      <c r="D7188" t="s">
        <v>6354</v>
      </c>
      <c r="E7188" s="2">
        <v>126</v>
      </c>
    </row>
    <row r="7189" spans="1:5" x14ac:dyDescent="0.25">
      <c r="A7189" s="1">
        <v>43628</v>
      </c>
      <c r="B7189">
        <v>123143</v>
      </c>
      <c r="C7189" t="s">
        <v>17</v>
      </c>
      <c r="D7189" t="s">
        <v>6349</v>
      </c>
      <c r="E7189" s="2">
        <v>85</v>
      </c>
    </row>
    <row r="7190" spans="1:5" x14ac:dyDescent="0.25">
      <c r="A7190" s="1">
        <v>43628</v>
      </c>
      <c r="B7190">
        <v>123144</v>
      </c>
      <c r="C7190" t="s">
        <v>1746</v>
      </c>
      <c r="D7190" t="s">
        <v>6355</v>
      </c>
      <c r="E7190" s="2">
        <v>2000</v>
      </c>
    </row>
    <row r="7191" spans="1:5" x14ac:dyDescent="0.25">
      <c r="A7191" s="1">
        <v>43629</v>
      </c>
      <c r="B7191">
        <v>123145</v>
      </c>
      <c r="C7191" t="s">
        <v>1139</v>
      </c>
      <c r="D7191" t="s">
        <v>6356</v>
      </c>
      <c r="E7191" s="2">
        <v>34164.910000000003</v>
      </c>
    </row>
    <row r="7192" spans="1:5" x14ac:dyDescent="0.25">
      <c r="A7192" s="1">
        <v>43629</v>
      </c>
      <c r="B7192">
        <v>123149</v>
      </c>
      <c r="C7192" t="s">
        <v>238</v>
      </c>
      <c r="D7192" t="s">
        <v>6357</v>
      </c>
      <c r="E7192" s="2">
        <v>1554.62</v>
      </c>
    </row>
    <row r="7193" spans="1:5" x14ac:dyDescent="0.25">
      <c r="A7193" s="1">
        <v>43629</v>
      </c>
      <c r="B7193">
        <v>123150</v>
      </c>
      <c r="C7193" t="s">
        <v>3590</v>
      </c>
      <c r="D7193" t="s">
        <v>6358</v>
      </c>
      <c r="E7193" s="2">
        <v>400</v>
      </c>
    </row>
    <row r="7194" spans="1:5" x14ac:dyDescent="0.25">
      <c r="A7194" s="1">
        <v>43629</v>
      </c>
      <c r="B7194">
        <v>123151</v>
      </c>
      <c r="C7194" t="s">
        <v>6359</v>
      </c>
      <c r="D7194" t="s">
        <v>6360</v>
      </c>
      <c r="E7194" s="2">
        <f>10542.93+31628.79</f>
        <v>42171.72</v>
      </c>
    </row>
    <row r="7195" spans="1:5" x14ac:dyDescent="0.25">
      <c r="A7195" s="1">
        <v>43629</v>
      </c>
      <c r="B7195">
        <v>123152</v>
      </c>
      <c r="C7195" t="s">
        <v>6361</v>
      </c>
      <c r="D7195" t="s">
        <v>6362</v>
      </c>
      <c r="E7195" s="2">
        <v>39.049999999999997</v>
      </c>
    </row>
    <row r="7196" spans="1:5" x14ac:dyDescent="0.25">
      <c r="A7196" s="1">
        <v>43629</v>
      </c>
      <c r="B7196">
        <v>123153</v>
      </c>
      <c r="C7196" t="s">
        <v>68</v>
      </c>
      <c r="D7196" t="s">
        <v>6363</v>
      </c>
      <c r="E7196" s="2">
        <v>71.239999999999995</v>
      </c>
    </row>
    <row r="7197" spans="1:5" x14ac:dyDescent="0.25">
      <c r="A7197" s="1">
        <v>43629</v>
      </c>
      <c r="B7197">
        <v>123154</v>
      </c>
      <c r="C7197" t="s">
        <v>1177</v>
      </c>
      <c r="D7197" t="s">
        <v>1448</v>
      </c>
      <c r="E7197" s="2">
        <v>35</v>
      </c>
    </row>
    <row r="7198" spans="1:5" x14ac:dyDescent="0.25">
      <c r="A7198" s="1">
        <v>43629</v>
      </c>
      <c r="B7198">
        <v>123155</v>
      </c>
      <c r="C7198" t="s">
        <v>6364</v>
      </c>
      <c r="D7198" t="s">
        <v>6365</v>
      </c>
      <c r="E7198" s="2">
        <v>100</v>
      </c>
    </row>
    <row r="7199" spans="1:5" x14ac:dyDescent="0.25">
      <c r="A7199" s="1">
        <v>43629</v>
      </c>
      <c r="B7199">
        <v>123156</v>
      </c>
      <c r="C7199" t="s">
        <v>3147</v>
      </c>
      <c r="D7199" t="s">
        <v>6366</v>
      </c>
      <c r="E7199" s="2">
        <v>731.72</v>
      </c>
    </row>
    <row r="7200" spans="1:5" x14ac:dyDescent="0.25">
      <c r="A7200" s="1">
        <v>43629</v>
      </c>
      <c r="B7200">
        <v>123165</v>
      </c>
      <c r="C7200" t="s">
        <v>125</v>
      </c>
      <c r="D7200" t="s">
        <v>2002</v>
      </c>
      <c r="E7200" s="2">
        <v>234.37</v>
      </c>
    </row>
    <row r="7201" spans="1:5" x14ac:dyDescent="0.25">
      <c r="A7201" s="1">
        <v>43629</v>
      </c>
      <c r="B7201">
        <v>123165</v>
      </c>
      <c r="C7201" t="s">
        <v>125</v>
      </c>
      <c r="D7201" t="s">
        <v>6367</v>
      </c>
      <c r="E7201" s="2">
        <v>97.95</v>
      </c>
    </row>
    <row r="7202" spans="1:5" x14ac:dyDescent="0.25">
      <c r="A7202" s="1">
        <v>43629</v>
      </c>
      <c r="B7202">
        <v>123165</v>
      </c>
      <c r="C7202" t="s">
        <v>125</v>
      </c>
      <c r="D7202" t="s">
        <v>6368</v>
      </c>
      <c r="E7202" s="2">
        <f>989.25+35.01+52.97</f>
        <v>1077.23</v>
      </c>
    </row>
    <row r="7203" spans="1:5" x14ac:dyDescent="0.25">
      <c r="A7203" s="1">
        <v>43629</v>
      </c>
      <c r="B7203">
        <v>123165</v>
      </c>
      <c r="C7203" t="s">
        <v>125</v>
      </c>
      <c r="D7203" t="s">
        <v>6369</v>
      </c>
      <c r="E7203" s="2">
        <v>97.63</v>
      </c>
    </row>
    <row r="7204" spans="1:5" x14ac:dyDescent="0.25">
      <c r="A7204" s="1">
        <v>43629</v>
      </c>
      <c r="B7204">
        <v>123165</v>
      </c>
      <c r="C7204" t="s">
        <v>125</v>
      </c>
      <c r="D7204" t="s">
        <v>2002</v>
      </c>
      <c r="E7204" s="2">
        <v>54.43</v>
      </c>
    </row>
    <row r="7205" spans="1:5" x14ac:dyDescent="0.25">
      <c r="A7205" s="1">
        <v>43629</v>
      </c>
      <c r="B7205">
        <v>123165</v>
      </c>
      <c r="C7205" t="s">
        <v>125</v>
      </c>
      <c r="D7205" t="s">
        <v>6370</v>
      </c>
      <c r="E7205" s="2">
        <f>9.54+235.42</f>
        <v>244.95999999999998</v>
      </c>
    </row>
    <row r="7206" spans="1:5" x14ac:dyDescent="0.25">
      <c r="A7206" s="1">
        <v>43629</v>
      </c>
      <c r="B7206">
        <v>123165</v>
      </c>
      <c r="C7206" t="s">
        <v>125</v>
      </c>
      <c r="D7206" t="s">
        <v>6371</v>
      </c>
      <c r="E7206" s="2">
        <f>355.33+338.5</f>
        <v>693.82999999999993</v>
      </c>
    </row>
    <row r="7207" spans="1:5" x14ac:dyDescent="0.25">
      <c r="A7207" s="1">
        <v>43629</v>
      </c>
      <c r="B7207">
        <v>123165</v>
      </c>
      <c r="C7207" t="s">
        <v>125</v>
      </c>
      <c r="D7207" t="s">
        <v>6372</v>
      </c>
      <c r="E7207" s="2">
        <v>19.97</v>
      </c>
    </row>
    <row r="7208" spans="1:5" x14ac:dyDescent="0.25">
      <c r="A7208" s="1">
        <v>43629</v>
      </c>
      <c r="B7208">
        <v>123165</v>
      </c>
      <c r="C7208" t="s">
        <v>125</v>
      </c>
      <c r="D7208" t="s">
        <v>6373</v>
      </c>
      <c r="E7208" s="2">
        <v>39.04</v>
      </c>
    </row>
    <row r="7209" spans="1:5" x14ac:dyDescent="0.25">
      <c r="A7209" s="1">
        <v>43629</v>
      </c>
      <c r="B7209">
        <v>123165</v>
      </c>
      <c r="C7209" t="s">
        <v>125</v>
      </c>
      <c r="D7209" t="s">
        <v>6374</v>
      </c>
      <c r="E7209" s="2">
        <v>146.57</v>
      </c>
    </row>
    <row r="7210" spans="1:5" x14ac:dyDescent="0.25">
      <c r="A7210" s="1">
        <v>43629</v>
      </c>
      <c r="B7210">
        <v>123165</v>
      </c>
      <c r="C7210" t="s">
        <v>125</v>
      </c>
      <c r="D7210" t="s">
        <v>5811</v>
      </c>
      <c r="E7210" s="2">
        <v>39.65</v>
      </c>
    </row>
    <row r="7211" spans="1:5" x14ac:dyDescent="0.25">
      <c r="A7211" s="1">
        <v>43629</v>
      </c>
      <c r="B7211">
        <v>123165</v>
      </c>
      <c r="C7211" t="s">
        <v>125</v>
      </c>
      <c r="D7211" t="s">
        <v>6375</v>
      </c>
      <c r="E7211" s="2">
        <v>79.349999999999994</v>
      </c>
    </row>
    <row r="7212" spans="1:5" x14ac:dyDescent="0.25">
      <c r="A7212" s="1">
        <v>43629</v>
      </c>
      <c r="B7212">
        <v>123165</v>
      </c>
      <c r="C7212" t="s">
        <v>125</v>
      </c>
      <c r="D7212" t="s">
        <v>6376</v>
      </c>
      <c r="E7212" s="2">
        <v>749</v>
      </c>
    </row>
    <row r="7213" spans="1:5" x14ac:dyDescent="0.25">
      <c r="A7213" s="1">
        <v>43629</v>
      </c>
      <c r="B7213">
        <v>123165</v>
      </c>
      <c r="C7213" t="s">
        <v>125</v>
      </c>
      <c r="D7213" t="s">
        <v>6377</v>
      </c>
      <c r="E7213" s="2">
        <f>25.15+39.99+936</f>
        <v>1001.14</v>
      </c>
    </row>
    <row r="7214" spans="1:5" x14ac:dyDescent="0.25">
      <c r="A7214" s="1">
        <v>43629</v>
      </c>
      <c r="B7214">
        <v>123165</v>
      </c>
      <c r="C7214" t="s">
        <v>125</v>
      </c>
      <c r="D7214" t="s">
        <v>6378</v>
      </c>
      <c r="E7214" s="2">
        <f>47.12+46.06+188.48</f>
        <v>281.65999999999997</v>
      </c>
    </row>
    <row r="7215" spans="1:5" x14ac:dyDescent="0.25">
      <c r="A7215" s="1">
        <v>43629</v>
      </c>
      <c r="B7215">
        <v>123165</v>
      </c>
      <c r="C7215" t="s">
        <v>125</v>
      </c>
      <c r="D7215" t="s">
        <v>6379</v>
      </c>
      <c r="E7215" s="2">
        <v>236.56</v>
      </c>
    </row>
    <row r="7216" spans="1:5" x14ac:dyDescent="0.25">
      <c r="A7216" s="1">
        <v>43629</v>
      </c>
      <c r="B7216">
        <v>123165</v>
      </c>
      <c r="C7216" t="s">
        <v>125</v>
      </c>
      <c r="D7216" t="s">
        <v>6296</v>
      </c>
      <c r="E7216" s="2">
        <f>1071.58-81.67</f>
        <v>989.91</v>
      </c>
    </row>
    <row r="7217" spans="1:5" x14ac:dyDescent="0.25">
      <c r="A7217" s="1">
        <v>43629</v>
      </c>
      <c r="B7217">
        <v>123165</v>
      </c>
      <c r="C7217" t="s">
        <v>125</v>
      </c>
      <c r="D7217" t="s">
        <v>6380</v>
      </c>
      <c r="E7217" s="2">
        <v>87.8</v>
      </c>
    </row>
    <row r="7218" spans="1:5" x14ac:dyDescent="0.25">
      <c r="A7218" s="1">
        <v>43629</v>
      </c>
      <c r="B7218">
        <v>123165</v>
      </c>
      <c r="C7218" t="s">
        <v>125</v>
      </c>
      <c r="D7218" t="s">
        <v>481</v>
      </c>
      <c r="E7218" s="2">
        <v>31.38</v>
      </c>
    </row>
    <row r="7219" spans="1:5" x14ac:dyDescent="0.25">
      <c r="A7219" s="1">
        <v>43629</v>
      </c>
      <c r="B7219">
        <v>123165</v>
      </c>
      <c r="C7219" t="s">
        <v>125</v>
      </c>
      <c r="D7219" t="s">
        <v>6381</v>
      </c>
      <c r="E7219" s="2">
        <v>14.63</v>
      </c>
    </row>
    <row r="7220" spans="1:5" x14ac:dyDescent="0.25">
      <c r="A7220" s="1">
        <v>43629</v>
      </c>
      <c r="B7220">
        <v>123166</v>
      </c>
      <c r="C7220" t="s">
        <v>6382</v>
      </c>
      <c r="D7220" t="s">
        <v>6383</v>
      </c>
      <c r="E7220" s="2">
        <v>39.049999999999997</v>
      </c>
    </row>
    <row r="7221" spans="1:5" x14ac:dyDescent="0.25">
      <c r="A7221" s="1">
        <v>43629</v>
      </c>
      <c r="B7221">
        <v>123167</v>
      </c>
      <c r="C7221" t="s">
        <v>269</v>
      </c>
      <c r="D7221" t="s">
        <v>1198</v>
      </c>
      <c r="E7221" s="2">
        <v>63.7</v>
      </c>
    </row>
    <row r="7222" spans="1:5" x14ac:dyDescent="0.25">
      <c r="A7222" s="1">
        <v>43629</v>
      </c>
      <c r="B7222">
        <v>123167</v>
      </c>
      <c r="C7222" t="s">
        <v>269</v>
      </c>
      <c r="D7222" t="s">
        <v>270</v>
      </c>
      <c r="E7222" s="2">
        <f>55+130-170</f>
        <v>15</v>
      </c>
    </row>
    <row r="7223" spans="1:5" x14ac:dyDescent="0.25">
      <c r="A7223" s="1">
        <v>43629</v>
      </c>
      <c r="B7223">
        <v>123168</v>
      </c>
      <c r="C7223" t="s">
        <v>6384</v>
      </c>
      <c r="D7223" t="s">
        <v>6383</v>
      </c>
      <c r="E7223" s="2">
        <v>39.049999999999997</v>
      </c>
    </row>
    <row r="7224" spans="1:5" x14ac:dyDescent="0.25">
      <c r="A7224" s="1">
        <v>43629</v>
      </c>
      <c r="B7224">
        <v>123169</v>
      </c>
      <c r="C7224" t="s">
        <v>12</v>
      </c>
      <c r="D7224" t="s">
        <v>717</v>
      </c>
      <c r="E7224" s="2">
        <v>256.69</v>
      </c>
    </row>
    <row r="7225" spans="1:5" x14ac:dyDescent="0.25">
      <c r="A7225" s="1">
        <v>43629</v>
      </c>
      <c r="B7225">
        <v>123170</v>
      </c>
      <c r="C7225" t="s">
        <v>50</v>
      </c>
      <c r="D7225" t="s">
        <v>6313</v>
      </c>
      <c r="E7225" s="2">
        <v>4450</v>
      </c>
    </row>
    <row r="7226" spans="1:5" x14ac:dyDescent="0.25">
      <c r="A7226" s="1">
        <v>43629</v>
      </c>
      <c r="B7226">
        <v>123171</v>
      </c>
      <c r="C7226" t="s">
        <v>51</v>
      </c>
      <c r="D7226" t="s">
        <v>52</v>
      </c>
      <c r="E7226" s="2">
        <v>61.41</v>
      </c>
    </row>
    <row r="7227" spans="1:5" x14ac:dyDescent="0.25">
      <c r="A7227" s="1">
        <v>43629</v>
      </c>
      <c r="B7227">
        <v>123171</v>
      </c>
      <c r="C7227" t="s">
        <v>51</v>
      </c>
      <c r="D7227" t="s">
        <v>6385</v>
      </c>
      <c r="E7227" s="2">
        <v>75.86</v>
      </c>
    </row>
    <row r="7228" spans="1:5" x14ac:dyDescent="0.25">
      <c r="A7228" s="1">
        <v>43629</v>
      </c>
      <c r="B7228">
        <v>123172</v>
      </c>
      <c r="C7228" t="s">
        <v>80</v>
      </c>
      <c r="D7228" t="s">
        <v>153</v>
      </c>
      <c r="E7228" s="2">
        <v>14.8</v>
      </c>
    </row>
    <row r="7229" spans="1:5" x14ac:dyDescent="0.25">
      <c r="A7229" s="1">
        <v>43629</v>
      </c>
      <c r="B7229">
        <v>123173</v>
      </c>
      <c r="C7229" t="s">
        <v>750</v>
      </c>
      <c r="D7229" t="s">
        <v>6386</v>
      </c>
      <c r="E7229" s="2">
        <v>218.5</v>
      </c>
    </row>
    <row r="7230" spans="1:5" x14ac:dyDescent="0.25">
      <c r="A7230" s="1">
        <v>43629</v>
      </c>
      <c r="B7230">
        <v>123173</v>
      </c>
      <c r="C7230" t="s">
        <v>750</v>
      </c>
      <c r="D7230" t="s">
        <v>6387</v>
      </c>
      <c r="E7230" s="2">
        <v>15600</v>
      </c>
    </row>
    <row r="7231" spans="1:5" x14ac:dyDescent="0.25">
      <c r="A7231" s="1">
        <v>43629</v>
      </c>
      <c r="B7231">
        <v>123174</v>
      </c>
      <c r="C7231" t="s">
        <v>158</v>
      </c>
      <c r="D7231" t="s">
        <v>6388</v>
      </c>
      <c r="E7231" s="2">
        <v>1215.92</v>
      </c>
    </row>
    <row r="7232" spans="1:5" x14ac:dyDescent="0.25">
      <c r="A7232" s="1">
        <v>43629</v>
      </c>
      <c r="B7232">
        <v>123175</v>
      </c>
      <c r="C7232" t="s">
        <v>1516</v>
      </c>
      <c r="D7232" t="s">
        <v>6324</v>
      </c>
      <c r="E7232" s="2">
        <v>72</v>
      </c>
    </row>
    <row r="7233" spans="1:5" x14ac:dyDescent="0.25">
      <c r="A7233" s="1">
        <v>43629</v>
      </c>
      <c r="B7233">
        <v>123176</v>
      </c>
      <c r="C7233" t="s">
        <v>6328</v>
      </c>
      <c r="D7233" t="s">
        <v>6389</v>
      </c>
      <c r="E7233" s="2">
        <v>5000</v>
      </c>
    </row>
    <row r="7234" spans="1:5" x14ac:dyDescent="0.25">
      <c r="A7234" s="1">
        <v>43629</v>
      </c>
      <c r="B7234">
        <v>123177</v>
      </c>
      <c r="C7234" t="s">
        <v>3543</v>
      </c>
      <c r="D7234" t="s">
        <v>6390</v>
      </c>
      <c r="E7234" s="2">
        <v>840</v>
      </c>
    </row>
    <row r="7235" spans="1:5" x14ac:dyDescent="0.25">
      <c r="A7235" s="1">
        <v>43629</v>
      </c>
      <c r="B7235">
        <v>123178</v>
      </c>
      <c r="C7235" t="s">
        <v>181</v>
      </c>
      <c r="D7235" t="s">
        <v>6391</v>
      </c>
      <c r="E7235" s="2">
        <v>1709.55</v>
      </c>
    </row>
    <row r="7236" spans="1:5" x14ac:dyDescent="0.25">
      <c r="A7236" s="1">
        <v>43629</v>
      </c>
      <c r="B7236">
        <v>123179</v>
      </c>
      <c r="C7236" t="s">
        <v>327</v>
      </c>
      <c r="D7236" t="s">
        <v>6392</v>
      </c>
      <c r="E7236" s="2">
        <f>403.9+58.2</f>
        <v>462.09999999999997</v>
      </c>
    </row>
    <row r="7237" spans="1:5" x14ac:dyDescent="0.25">
      <c r="A7237" s="1">
        <v>43629</v>
      </c>
      <c r="B7237">
        <v>123180</v>
      </c>
      <c r="C7237" t="s">
        <v>388</v>
      </c>
      <c r="D7237" t="s">
        <v>6393</v>
      </c>
      <c r="E7237" s="2">
        <v>9974.9500000000007</v>
      </c>
    </row>
    <row r="7238" spans="1:5" x14ac:dyDescent="0.25">
      <c r="A7238" s="1">
        <v>43629</v>
      </c>
      <c r="B7238">
        <v>123180</v>
      </c>
      <c r="C7238" t="s">
        <v>388</v>
      </c>
      <c r="D7238" t="s">
        <v>6394</v>
      </c>
      <c r="E7238" s="2">
        <v>501.59</v>
      </c>
    </row>
    <row r="7239" spans="1:5" x14ac:dyDescent="0.25">
      <c r="A7239" s="1">
        <v>43629</v>
      </c>
      <c r="B7239">
        <v>123181</v>
      </c>
      <c r="C7239" t="s">
        <v>6395</v>
      </c>
      <c r="D7239" t="s">
        <v>1980</v>
      </c>
      <c r="E7239" s="2">
        <v>41.86</v>
      </c>
    </row>
    <row r="7240" spans="1:5" x14ac:dyDescent="0.25">
      <c r="A7240" s="1">
        <v>43629</v>
      </c>
      <c r="B7240">
        <v>123182</v>
      </c>
      <c r="C7240" t="s">
        <v>1290</v>
      </c>
      <c r="D7240" t="s">
        <v>2002</v>
      </c>
      <c r="E7240" s="2">
        <f>116+524</f>
        <v>640</v>
      </c>
    </row>
    <row r="7241" spans="1:5" x14ac:dyDescent="0.25">
      <c r="A7241" s="1">
        <v>43635</v>
      </c>
      <c r="B7241">
        <v>123183</v>
      </c>
      <c r="C7241" t="s">
        <v>2165</v>
      </c>
      <c r="D7241" t="s">
        <v>6396</v>
      </c>
      <c r="E7241" s="2">
        <v>650</v>
      </c>
    </row>
    <row r="7242" spans="1:5" x14ac:dyDescent="0.25">
      <c r="A7242" s="1">
        <v>43635</v>
      </c>
      <c r="B7242">
        <v>123188</v>
      </c>
      <c r="C7242" t="s">
        <v>2259</v>
      </c>
      <c r="D7242" t="s">
        <v>598</v>
      </c>
      <c r="E7242" s="2">
        <v>0</v>
      </c>
    </row>
    <row r="7243" spans="1:5" x14ac:dyDescent="0.25">
      <c r="A7243" s="1">
        <v>43635</v>
      </c>
      <c r="B7243">
        <v>123189</v>
      </c>
      <c r="C7243" t="s">
        <v>3994</v>
      </c>
      <c r="D7243" t="s">
        <v>6397</v>
      </c>
      <c r="E7243" s="2">
        <v>4960.62</v>
      </c>
    </row>
    <row r="7244" spans="1:5" x14ac:dyDescent="0.25">
      <c r="A7244" s="1">
        <v>43635</v>
      </c>
      <c r="B7244">
        <v>123190</v>
      </c>
      <c r="C7244" t="s">
        <v>6398</v>
      </c>
      <c r="D7244" t="s">
        <v>6399</v>
      </c>
      <c r="E7244" s="2">
        <v>593.5</v>
      </c>
    </row>
    <row r="7245" spans="1:5" x14ac:dyDescent="0.25">
      <c r="A7245" s="1">
        <v>43635</v>
      </c>
      <c r="B7245">
        <v>123191</v>
      </c>
      <c r="C7245" t="s">
        <v>6400</v>
      </c>
      <c r="D7245" t="s">
        <v>6401</v>
      </c>
      <c r="E7245" s="2">
        <v>225</v>
      </c>
    </row>
    <row r="7246" spans="1:5" x14ac:dyDescent="0.25">
      <c r="A7246" s="1">
        <v>43635</v>
      </c>
      <c r="B7246">
        <v>123192</v>
      </c>
      <c r="C7246" t="s">
        <v>6402</v>
      </c>
      <c r="D7246" t="s">
        <v>6401</v>
      </c>
      <c r="E7246" s="2">
        <v>225</v>
      </c>
    </row>
    <row r="7247" spans="1:5" x14ac:dyDescent="0.25">
      <c r="A7247" s="1">
        <v>43635</v>
      </c>
      <c r="B7247">
        <v>123193</v>
      </c>
      <c r="C7247" t="s">
        <v>6403</v>
      </c>
      <c r="D7247" t="s">
        <v>6401</v>
      </c>
      <c r="E7247" s="2">
        <v>225</v>
      </c>
    </row>
    <row r="7248" spans="1:5" x14ac:dyDescent="0.25">
      <c r="A7248" s="1">
        <v>43635</v>
      </c>
      <c r="B7248">
        <v>123194</v>
      </c>
      <c r="C7248" t="s">
        <v>6404</v>
      </c>
      <c r="D7248" t="s">
        <v>6401</v>
      </c>
      <c r="E7248" s="2">
        <v>225</v>
      </c>
    </row>
    <row r="7249" spans="1:5" x14ac:dyDescent="0.25">
      <c r="A7249" s="1">
        <v>43635</v>
      </c>
      <c r="B7249">
        <v>123195</v>
      </c>
      <c r="C7249" t="s">
        <v>1177</v>
      </c>
      <c r="D7249" t="s">
        <v>6405</v>
      </c>
      <c r="E7249" s="2">
        <v>105</v>
      </c>
    </row>
    <row r="7250" spans="1:5" x14ac:dyDescent="0.25">
      <c r="A7250" s="1">
        <v>43635</v>
      </c>
      <c r="B7250">
        <v>123196</v>
      </c>
      <c r="C7250" t="s">
        <v>3556</v>
      </c>
      <c r="D7250" t="s">
        <v>6406</v>
      </c>
      <c r="E7250" s="2">
        <v>50</v>
      </c>
    </row>
    <row r="7251" spans="1:5" x14ac:dyDescent="0.25">
      <c r="A7251" s="1">
        <v>43635</v>
      </c>
      <c r="B7251">
        <v>123197</v>
      </c>
      <c r="C7251" t="s">
        <v>199</v>
      </c>
      <c r="D7251" t="s">
        <v>6407</v>
      </c>
      <c r="E7251" s="2">
        <v>594</v>
      </c>
    </row>
    <row r="7252" spans="1:5" x14ac:dyDescent="0.25">
      <c r="A7252" s="1">
        <v>43635</v>
      </c>
      <c r="B7252">
        <v>123198</v>
      </c>
      <c r="C7252" t="s">
        <v>123</v>
      </c>
      <c r="D7252" t="s">
        <v>6408</v>
      </c>
      <c r="E7252" s="2">
        <v>408.4</v>
      </c>
    </row>
    <row r="7253" spans="1:5" x14ac:dyDescent="0.25">
      <c r="A7253" s="1">
        <v>43635</v>
      </c>
      <c r="B7253">
        <v>123198</v>
      </c>
      <c r="C7253" t="s">
        <v>123</v>
      </c>
      <c r="D7253" t="s">
        <v>6409</v>
      </c>
      <c r="E7253" s="2">
        <f>122.52+204.2+40.84</f>
        <v>367.55999999999995</v>
      </c>
    </row>
    <row r="7254" spans="1:5" x14ac:dyDescent="0.25">
      <c r="A7254" s="1">
        <v>43635</v>
      </c>
      <c r="B7254">
        <v>123199</v>
      </c>
      <c r="C7254" t="s">
        <v>6410</v>
      </c>
      <c r="D7254" t="s">
        <v>6411</v>
      </c>
      <c r="E7254" s="2">
        <v>245</v>
      </c>
    </row>
    <row r="7255" spans="1:5" x14ac:dyDescent="0.25">
      <c r="A7255" s="1">
        <v>43635</v>
      </c>
      <c r="B7255">
        <v>123200</v>
      </c>
      <c r="C7255" t="s">
        <v>6412</v>
      </c>
      <c r="D7255" t="s">
        <v>6401</v>
      </c>
      <c r="E7255" s="2">
        <v>225</v>
      </c>
    </row>
    <row r="7256" spans="1:5" x14ac:dyDescent="0.25">
      <c r="A7256" s="1">
        <v>43635</v>
      </c>
      <c r="B7256">
        <v>123201</v>
      </c>
      <c r="C7256" t="s">
        <v>6413</v>
      </c>
      <c r="D7256" t="s">
        <v>6414</v>
      </c>
      <c r="E7256" s="2">
        <v>200</v>
      </c>
    </row>
    <row r="7257" spans="1:5" x14ac:dyDescent="0.25">
      <c r="A7257" s="1">
        <v>43635</v>
      </c>
      <c r="B7257">
        <v>123202</v>
      </c>
      <c r="C7257" t="s">
        <v>6415</v>
      </c>
      <c r="D7257" t="s">
        <v>6401</v>
      </c>
      <c r="E7257" s="2">
        <v>225</v>
      </c>
    </row>
    <row r="7258" spans="1:5" x14ac:dyDescent="0.25">
      <c r="A7258" s="1">
        <v>43635</v>
      </c>
      <c r="B7258">
        <v>123203</v>
      </c>
      <c r="C7258" t="s">
        <v>75</v>
      </c>
      <c r="D7258" t="s">
        <v>6416</v>
      </c>
      <c r="E7258" s="2">
        <v>10.26</v>
      </c>
    </row>
    <row r="7259" spans="1:5" x14ac:dyDescent="0.25">
      <c r="A7259" s="1">
        <v>43635</v>
      </c>
      <c r="B7259">
        <v>123204</v>
      </c>
      <c r="C7259" t="s">
        <v>4280</v>
      </c>
      <c r="D7259" t="s">
        <v>6417</v>
      </c>
      <c r="E7259" s="2">
        <v>300</v>
      </c>
    </row>
    <row r="7260" spans="1:5" x14ac:dyDescent="0.25">
      <c r="A7260" s="1">
        <v>43635</v>
      </c>
      <c r="B7260">
        <v>123205</v>
      </c>
      <c r="C7260" t="s">
        <v>6418</v>
      </c>
      <c r="D7260" t="s">
        <v>6401</v>
      </c>
      <c r="E7260" s="2">
        <v>225</v>
      </c>
    </row>
    <row r="7261" spans="1:5" x14ac:dyDescent="0.25">
      <c r="A7261" s="1">
        <v>43635</v>
      </c>
      <c r="B7261">
        <v>123206</v>
      </c>
      <c r="C7261" t="s">
        <v>6419</v>
      </c>
      <c r="D7261" t="s">
        <v>6420</v>
      </c>
      <c r="E7261" s="2">
        <v>140</v>
      </c>
    </row>
    <row r="7262" spans="1:5" x14ac:dyDescent="0.25">
      <c r="A7262" s="1">
        <v>43635</v>
      </c>
      <c r="B7262">
        <v>123207</v>
      </c>
      <c r="C7262" t="s">
        <v>6421</v>
      </c>
      <c r="D7262" t="s">
        <v>6258</v>
      </c>
      <c r="E7262" s="2">
        <v>300</v>
      </c>
    </row>
    <row r="7263" spans="1:5" x14ac:dyDescent="0.25">
      <c r="A7263" s="1">
        <v>43635</v>
      </c>
      <c r="B7263">
        <v>123208</v>
      </c>
      <c r="C7263" t="s">
        <v>3683</v>
      </c>
      <c r="D7263" t="s">
        <v>6258</v>
      </c>
      <c r="E7263" s="2">
        <v>500</v>
      </c>
    </row>
    <row r="7264" spans="1:5" x14ac:dyDescent="0.25">
      <c r="A7264" s="1">
        <v>43635</v>
      </c>
      <c r="B7264">
        <v>123209</v>
      </c>
      <c r="C7264" t="s">
        <v>5857</v>
      </c>
      <c r="D7264" t="s">
        <v>6422</v>
      </c>
      <c r="E7264" s="2">
        <f>4010+2120</f>
        <v>6130</v>
      </c>
    </row>
    <row r="7265" spans="1:5" x14ac:dyDescent="0.25">
      <c r="A7265" s="1">
        <v>43635</v>
      </c>
      <c r="B7265">
        <v>123210</v>
      </c>
      <c r="C7265" t="s">
        <v>19</v>
      </c>
      <c r="D7265" t="s">
        <v>6423</v>
      </c>
      <c r="E7265" s="2">
        <f>847+2265</f>
        <v>3112</v>
      </c>
    </row>
    <row r="7266" spans="1:5" x14ac:dyDescent="0.25">
      <c r="A7266" s="1">
        <v>43635</v>
      </c>
      <c r="B7266">
        <v>123221</v>
      </c>
      <c r="C7266" t="s">
        <v>1143</v>
      </c>
      <c r="D7266" t="s">
        <v>6424</v>
      </c>
      <c r="E7266" s="2">
        <v>715</v>
      </c>
    </row>
    <row r="7267" spans="1:5" x14ac:dyDescent="0.25">
      <c r="A7267" s="1">
        <v>43635</v>
      </c>
      <c r="B7267">
        <v>123222</v>
      </c>
      <c r="C7267" t="s">
        <v>226</v>
      </c>
      <c r="D7267" t="s">
        <v>6425</v>
      </c>
      <c r="E7267" s="2">
        <f>760.92+305.79</f>
        <v>1066.71</v>
      </c>
    </row>
    <row r="7268" spans="1:5" x14ac:dyDescent="0.25">
      <c r="A7268" s="1">
        <v>43635</v>
      </c>
      <c r="B7268">
        <v>123225</v>
      </c>
      <c r="C7268" t="s">
        <v>189</v>
      </c>
      <c r="D7268" t="s">
        <v>5437</v>
      </c>
      <c r="E7268" s="2">
        <v>43.45</v>
      </c>
    </row>
    <row r="7269" spans="1:5" x14ac:dyDescent="0.25">
      <c r="A7269" s="1">
        <v>43635</v>
      </c>
      <c r="B7269">
        <v>123225</v>
      </c>
      <c r="C7269" t="s">
        <v>189</v>
      </c>
      <c r="D7269" t="s">
        <v>6426</v>
      </c>
      <c r="E7269" s="2">
        <f>1026.98+30.53</f>
        <v>1057.51</v>
      </c>
    </row>
    <row r="7270" spans="1:5" x14ac:dyDescent="0.25">
      <c r="A7270" s="1">
        <v>43635</v>
      </c>
      <c r="B7270">
        <v>123225</v>
      </c>
      <c r="C7270" t="s">
        <v>189</v>
      </c>
      <c r="D7270" t="s">
        <v>6427</v>
      </c>
      <c r="E7270" s="2">
        <v>17.98</v>
      </c>
    </row>
    <row r="7271" spans="1:5" x14ac:dyDescent="0.25">
      <c r="A7271" s="1">
        <v>43635</v>
      </c>
      <c r="B7271">
        <v>123225</v>
      </c>
      <c r="C7271" t="s">
        <v>189</v>
      </c>
      <c r="D7271" t="s">
        <v>6428</v>
      </c>
      <c r="E7271" s="2">
        <v>334.17</v>
      </c>
    </row>
    <row r="7272" spans="1:5" x14ac:dyDescent="0.25">
      <c r="A7272" s="1">
        <v>43635</v>
      </c>
      <c r="B7272">
        <v>123225</v>
      </c>
      <c r="C7272" t="s">
        <v>189</v>
      </c>
      <c r="D7272" t="s">
        <v>6429</v>
      </c>
      <c r="E7272" s="2">
        <v>414.99</v>
      </c>
    </row>
    <row r="7273" spans="1:5" x14ac:dyDescent="0.25">
      <c r="A7273" s="1">
        <v>43635</v>
      </c>
      <c r="B7273">
        <v>123225</v>
      </c>
      <c r="C7273" t="s">
        <v>189</v>
      </c>
      <c r="D7273" t="s">
        <v>6430</v>
      </c>
      <c r="E7273" s="2">
        <v>24.98</v>
      </c>
    </row>
    <row r="7274" spans="1:5" x14ac:dyDescent="0.25">
      <c r="A7274" s="1">
        <v>43635</v>
      </c>
      <c r="B7274">
        <v>123225</v>
      </c>
      <c r="C7274" t="s">
        <v>189</v>
      </c>
      <c r="D7274" t="s">
        <v>6431</v>
      </c>
      <c r="E7274" s="2">
        <f>626+86.79</f>
        <v>712.79</v>
      </c>
    </row>
    <row r="7275" spans="1:5" x14ac:dyDescent="0.25">
      <c r="A7275" s="1">
        <v>43635</v>
      </c>
      <c r="B7275">
        <v>123225</v>
      </c>
      <c r="C7275" t="s">
        <v>189</v>
      </c>
      <c r="D7275" t="s">
        <v>6432</v>
      </c>
      <c r="E7275" s="2">
        <v>10.62</v>
      </c>
    </row>
    <row r="7276" spans="1:5" x14ac:dyDescent="0.25">
      <c r="A7276" s="1">
        <v>43635</v>
      </c>
      <c r="B7276">
        <v>123225</v>
      </c>
      <c r="C7276" t="s">
        <v>189</v>
      </c>
      <c r="D7276" t="s">
        <v>4677</v>
      </c>
      <c r="E7276" s="2">
        <v>-134.07</v>
      </c>
    </row>
    <row r="7277" spans="1:5" x14ac:dyDescent="0.25">
      <c r="A7277" s="1">
        <v>43635</v>
      </c>
      <c r="B7277">
        <v>123226</v>
      </c>
      <c r="C7277" t="s">
        <v>235</v>
      </c>
      <c r="D7277" t="s">
        <v>6433</v>
      </c>
      <c r="E7277" s="2">
        <v>268</v>
      </c>
    </row>
    <row r="7278" spans="1:5" x14ac:dyDescent="0.25">
      <c r="A7278" s="1">
        <v>43635</v>
      </c>
      <c r="B7278">
        <v>123226</v>
      </c>
      <c r="C7278" t="s">
        <v>235</v>
      </c>
      <c r="D7278" t="s">
        <v>6434</v>
      </c>
      <c r="E7278" s="2">
        <v>8915.5</v>
      </c>
    </row>
    <row r="7279" spans="1:5" x14ac:dyDescent="0.25">
      <c r="A7279" s="1">
        <v>43635</v>
      </c>
      <c r="B7279">
        <v>123227</v>
      </c>
      <c r="C7279" t="s">
        <v>343</v>
      </c>
      <c r="D7279" t="s">
        <v>1987</v>
      </c>
      <c r="E7279" s="2">
        <v>4.5</v>
      </c>
    </row>
    <row r="7280" spans="1:5" x14ac:dyDescent="0.25">
      <c r="A7280" s="1">
        <v>43635</v>
      </c>
      <c r="B7280">
        <v>123228</v>
      </c>
      <c r="C7280" t="s">
        <v>67</v>
      </c>
      <c r="D7280" t="s">
        <v>6435</v>
      </c>
      <c r="E7280" s="2">
        <v>588</v>
      </c>
    </row>
    <row r="7281" spans="1:5" x14ac:dyDescent="0.25">
      <c r="A7281" s="1">
        <v>43635</v>
      </c>
      <c r="B7281">
        <v>123229</v>
      </c>
      <c r="C7281" t="s">
        <v>1156</v>
      </c>
      <c r="D7281" t="s">
        <v>6436</v>
      </c>
      <c r="E7281" s="2">
        <f>488.22+230</f>
        <v>718.22</v>
      </c>
    </row>
    <row r="7282" spans="1:5" x14ac:dyDescent="0.25">
      <c r="A7282" s="1">
        <v>43635</v>
      </c>
      <c r="B7282">
        <v>123230</v>
      </c>
      <c r="C7282" t="s">
        <v>243</v>
      </c>
      <c r="D7282" t="s">
        <v>6437</v>
      </c>
      <c r="E7282" s="2">
        <v>2380.35</v>
      </c>
    </row>
    <row r="7283" spans="1:5" x14ac:dyDescent="0.25">
      <c r="A7283" s="1">
        <v>43635</v>
      </c>
      <c r="B7283">
        <v>123230</v>
      </c>
      <c r="C7283" t="s">
        <v>243</v>
      </c>
      <c r="D7283" t="s">
        <v>6438</v>
      </c>
      <c r="E7283" s="2">
        <v>1460.97</v>
      </c>
    </row>
    <row r="7284" spans="1:5" x14ac:dyDescent="0.25">
      <c r="A7284" s="1">
        <v>43635</v>
      </c>
      <c r="B7284">
        <v>123231</v>
      </c>
      <c r="C7284" t="s">
        <v>247</v>
      </c>
      <c r="D7284" t="s">
        <v>5872</v>
      </c>
      <c r="E7284" s="2">
        <v>16506.23</v>
      </c>
    </row>
    <row r="7285" spans="1:5" x14ac:dyDescent="0.25">
      <c r="A7285" s="1">
        <v>43635</v>
      </c>
      <c r="B7285">
        <v>123234</v>
      </c>
      <c r="C7285" t="s">
        <v>6439</v>
      </c>
      <c r="D7285" t="s">
        <v>6440</v>
      </c>
      <c r="E7285" s="2">
        <v>119.99</v>
      </c>
    </row>
    <row r="7286" spans="1:5" x14ac:dyDescent="0.25">
      <c r="A7286" s="1">
        <v>43635</v>
      </c>
      <c r="B7286">
        <v>123235</v>
      </c>
      <c r="C7286" t="s">
        <v>6171</v>
      </c>
      <c r="D7286" t="s">
        <v>6441</v>
      </c>
      <c r="E7286" s="2">
        <v>1295</v>
      </c>
    </row>
    <row r="7287" spans="1:5" x14ac:dyDescent="0.25">
      <c r="A7287" s="1">
        <v>43635</v>
      </c>
      <c r="B7287">
        <v>123236</v>
      </c>
      <c r="C7287" t="s">
        <v>1002</v>
      </c>
      <c r="D7287" t="s">
        <v>6442</v>
      </c>
      <c r="E7287" s="2">
        <v>1325</v>
      </c>
    </row>
    <row r="7288" spans="1:5" x14ac:dyDescent="0.25">
      <c r="A7288" s="1">
        <v>43635</v>
      </c>
      <c r="B7288">
        <v>123237</v>
      </c>
      <c r="C7288" t="s">
        <v>2376</v>
      </c>
      <c r="D7288" t="s">
        <v>6443</v>
      </c>
      <c r="E7288" s="2">
        <v>157.5</v>
      </c>
    </row>
    <row r="7289" spans="1:5" x14ac:dyDescent="0.25">
      <c r="A7289" s="1">
        <v>43635</v>
      </c>
      <c r="B7289">
        <v>123238</v>
      </c>
      <c r="C7289" t="s">
        <v>2378</v>
      </c>
      <c r="D7289" t="s">
        <v>6444</v>
      </c>
      <c r="E7289" s="2">
        <v>216</v>
      </c>
    </row>
    <row r="7290" spans="1:5" x14ac:dyDescent="0.25">
      <c r="A7290" s="1">
        <v>43635</v>
      </c>
      <c r="B7290">
        <v>123239</v>
      </c>
      <c r="C7290" t="s">
        <v>1452</v>
      </c>
      <c r="D7290" t="s">
        <v>6445</v>
      </c>
      <c r="E7290" s="2">
        <f>99.07+6.33</f>
        <v>105.39999999999999</v>
      </c>
    </row>
    <row r="7291" spans="1:5" x14ac:dyDescent="0.25">
      <c r="A7291" s="1">
        <v>43635</v>
      </c>
      <c r="B7291">
        <v>123253</v>
      </c>
      <c r="C7291" t="s">
        <v>123</v>
      </c>
      <c r="D7291" t="s">
        <v>6446</v>
      </c>
      <c r="E7291" s="2">
        <v>479.87</v>
      </c>
    </row>
    <row r="7292" spans="1:5" x14ac:dyDescent="0.25">
      <c r="A7292" s="1">
        <v>43635</v>
      </c>
      <c r="B7292">
        <v>123253</v>
      </c>
      <c r="C7292" t="s">
        <v>123</v>
      </c>
      <c r="D7292" t="s">
        <v>6447</v>
      </c>
      <c r="E7292" s="2">
        <v>408.4</v>
      </c>
    </row>
    <row r="7293" spans="1:5" x14ac:dyDescent="0.25">
      <c r="A7293" s="1">
        <v>43635</v>
      </c>
      <c r="B7293">
        <v>123253</v>
      </c>
      <c r="C7293" t="s">
        <v>123</v>
      </c>
      <c r="D7293" t="s">
        <v>6448</v>
      </c>
      <c r="E7293" s="2">
        <v>36.07</v>
      </c>
    </row>
    <row r="7294" spans="1:5" x14ac:dyDescent="0.25">
      <c r="A7294" s="1">
        <v>43635</v>
      </c>
      <c r="B7294">
        <v>123253</v>
      </c>
      <c r="C7294" t="s">
        <v>123</v>
      </c>
      <c r="D7294" t="s">
        <v>6449</v>
      </c>
      <c r="E7294" s="2">
        <v>816.8</v>
      </c>
    </row>
    <row r="7295" spans="1:5" x14ac:dyDescent="0.25">
      <c r="A7295" s="1">
        <v>43635</v>
      </c>
      <c r="B7295">
        <v>123253</v>
      </c>
      <c r="C7295" t="s">
        <v>123</v>
      </c>
      <c r="D7295" t="s">
        <v>4747</v>
      </c>
      <c r="E7295" s="2">
        <v>81.680000000000007</v>
      </c>
    </row>
    <row r="7296" spans="1:5" x14ac:dyDescent="0.25">
      <c r="A7296" s="1">
        <v>43635</v>
      </c>
      <c r="B7296">
        <v>123253</v>
      </c>
      <c r="C7296" t="s">
        <v>123</v>
      </c>
      <c r="D7296" t="s">
        <v>6450</v>
      </c>
      <c r="E7296" s="2">
        <v>81.680000000000007</v>
      </c>
    </row>
    <row r="7297" spans="1:5" x14ac:dyDescent="0.25">
      <c r="A7297" s="1">
        <v>43635</v>
      </c>
      <c r="B7297">
        <v>123253</v>
      </c>
      <c r="C7297" t="s">
        <v>123</v>
      </c>
      <c r="D7297" t="s">
        <v>6451</v>
      </c>
      <c r="E7297" s="2">
        <v>980.16</v>
      </c>
    </row>
    <row r="7298" spans="1:5" x14ac:dyDescent="0.25">
      <c r="A7298" s="1">
        <v>43635</v>
      </c>
      <c r="B7298">
        <v>123253</v>
      </c>
      <c r="C7298" t="s">
        <v>123</v>
      </c>
      <c r="D7298" t="s">
        <v>6452</v>
      </c>
      <c r="E7298" s="2">
        <v>20.420000000000002</v>
      </c>
    </row>
    <row r="7299" spans="1:5" x14ac:dyDescent="0.25">
      <c r="A7299" s="1">
        <v>43635</v>
      </c>
      <c r="B7299">
        <v>123253</v>
      </c>
      <c r="C7299" t="s">
        <v>123</v>
      </c>
      <c r="D7299" t="s">
        <v>6453</v>
      </c>
      <c r="E7299" s="2">
        <v>27.23</v>
      </c>
    </row>
    <row r="7300" spans="1:5" x14ac:dyDescent="0.25">
      <c r="A7300" s="1">
        <v>43635</v>
      </c>
      <c r="B7300">
        <v>123253</v>
      </c>
      <c r="C7300" t="s">
        <v>123</v>
      </c>
      <c r="D7300" t="s">
        <v>6454</v>
      </c>
      <c r="E7300" s="2">
        <f>183.78+408.4+204.2+51.05+81.68+82.36+81.68</f>
        <v>1093.1499999999999</v>
      </c>
    </row>
    <row r="7301" spans="1:5" x14ac:dyDescent="0.25">
      <c r="A7301" s="1">
        <v>43635</v>
      </c>
      <c r="B7301">
        <v>123253</v>
      </c>
      <c r="C7301" t="s">
        <v>123</v>
      </c>
      <c r="D7301" t="s">
        <v>6455</v>
      </c>
      <c r="E7301" s="2">
        <v>81.680000000000007</v>
      </c>
    </row>
    <row r="7302" spans="1:5" x14ac:dyDescent="0.25">
      <c r="A7302" s="1">
        <v>43635</v>
      </c>
      <c r="B7302">
        <v>123253</v>
      </c>
      <c r="C7302" t="s">
        <v>123</v>
      </c>
      <c r="D7302" t="s">
        <v>6456</v>
      </c>
      <c r="E7302" s="2">
        <f>3835.41+1817.38+510.5+8.32+81.68</f>
        <v>6253.29</v>
      </c>
    </row>
    <row r="7303" spans="1:5" x14ac:dyDescent="0.25">
      <c r="A7303" s="1">
        <v>43635</v>
      </c>
      <c r="B7303">
        <v>123253</v>
      </c>
      <c r="C7303" t="s">
        <v>123</v>
      </c>
      <c r="D7303" t="s">
        <v>6457</v>
      </c>
      <c r="E7303" s="2">
        <f>88432.94+38003.11</f>
        <v>126436.05</v>
      </c>
    </row>
    <row r="7304" spans="1:5" x14ac:dyDescent="0.25">
      <c r="A7304" s="1">
        <v>43635</v>
      </c>
      <c r="B7304">
        <v>123253</v>
      </c>
      <c r="C7304" t="s">
        <v>123</v>
      </c>
      <c r="D7304" t="s">
        <v>6458</v>
      </c>
      <c r="E7304" s="2">
        <v>163.36000000000001</v>
      </c>
    </row>
    <row r="7305" spans="1:5" x14ac:dyDescent="0.25">
      <c r="A7305" s="1">
        <v>43635</v>
      </c>
      <c r="B7305">
        <v>123253</v>
      </c>
      <c r="C7305" t="s">
        <v>123</v>
      </c>
      <c r="D7305" t="s">
        <v>6459</v>
      </c>
      <c r="E7305" s="2">
        <v>255.25</v>
      </c>
    </row>
    <row r="7306" spans="1:5" x14ac:dyDescent="0.25">
      <c r="A7306" s="1">
        <v>43635</v>
      </c>
      <c r="B7306">
        <v>123253</v>
      </c>
      <c r="C7306" t="s">
        <v>123</v>
      </c>
      <c r="D7306" t="s">
        <v>6460</v>
      </c>
      <c r="E7306" s="2">
        <f>61.26+204.2+61.26</f>
        <v>326.71999999999997</v>
      </c>
    </row>
    <row r="7307" spans="1:5" x14ac:dyDescent="0.25">
      <c r="A7307" s="1">
        <v>43635</v>
      </c>
      <c r="B7307">
        <v>123253</v>
      </c>
      <c r="C7307" t="s">
        <v>123</v>
      </c>
      <c r="D7307" t="s">
        <v>6461</v>
      </c>
      <c r="E7307" s="2">
        <v>193.99</v>
      </c>
    </row>
    <row r="7308" spans="1:5" x14ac:dyDescent="0.25">
      <c r="A7308" s="1">
        <v>43635</v>
      </c>
      <c r="B7308">
        <v>123253</v>
      </c>
      <c r="C7308" t="s">
        <v>123</v>
      </c>
      <c r="D7308" t="s">
        <v>6462</v>
      </c>
      <c r="E7308" s="2">
        <v>81.680000000000007</v>
      </c>
    </row>
    <row r="7309" spans="1:5" x14ac:dyDescent="0.25">
      <c r="A7309" s="1">
        <v>43635</v>
      </c>
      <c r="B7309">
        <v>123253</v>
      </c>
      <c r="C7309" t="s">
        <v>123</v>
      </c>
      <c r="D7309" t="s">
        <v>6463</v>
      </c>
      <c r="E7309" s="2">
        <v>428.82</v>
      </c>
    </row>
    <row r="7310" spans="1:5" x14ac:dyDescent="0.25">
      <c r="A7310" s="1">
        <v>43635</v>
      </c>
      <c r="B7310">
        <v>123253</v>
      </c>
      <c r="C7310" t="s">
        <v>123</v>
      </c>
      <c r="D7310" t="s">
        <v>6464</v>
      </c>
      <c r="E7310" s="2">
        <v>81.680000000000007</v>
      </c>
    </row>
    <row r="7311" spans="1:5" x14ac:dyDescent="0.25">
      <c r="A7311" s="1">
        <v>43635</v>
      </c>
      <c r="B7311">
        <v>123253</v>
      </c>
      <c r="C7311" t="s">
        <v>123</v>
      </c>
      <c r="D7311" t="s">
        <v>1665</v>
      </c>
      <c r="E7311" s="2">
        <v>3616.15</v>
      </c>
    </row>
    <row r="7312" spans="1:5" x14ac:dyDescent="0.25">
      <c r="A7312" s="1">
        <v>43635</v>
      </c>
      <c r="B7312">
        <v>123254</v>
      </c>
      <c r="C7312" t="s">
        <v>259</v>
      </c>
      <c r="D7312" t="s">
        <v>6465</v>
      </c>
      <c r="E7312" s="2">
        <v>254.59</v>
      </c>
    </row>
    <row r="7313" spans="1:5" x14ac:dyDescent="0.25">
      <c r="A7313" s="1">
        <v>43635</v>
      </c>
      <c r="B7313">
        <v>123255</v>
      </c>
      <c r="C7313" t="s">
        <v>262</v>
      </c>
      <c r="D7313" t="s">
        <v>6466</v>
      </c>
      <c r="E7313" s="2">
        <v>4789.72</v>
      </c>
    </row>
    <row r="7314" spans="1:5" x14ac:dyDescent="0.25">
      <c r="A7314" s="1">
        <v>43635</v>
      </c>
      <c r="B7314">
        <v>123256</v>
      </c>
      <c r="C7314" t="s">
        <v>269</v>
      </c>
      <c r="D7314" t="s">
        <v>6467</v>
      </c>
      <c r="E7314" s="2">
        <v>792</v>
      </c>
    </row>
    <row r="7315" spans="1:5" x14ac:dyDescent="0.25">
      <c r="A7315" s="1">
        <v>43635</v>
      </c>
      <c r="B7315">
        <v>123257</v>
      </c>
      <c r="C7315" t="s">
        <v>5177</v>
      </c>
      <c r="D7315" t="s">
        <v>6468</v>
      </c>
      <c r="E7315" s="2">
        <v>154.47999999999999</v>
      </c>
    </row>
    <row r="7316" spans="1:5" x14ac:dyDescent="0.25">
      <c r="A7316" s="1">
        <v>43635</v>
      </c>
      <c r="B7316">
        <v>123258</v>
      </c>
      <c r="C7316" t="s">
        <v>708</v>
      </c>
      <c r="D7316" t="s">
        <v>6469</v>
      </c>
      <c r="E7316" s="2">
        <v>3087.58</v>
      </c>
    </row>
    <row r="7317" spans="1:5" x14ac:dyDescent="0.25">
      <c r="A7317" s="1">
        <v>43635</v>
      </c>
      <c r="B7317">
        <v>123259</v>
      </c>
      <c r="C7317" t="s">
        <v>4306</v>
      </c>
      <c r="D7317" t="s">
        <v>6470</v>
      </c>
      <c r="E7317" s="2">
        <v>350</v>
      </c>
    </row>
    <row r="7318" spans="1:5" x14ac:dyDescent="0.25">
      <c r="A7318" s="1">
        <v>43635</v>
      </c>
      <c r="B7318">
        <v>123260</v>
      </c>
      <c r="C7318" t="s">
        <v>74</v>
      </c>
      <c r="D7318" t="s">
        <v>228</v>
      </c>
      <c r="E7318" s="2">
        <v>148.97999999999999</v>
      </c>
    </row>
    <row r="7319" spans="1:5" x14ac:dyDescent="0.25">
      <c r="A7319" s="1">
        <v>43635</v>
      </c>
      <c r="B7319">
        <v>123260</v>
      </c>
      <c r="C7319" t="s">
        <v>74</v>
      </c>
      <c r="D7319" t="s">
        <v>6471</v>
      </c>
      <c r="E7319" s="2">
        <v>377.45</v>
      </c>
    </row>
    <row r="7320" spans="1:5" x14ac:dyDescent="0.25">
      <c r="A7320" s="1">
        <v>43635</v>
      </c>
      <c r="B7320">
        <v>123260</v>
      </c>
      <c r="C7320" t="s">
        <v>74</v>
      </c>
      <c r="D7320" t="s">
        <v>6472</v>
      </c>
      <c r="E7320" s="2">
        <v>249.48</v>
      </c>
    </row>
    <row r="7321" spans="1:5" x14ac:dyDescent="0.25">
      <c r="A7321" s="1">
        <v>43635</v>
      </c>
      <c r="B7321">
        <v>123260</v>
      </c>
      <c r="C7321" t="s">
        <v>74</v>
      </c>
      <c r="D7321" t="s">
        <v>5019</v>
      </c>
      <c r="E7321" s="2">
        <v>956.8</v>
      </c>
    </row>
    <row r="7322" spans="1:5" x14ac:dyDescent="0.25">
      <c r="A7322" s="1">
        <v>43635</v>
      </c>
      <c r="B7322">
        <v>123261</v>
      </c>
      <c r="C7322" t="s">
        <v>283</v>
      </c>
      <c r="D7322" t="s">
        <v>6473</v>
      </c>
      <c r="E7322" s="2">
        <v>1051.08</v>
      </c>
    </row>
    <row r="7323" spans="1:5" x14ac:dyDescent="0.25">
      <c r="A7323" s="1">
        <v>43635</v>
      </c>
      <c r="B7323">
        <v>123262</v>
      </c>
      <c r="C7323" t="s">
        <v>75</v>
      </c>
      <c r="D7323" t="s">
        <v>6474</v>
      </c>
      <c r="E7323" s="2">
        <v>3</v>
      </c>
    </row>
    <row r="7324" spans="1:5" x14ac:dyDescent="0.25">
      <c r="A7324" s="1">
        <v>43635</v>
      </c>
      <c r="B7324">
        <v>123263</v>
      </c>
      <c r="C7324" t="s">
        <v>739</v>
      </c>
      <c r="D7324" t="s">
        <v>4816</v>
      </c>
      <c r="E7324" s="2">
        <v>15048.25</v>
      </c>
    </row>
    <row r="7325" spans="1:5" x14ac:dyDescent="0.25">
      <c r="A7325" s="1">
        <v>43635</v>
      </c>
      <c r="B7325">
        <v>123264</v>
      </c>
      <c r="C7325" t="s">
        <v>6475</v>
      </c>
      <c r="D7325" t="s">
        <v>6476</v>
      </c>
      <c r="E7325" s="2">
        <v>548062.5</v>
      </c>
    </row>
    <row r="7326" spans="1:5" x14ac:dyDescent="0.25">
      <c r="A7326" s="1">
        <v>43635</v>
      </c>
      <c r="B7326">
        <v>123265</v>
      </c>
      <c r="C7326" t="s">
        <v>49</v>
      </c>
      <c r="D7326" t="s">
        <v>6477</v>
      </c>
      <c r="E7326" s="2">
        <v>50</v>
      </c>
    </row>
    <row r="7327" spans="1:5" x14ac:dyDescent="0.25">
      <c r="A7327" s="1">
        <v>43635</v>
      </c>
      <c r="B7327">
        <v>123266</v>
      </c>
      <c r="C7327" t="s">
        <v>50</v>
      </c>
      <c r="D7327" t="s">
        <v>6313</v>
      </c>
      <c r="E7327" s="2">
        <v>4450</v>
      </c>
    </row>
    <row r="7328" spans="1:5" x14ac:dyDescent="0.25">
      <c r="A7328" s="1">
        <v>43635</v>
      </c>
      <c r="B7328">
        <v>123267</v>
      </c>
      <c r="C7328" t="s">
        <v>51</v>
      </c>
      <c r="D7328" t="s">
        <v>5352</v>
      </c>
      <c r="E7328" s="2">
        <f>100.32+42.41</f>
        <v>142.72999999999999</v>
      </c>
    </row>
    <row r="7329" spans="1:5" x14ac:dyDescent="0.25">
      <c r="A7329" s="1">
        <v>43635</v>
      </c>
      <c r="B7329">
        <v>123267</v>
      </c>
      <c r="C7329" t="s">
        <v>51</v>
      </c>
      <c r="D7329" t="s">
        <v>6478</v>
      </c>
      <c r="E7329" s="2">
        <v>12.93</v>
      </c>
    </row>
    <row r="7330" spans="1:5" x14ac:dyDescent="0.25">
      <c r="A7330" s="1">
        <v>43635</v>
      </c>
      <c r="B7330">
        <v>123268</v>
      </c>
      <c r="C7330" t="s">
        <v>298</v>
      </c>
      <c r="D7330" t="s">
        <v>4816</v>
      </c>
      <c r="E7330" s="2">
        <v>9930.9500000000007</v>
      </c>
    </row>
    <row r="7331" spans="1:5" x14ac:dyDescent="0.25">
      <c r="A7331" s="1">
        <v>43635</v>
      </c>
      <c r="B7331">
        <v>123269</v>
      </c>
      <c r="C7331" t="s">
        <v>80</v>
      </c>
      <c r="D7331" t="s">
        <v>6479</v>
      </c>
      <c r="E7331" s="2">
        <f>5.98+20.42</f>
        <v>26.400000000000002</v>
      </c>
    </row>
    <row r="7332" spans="1:5" x14ac:dyDescent="0.25">
      <c r="A7332" s="1">
        <v>43635</v>
      </c>
      <c r="B7332">
        <v>123270</v>
      </c>
      <c r="C7332" t="s">
        <v>597</v>
      </c>
      <c r="D7332" t="s">
        <v>598</v>
      </c>
      <c r="E7332" s="2">
        <v>0</v>
      </c>
    </row>
    <row r="7333" spans="1:5" x14ac:dyDescent="0.25">
      <c r="A7333" s="1">
        <v>43635</v>
      </c>
      <c r="B7333">
        <v>123271</v>
      </c>
      <c r="C7333" t="s">
        <v>597</v>
      </c>
      <c r="D7333" t="s">
        <v>598</v>
      </c>
      <c r="E7333" s="2">
        <v>0</v>
      </c>
    </row>
    <row r="7334" spans="1:5" x14ac:dyDescent="0.25">
      <c r="A7334" s="1">
        <v>43635</v>
      </c>
      <c r="B7334">
        <v>123273</v>
      </c>
      <c r="C7334" t="s">
        <v>597</v>
      </c>
      <c r="D7334" t="s">
        <v>598</v>
      </c>
      <c r="E7334" s="2">
        <v>0</v>
      </c>
    </row>
    <row r="7335" spans="1:5" x14ac:dyDescent="0.25">
      <c r="A7335" s="1">
        <v>43635</v>
      </c>
      <c r="B7335">
        <v>123274</v>
      </c>
      <c r="C7335" t="s">
        <v>597</v>
      </c>
      <c r="D7335" t="s">
        <v>598</v>
      </c>
      <c r="E7335" s="2">
        <v>0</v>
      </c>
    </row>
    <row r="7336" spans="1:5" x14ac:dyDescent="0.25">
      <c r="A7336" s="1">
        <v>43635</v>
      </c>
      <c r="B7336">
        <v>123275</v>
      </c>
      <c r="C7336" t="s">
        <v>597</v>
      </c>
      <c r="D7336" t="s">
        <v>598</v>
      </c>
      <c r="E7336" s="2">
        <v>0</v>
      </c>
    </row>
    <row r="7337" spans="1:5" x14ac:dyDescent="0.25">
      <c r="A7337" s="1">
        <v>43635</v>
      </c>
      <c r="B7337">
        <v>123276</v>
      </c>
      <c r="C7337" t="s">
        <v>597</v>
      </c>
      <c r="D7337" t="s">
        <v>598</v>
      </c>
      <c r="E7337" s="2">
        <v>0</v>
      </c>
    </row>
    <row r="7338" spans="1:5" x14ac:dyDescent="0.25">
      <c r="A7338" s="1">
        <v>43635</v>
      </c>
      <c r="B7338">
        <v>123277</v>
      </c>
      <c r="C7338" t="s">
        <v>597</v>
      </c>
      <c r="D7338" t="s">
        <v>598</v>
      </c>
      <c r="E7338" s="2">
        <v>0</v>
      </c>
    </row>
    <row r="7339" spans="1:5" x14ac:dyDescent="0.25">
      <c r="A7339" s="1">
        <v>43635</v>
      </c>
      <c r="B7339">
        <v>123278</v>
      </c>
      <c r="C7339" t="s">
        <v>597</v>
      </c>
      <c r="D7339" t="s">
        <v>598</v>
      </c>
      <c r="E7339" s="2">
        <v>0</v>
      </c>
    </row>
    <row r="7340" spans="1:5" x14ac:dyDescent="0.25">
      <c r="A7340" s="1">
        <v>43635</v>
      </c>
      <c r="B7340">
        <v>123279</v>
      </c>
      <c r="C7340" t="s">
        <v>597</v>
      </c>
      <c r="D7340" t="s">
        <v>598</v>
      </c>
      <c r="E7340" s="2">
        <v>0</v>
      </c>
    </row>
    <row r="7341" spans="1:5" x14ac:dyDescent="0.25">
      <c r="A7341" s="1">
        <v>43635</v>
      </c>
      <c r="B7341">
        <v>123280</v>
      </c>
      <c r="C7341" t="s">
        <v>597</v>
      </c>
      <c r="D7341" t="s">
        <v>598</v>
      </c>
      <c r="E7341" s="2">
        <v>0</v>
      </c>
    </row>
    <row r="7342" spans="1:5" x14ac:dyDescent="0.25">
      <c r="A7342" s="1">
        <v>43635</v>
      </c>
      <c r="B7342">
        <v>123281</v>
      </c>
      <c r="C7342" t="s">
        <v>597</v>
      </c>
      <c r="D7342" t="s">
        <v>598</v>
      </c>
      <c r="E7342" s="2">
        <v>0</v>
      </c>
    </row>
    <row r="7343" spans="1:5" x14ac:dyDescent="0.25">
      <c r="A7343" s="1">
        <v>43636</v>
      </c>
      <c r="B7343">
        <v>123286</v>
      </c>
      <c r="C7343" t="s">
        <v>189</v>
      </c>
      <c r="D7343" t="s">
        <v>5977</v>
      </c>
      <c r="E7343" s="2">
        <v>5.27</v>
      </c>
    </row>
    <row r="7344" spans="1:5" x14ac:dyDescent="0.25">
      <c r="A7344" s="1">
        <v>43636</v>
      </c>
      <c r="B7344">
        <v>123286</v>
      </c>
      <c r="C7344" t="s">
        <v>189</v>
      </c>
      <c r="D7344" t="s">
        <v>6480</v>
      </c>
      <c r="E7344" s="2">
        <v>122.63</v>
      </c>
    </row>
    <row r="7345" spans="1:5" x14ac:dyDescent="0.25">
      <c r="A7345" s="1">
        <v>43636</v>
      </c>
      <c r="B7345">
        <v>123286</v>
      </c>
      <c r="C7345" t="s">
        <v>189</v>
      </c>
      <c r="D7345" t="s">
        <v>6481</v>
      </c>
      <c r="E7345" s="2">
        <v>7.28</v>
      </c>
    </row>
    <row r="7346" spans="1:5" x14ac:dyDescent="0.25">
      <c r="A7346" s="1">
        <v>43636</v>
      </c>
      <c r="B7346">
        <v>123286</v>
      </c>
      <c r="C7346" t="s">
        <v>189</v>
      </c>
      <c r="D7346" t="s">
        <v>481</v>
      </c>
      <c r="E7346" s="2">
        <v>48.78</v>
      </c>
    </row>
    <row r="7347" spans="1:5" x14ac:dyDescent="0.25">
      <c r="A7347" s="1">
        <v>43636</v>
      </c>
      <c r="B7347">
        <v>123286</v>
      </c>
      <c r="C7347" t="s">
        <v>189</v>
      </c>
      <c r="D7347" t="s">
        <v>2576</v>
      </c>
      <c r="E7347" s="2">
        <v>144</v>
      </c>
    </row>
    <row r="7348" spans="1:5" x14ac:dyDescent="0.25">
      <c r="A7348" s="1">
        <v>43636</v>
      </c>
      <c r="B7348">
        <v>123286</v>
      </c>
      <c r="C7348" t="s">
        <v>189</v>
      </c>
      <c r="D7348" t="s">
        <v>6482</v>
      </c>
      <c r="E7348" s="2">
        <v>289.60000000000002</v>
      </c>
    </row>
    <row r="7349" spans="1:5" x14ac:dyDescent="0.25">
      <c r="A7349" s="1">
        <v>43636</v>
      </c>
      <c r="B7349">
        <v>123286</v>
      </c>
      <c r="C7349" t="s">
        <v>189</v>
      </c>
      <c r="D7349" t="s">
        <v>6483</v>
      </c>
      <c r="E7349" s="2">
        <v>-144</v>
      </c>
    </row>
    <row r="7350" spans="1:5" x14ac:dyDescent="0.25">
      <c r="A7350" s="1">
        <v>43636</v>
      </c>
      <c r="B7350">
        <v>123286</v>
      </c>
      <c r="C7350" t="s">
        <v>189</v>
      </c>
      <c r="D7350" t="s">
        <v>6484</v>
      </c>
      <c r="E7350" s="2">
        <v>34.99</v>
      </c>
    </row>
    <row r="7351" spans="1:5" x14ac:dyDescent="0.25">
      <c r="A7351" s="1">
        <v>43636</v>
      </c>
      <c r="B7351">
        <v>123286</v>
      </c>
      <c r="C7351" t="s">
        <v>189</v>
      </c>
      <c r="D7351" t="s">
        <v>6485</v>
      </c>
      <c r="E7351" s="2">
        <v>26.98</v>
      </c>
    </row>
    <row r="7352" spans="1:5" x14ac:dyDescent="0.25">
      <c r="A7352" s="1">
        <v>43636</v>
      </c>
      <c r="B7352">
        <v>123286</v>
      </c>
      <c r="C7352" t="s">
        <v>189</v>
      </c>
      <c r="D7352" t="s">
        <v>6486</v>
      </c>
      <c r="E7352" s="2">
        <f>154.51+22.8+84.9</f>
        <v>262.21000000000004</v>
      </c>
    </row>
    <row r="7353" spans="1:5" x14ac:dyDescent="0.25">
      <c r="A7353" s="1">
        <v>43636</v>
      </c>
      <c r="B7353">
        <v>123286</v>
      </c>
      <c r="C7353" t="s">
        <v>189</v>
      </c>
      <c r="D7353" t="s">
        <v>6487</v>
      </c>
      <c r="E7353" s="2">
        <v>95.6</v>
      </c>
    </row>
    <row r="7354" spans="1:5" x14ac:dyDescent="0.25">
      <c r="A7354" s="1">
        <v>43636</v>
      </c>
      <c r="B7354">
        <v>123286</v>
      </c>
      <c r="C7354" t="s">
        <v>189</v>
      </c>
      <c r="D7354" t="s">
        <v>5986</v>
      </c>
      <c r="E7354" s="2">
        <v>216.35</v>
      </c>
    </row>
    <row r="7355" spans="1:5" x14ac:dyDescent="0.25">
      <c r="A7355" s="1">
        <v>43636</v>
      </c>
      <c r="B7355">
        <v>123286</v>
      </c>
      <c r="C7355" t="s">
        <v>189</v>
      </c>
      <c r="D7355" t="s">
        <v>6488</v>
      </c>
      <c r="E7355" s="2">
        <v>366.51</v>
      </c>
    </row>
    <row r="7356" spans="1:5" x14ac:dyDescent="0.25">
      <c r="A7356" s="1">
        <v>43636</v>
      </c>
      <c r="B7356">
        <v>123286</v>
      </c>
      <c r="C7356" t="s">
        <v>189</v>
      </c>
      <c r="D7356" t="s">
        <v>6489</v>
      </c>
      <c r="E7356" s="2">
        <v>90.65</v>
      </c>
    </row>
    <row r="7357" spans="1:5" x14ac:dyDescent="0.25">
      <c r="A7357" s="1">
        <v>43636</v>
      </c>
      <c r="B7357">
        <v>123286</v>
      </c>
      <c r="C7357" t="s">
        <v>189</v>
      </c>
      <c r="D7357" t="s">
        <v>6490</v>
      </c>
      <c r="E7357" s="2">
        <v>71.599999999999994</v>
      </c>
    </row>
    <row r="7358" spans="1:5" x14ac:dyDescent="0.25">
      <c r="A7358" s="1">
        <v>43636</v>
      </c>
      <c r="B7358">
        <v>123286</v>
      </c>
      <c r="C7358" t="s">
        <v>189</v>
      </c>
      <c r="D7358" t="s">
        <v>6491</v>
      </c>
      <c r="E7358" s="2">
        <v>150</v>
      </c>
    </row>
    <row r="7359" spans="1:5" x14ac:dyDescent="0.25">
      <c r="A7359" s="1">
        <v>43636</v>
      </c>
      <c r="B7359">
        <v>123286</v>
      </c>
      <c r="C7359" t="s">
        <v>189</v>
      </c>
      <c r="D7359" t="s">
        <v>6492</v>
      </c>
      <c r="E7359" s="2">
        <v>56.73</v>
      </c>
    </row>
    <row r="7360" spans="1:5" x14ac:dyDescent="0.25">
      <c r="A7360" s="1">
        <v>43636</v>
      </c>
      <c r="B7360">
        <v>123286</v>
      </c>
      <c r="C7360" t="s">
        <v>189</v>
      </c>
      <c r="D7360" t="s">
        <v>6493</v>
      </c>
      <c r="E7360" s="2">
        <v>25.98</v>
      </c>
    </row>
    <row r="7361" spans="1:5" x14ac:dyDescent="0.25">
      <c r="A7361" s="1">
        <v>43636</v>
      </c>
      <c r="B7361">
        <v>123286</v>
      </c>
      <c r="C7361" t="s">
        <v>189</v>
      </c>
      <c r="D7361" t="s">
        <v>6494</v>
      </c>
      <c r="E7361" s="2">
        <v>16.18</v>
      </c>
    </row>
    <row r="7362" spans="1:5" x14ac:dyDescent="0.25">
      <c r="A7362" s="1">
        <v>43636</v>
      </c>
      <c r="B7362">
        <v>123286</v>
      </c>
      <c r="C7362" t="s">
        <v>189</v>
      </c>
      <c r="D7362" t="s">
        <v>6495</v>
      </c>
      <c r="E7362" s="2">
        <v>164.68</v>
      </c>
    </row>
    <row r="7363" spans="1:5" x14ac:dyDescent="0.25">
      <c r="A7363" s="1">
        <v>43636</v>
      </c>
      <c r="B7363">
        <v>123286</v>
      </c>
      <c r="C7363" t="s">
        <v>189</v>
      </c>
      <c r="D7363" t="s">
        <v>6494</v>
      </c>
      <c r="E7363" s="2">
        <v>69.989999999999995</v>
      </c>
    </row>
    <row r="7364" spans="1:5" x14ac:dyDescent="0.25">
      <c r="A7364" s="1">
        <v>43636</v>
      </c>
      <c r="B7364">
        <v>123286</v>
      </c>
      <c r="C7364" t="s">
        <v>189</v>
      </c>
      <c r="D7364" t="s">
        <v>6496</v>
      </c>
      <c r="E7364" s="2">
        <v>135.66</v>
      </c>
    </row>
    <row r="7365" spans="1:5" x14ac:dyDescent="0.25">
      <c r="A7365" s="1">
        <v>43636</v>
      </c>
      <c r="B7365">
        <v>123286</v>
      </c>
      <c r="C7365" t="s">
        <v>189</v>
      </c>
      <c r="D7365" t="s">
        <v>6497</v>
      </c>
      <c r="E7365" s="2">
        <v>23.94</v>
      </c>
    </row>
    <row r="7366" spans="1:5" x14ac:dyDescent="0.25">
      <c r="A7366" s="1">
        <v>43636</v>
      </c>
      <c r="B7366">
        <v>123286</v>
      </c>
      <c r="C7366" t="s">
        <v>189</v>
      </c>
      <c r="D7366" t="s">
        <v>6498</v>
      </c>
      <c r="E7366" s="2">
        <v>69.900000000000006</v>
      </c>
    </row>
    <row r="7367" spans="1:5" x14ac:dyDescent="0.25">
      <c r="A7367" s="1">
        <v>43636</v>
      </c>
      <c r="B7367">
        <v>123287</v>
      </c>
      <c r="C7367" t="s">
        <v>6499</v>
      </c>
      <c r="D7367" t="s">
        <v>6500</v>
      </c>
      <c r="E7367" s="2">
        <v>1025</v>
      </c>
    </row>
    <row r="7368" spans="1:5" x14ac:dyDescent="0.25">
      <c r="A7368" s="1">
        <v>43636</v>
      </c>
      <c r="B7368">
        <v>123288</v>
      </c>
      <c r="C7368" t="s">
        <v>1516</v>
      </c>
      <c r="D7368" t="s">
        <v>6501</v>
      </c>
      <c r="E7368" s="2">
        <v>240</v>
      </c>
    </row>
    <row r="7369" spans="1:5" x14ac:dyDescent="0.25">
      <c r="A7369" s="1">
        <v>43636</v>
      </c>
      <c r="B7369">
        <v>123290</v>
      </c>
      <c r="C7369" t="s">
        <v>318</v>
      </c>
      <c r="D7369" t="s">
        <v>6502</v>
      </c>
      <c r="E7369" s="2">
        <v>3760.49</v>
      </c>
    </row>
    <row r="7370" spans="1:5" x14ac:dyDescent="0.25">
      <c r="A7370" s="1">
        <v>43636</v>
      </c>
      <c r="B7370">
        <v>123290</v>
      </c>
      <c r="C7370" t="s">
        <v>318</v>
      </c>
      <c r="D7370" t="s">
        <v>6503</v>
      </c>
      <c r="E7370" s="2">
        <v>9823.2999999999993</v>
      </c>
    </row>
    <row r="7371" spans="1:5" x14ac:dyDescent="0.25">
      <c r="A7371" s="1">
        <v>43636</v>
      </c>
      <c r="B7371">
        <v>123290</v>
      </c>
      <c r="C7371" t="s">
        <v>318</v>
      </c>
      <c r="D7371" t="s">
        <v>6504</v>
      </c>
      <c r="E7371" s="2">
        <v>61685.33</v>
      </c>
    </row>
    <row r="7372" spans="1:5" x14ac:dyDescent="0.25">
      <c r="A7372" s="1">
        <v>43636</v>
      </c>
      <c r="B7372">
        <v>123291</v>
      </c>
      <c r="C7372" t="s">
        <v>166</v>
      </c>
      <c r="D7372" t="s">
        <v>6505</v>
      </c>
      <c r="E7372" s="2">
        <v>135</v>
      </c>
    </row>
    <row r="7373" spans="1:5" x14ac:dyDescent="0.25">
      <c r="A7373" s="1">
        <v>43636</v>
      </c>
      <c r="B7373">
        <v>123292</v>
      </c>
      <c r="C7373" t="s">
        <v>6328</v>
      </c>
      <c r="D7373" t="s">
        <v>6506</v>
      </c>
      <c r="E7373" s="2">
        <v>1650</v>
      </c>
    </row>
    <row r="7374" spans="1:5" x14ac:dyDescent="0.25">
      <c r="A7374" s="1">
        <v>43636</v>
      </c>
      <c r="B7374">
        <v>123293</v>
      </c>
      <c r="C7374" t="s">
        <v>3198</v>
      </c>
      <c r="D7374" t="s">
        <v>6507</v>
      </c>
      <c r="E7374" s="2">
        <v>240</v>
      </c>
    </row>
    <row r="7375" spans="1:5" x14ac:dyDescent="0.25">
      <c r="A7375" s="1">
        <v>43636</v>
      </c>
      <c r="B7375">
        <v>123294</v>
      </c>
      <c r="C7375" t="s">
        <v>6508</v>
      </c>
      <c r="D7375" t="s">
        <v>6509</v>
      </c>
      <c r="E7375" s="2">
        <v>1000</v>
      </c>
    </row>
    <row r="7376" spans="1:5" x14ac:dyDescent="0.25">
      <c r="A7376" s="1">
        <v>43636</v>
      </c>
      <c r="B7376">
        <v>123295</v>
      </c>
      <c r="C7376" t="s">
        <v>179</v>
      </c>
      <c r="D7376" t="s">
        <v>6510</v>
      </c>
      <c r="E7376" s="2">
        <v>286.66000000000003</v>
      </c>
    </row>
    <row r="7377" spans="1:5" x14ac:dyDescent="0.25">
      <c r="A7377" s="1">
        <v>43636</v>
      </c>
      <c r="B7377">
        <v>123296</v>
      </c>
      <c r="C7377" t="s">
        <v>92</v>
      </c>
      <c r="D7377" t="s">
        <v>3560</v>
      </c>
      <c r="E7377" s="2">
        <v>1099.95</v>
      </c>
    </row>
    <row r="7378" spans="1:5" x14ac:dyDescent="0.25">
      <c r="A7378" s="1">
        <v>43636</v>
      </c>
      <c r="B7378">
        <v>123297</v>
      </c>
      <c r="C7378" t="s">
        <v>388</v>
      </c>
      <c r="D7378" t="s">
        <v>6511</v>
      </c>
      <c r="E7378" s="2">
        <v>937.18</v>
      </c>
    </row>
    <row r="7379" spans="1:5" x14ac:dyDescent="0.25">
      <c r="A7379" s="1">
        <v>43636</v>
      </c>
      <c r="B7379">
        <v>123298</v>
      </c>
      <c r="C7379" t="s">
        <v>1290</v>
      </c>
      <c r="D7379" t="s">
        <v>6512</v>
      </c>
      <c r="E7379" s="2">
        <v>8819</v>
      </c>
    </row>
    <row r="7380" spans="1:5" x14ac:dyDescent="0.25">
      <c r="A7380" s="1">
        <v>43641</v>
      </c>
      <c r="B7380">
        <v>123299</v>
      </c>
      <c r="C7380" t="s">
        <v>823</v>
      </c>
      <c r="D7380" t="s">
        <v>6513</v>
      </c>
      <c r="E7380" s="2">
        <v>500</v>
      </c>
    </row>
    <row r="7381" spans="1:5" x14ac:dyDescent="0.25">
      <c r="A7381" s="1">
        <v>43641</v>
      </c>
      <c r="B7381">
        <v>123300</v>
      </c>
      <c r="C7381" t="s">
        <v>828</v>
      </c>
      <c r="D7381" t="s">
        <v>6513</v>
      </c>
      <c r="E7381" s="2">
        <v>500</v>
      </c>
    </row>
    <row r="7382" spans="1:5" x14ac:dyDescent="0.25">
      <c r="A7382" s="1">
        <v>43641</v>
      </c>
      <c r="B7382">
        <v>123301</v>
      </c>
      <c r="C7382" t="s">
        <v>829</v>
      </c>
      <c r="D7382" t="s">
        <v>6513</v>
      </c>
      <c r="E7382" s="2">
        <v>500</v>
      </c>
    </row>
    <row r="7383" spans="1:5" x14ac:dyDescent="0.25">
      <c r="A7383" s="1">
        <v>43641</v>
      </c>
      <c r="B7383">
        <v>123302</v>
      </c>
      <c r="C7383" t="s">
        <v>1173</v>
      </c>
      <c r="D7383" t="s">
        <v>6513</v>
      </c>
      <c r="E7383" s="2">
        <v>250</v>
      </c>
    </row>
    <row r="7384" spans="1:5" x14ac:dyDescent="0.25">
      <c r="A7384" s="1">
        <v>43641</v>
      </c>
      <c r="B7384">
        <v>123303</v>
      </c>
      <c r="C7384" t="s">
        <v>852</v>
      </c>
      <c r="D7384" t="s">
        <v>6513</v>
      </c>
      <c r="E7384" s="2">
        <v>500</v>
      </c>
    </row>
    <row r="7385" spans="1:5" x14ac:dyDescent="0.25">
      <c r="A7385" s="1">
        <v>43641</v>
      </c>
      <c r="B7385">
        <v>123304</v>
      </c>
      <c r="C7385" t="s">
        <v>5260</v>
      </c>
      <c r="D7385" t="s">
        <v>6514</v>
      </c>
      <c r="E7385" s="2">
        <v>840</v>
      </c>
    </row>
    <row r="7386" spans="1:5" x14ac:dyDescent="0.25">
      <c r="A7386" s="1">
        <v>43641</v>
      </c>
      <c r="B7386">
        <v>123305</v>
      </c>
      <c r="C7386" t="s">
        <v>901</v>
      </c>
      <c r="D7386" t="s">
        <v>6513</v>
      </c>
      <c r="E7386" s="2">
        <v>500</v>
      </c>
    </row>
    <row r="7387" spans="1:5" x14ac:dyDescent="0.25">
      <c r="A7387" s="1">
        <v>43641</v>
      </c>
      <c r="B7387">
        <v>123306</v>
      </c>
      <c r="C7387" t="s">
        <v>829</v>
      </c>
      <c r="D7387" t="s">
        <v>6515</v>
      </c>
      <c r="E7387" s="2">
        <v>500</v>
      </c>
    </row>
    <row r="7388" spans="1:5" x14ac:dyDescent="0.25">
      <c r="A7388" s="1">
        <v>43641</v>
      </c>
      <c r="B7388">
        <v>123307</v>
      </c>
      <c r="C7388" t="s">
        <v>875</v>
      </c>
      <c r="D7388" t="s">
        <v>6515</v>
      </c>
      <c r="E7388" s="2">
        <v>500</v>
      </c>
    </row>
    <row r="7389" spans="1:5" x14ac:dyDescent="0.25">
      <c r="A7389" s="1">
        <v>43642</v>
      </c>
      <c r="B7389">
        <v>123308</v>
      </c>
      <c r="C7389" t="s">
        <v>1328</v>
      </c>
      <c r="D7389" t="s">
        <v>6516</v>
      </c>
      <c r="E7389" s="2">
        <v>50</v>
      </c>
    </row>
    <row r="7390" spans="1:5" x14ac:dyDescent="0.25">
      <c r="A7390" s="1">
        <v>43642</v>
      </c>
      <c r="B7390">
        <v>123308</v>
      </c>
      <c r="C7390" t="s">
        <v>1328</v>
      </c>
      <c r="D7390" t="s">
        <v>6517</v>
      </c>
      <c r="E7390" s="2">
        <v>90</v>
      </c>
    </row>
    <row r="7391" spans="1:5" x14ac:dyDescent="0.25">
      <c r="A7391" s="1">
        <v>43642</v>
      </c>
      <c r="B7391">
        <v>123308</v>
      </c>
      <c r="C7391" t="s">
        <v>1328</v>
      </c>
      <c r="D7391" t="s">
        <v>6518</v>
      </c>
      <c r="E7391" s="2">
        <v>120</v>
      </c>
    </row>
    <row r="7392" spans="1:5" x14ac:dyDescent="0.25">
      <c r="A7392" s="1">
        <v>43642</v>
      </c>
      <c r="B7392">
        <v>123308</v>
      </c>
      <c r="C7392" t="s">
        <v>1328</v>
      </c>
      <c r="D7392" t="s">
        <v>6519</v>
      </c>
      <c r="E7392" s="2">
        <v>80</v>
      </c>
    </row>
    <row r="7393" spans="1:5" x14ac:dyDescent="0.25">
      <c r="A7393" s="1">
        <v>43642</v>
      </c>
      <c r="B7393">
        <v>123309</v>
      </c>
      <c r="C7393" t="s">
        <v>1823</v>
      </c>
      <c r="D7393" t="s">
        <v>6520</v>
      </c>
      <c r="E7393" s="2">
        <v>262.60000000000002</v>
      </c>
    </row>
    <row r="7394" spans="1:5" x14ac:dyDescent="0.25">
      <c r="A7394" s="1">
        <v>43642</v>
      </c>
      <c r="B7394">
        <v>123310</v>
      </c>
      <c r="C7394" t="s">
        <v>74</v>
      </c>
      <c r="D7394" t="s">
        <v>228</v>
      </c>
      <c r="E7394" s="2">
        <v>170.95</v>
      </c>
    </row>
    <row r="7395" spans="1:5" x14ac:dyDescent="0.25">
      <c r="A7395" s="1">
        <v>43642</v>
      </c>
      <c r="B7395">
        <v>123310</v>
      </c>
      <c r="C7395" t="s">
        <v>74</v>
      </c>
      <c r="D7395" t="s">
        <v>481</v>
      </c>
      <c r="E7395" s="2">
        <v>78.709999999999994</v>
      </c>
    </row>
    <row r="7396" spans="1:5" x14ac:dyDescent="0.25">
      <c r="A7396" s="1">
        <v>43642</v>
      </c>
      <c r="B7396">
        <v>123311</v>
      </c>
      <c r="C7396" t="s">
        <v>5577</v>
      </c>
      <c r="D7396" t="s">
        <v>6521</v>
      </c>
      <c r="E7396" s="2">
        <v>180.95</v>
      </c>
    </row>
    <row r="7397" spans="1:5" x14ac:dyDescent="0.25">
      <c r="A7397" s="1">
        <v>43642</v>
      </c>
      <c r="B7397">
        <v>123312</v>
      </c>
      <c r="C7397" t="s">
        <v>14</v>
      </c>
      <c r="D7397" t="s">
        <v>6522</v>
      </c>
      <c r="E7397" s="2">
        <v>29.9</v>
      </c>
    </row>
    <row r="7398" spans="1:5" x14ac:dyDescent="0.25">
      <c r="A7398" s="1">
        <v>43642</v>
      </c>
      <c r="B7398">
        <v>123313</v>
      </c>
      <c r="C7398" t="s">
        <v>760</v>
      </c>
      <c r="D7398" t="s">
        <v>6523</v>
      </c>
      <c r="E7398" s="2">
        <v>1436.2</v>
      </c>
    </row>
    <row r="7399" spans="1:5" x14ac:dyDescent="0.25">
      <c r="A7399" s="1">
        <v>43642</v>
      </c>
      <c r="B7399">
        <v>123314</v>
      </c>
      <c r="C7399" t="s">
        <v>213</v>
      </c>
      <c r="D7399" t="s">
        <v>6479</v>
      </c>
      <c r="E7399" s="2">
        <v>50.56</v>
      </c>
    </row>
    <row r="7400" spans="1:5" x14ac:dyDescent="0.25">
      <c r="A7400" s="1">
        <v>43642</v>
      </c>
      <c r="B7400">
        <v>123315</v>
      </c>
      <c r="C7400" t="s">
        <v>6524</v>
      </c>
      <c r="D7400" t="s">
        <v>6525</v>
      </c>
      <c r="E7400" s="2">
        <v>500</v>
      </c>
    </row>
    <row r="7401" spans="1:5" x14ac:dyDescent="0.25">
      <c r="A7401" s="1">
        <v>43642</v>
      </c>
      <c r="B7401">
        <v>123321</v>
      </c>
      <c r="C7401" t="s">
        <v>222</v>
      </c>
      <c r="D7401" t="s">
        <v>1972</v>
      </c>
      <c r="E7401" s="2">
        <v>32.72</v>
      </c>
    </row>
    <row r="7402" spans="1:5" x14ac:dyDescent="0.25">
      <c r="A7402" s="1">
        <v>43642</v>
      </c>
      <c r="B7402">
        <v>123321</v>
      </c>
      <c r="C7402" t="s">
        <v>222</v>
      </c>
      <c r="D7402" t="s">
        <v>6526</v>
      </c>
      <c r="E7402" s="2">
        <v>200.18</v>
      </c>
    </row>
    <row r="7403" spans="1:5" x14ac:dyDescent="0.25">
      <c r="A7403" s="1">
        <v>43642</v>
      </c>
      <c r="B7403">
        <v>123321</v>
      </c>
      <c r="C7403" t="s">
        <v>222</v>
      </c>
      <c r="D7403" t="s">
        <v>6527</v>
      </c>
      <c r="E7403" s="2">
        <v>72.39</v>
      </c>
    </row>
    <row r="7404" spans="1:5" x14ac:dyDescent="0.25">
      <c r="A7404" s="1">
        <v>43642</v>
      </c>
      <c r="B7404">
        <v>123321</v>
      </c>
      <c r="C7404" t="s">
        <v>222</v>
      </c>
      <c r="D7404" t="s">
        <v>6528</v>
      </c>
      <c r="E7404" s="2">
        <v>43.34</v>
      </c>
    </row>
    <row r="7405" spans="1:5" x14ac:dyDescent="0.25">
      <c r="A7405" s="1">
        <v>43642</v>
      </c>
      <c r="B7405">
        <v>123321</v>
      </c>
      <c r="C7405" t="s">
        <v>222</v>
      </c>
      <c r="D7405" t="s">
        <v>6529</v>
      </c>
      <c r="E7405" s="2">
        <v>33.36</v>
      </c>
    </row>
    <row r="7406" spans="1:5" x14ac:dyDescent="0.25">
      <c r="A7406" s="1">
        <v>43642</v>
      </c>
      <c r="B7406">
        <v>123321</v>
      </c>
      <c r="C7406" t="s">
        <v>222</v>
      </c>
      <c r="D7406" t="s">
        <v>6530</v>
      </c>
      <c r="E7406" s="2">
        <v>112.84</v>
      </c>
    </row>
    <row r="7407" spans="1:5" x14ac:dyDescent="0.25">
      <c r="A7407" s="1">
        <v>43642</v>
      </c>
      <c r="B7407">
        <v>123321</v>
      </c>
      <c r="C7407" t="s">
        <v>222</v>
      </c>
      <c r="D7407" t="s">
        <v>6531</v>
      </c>
      <c r="E7407" s="2">
        <v>286</v>
      </c>
    </row>
    <row r="7408" spans="1:5" x14ac:dyDescent="0.25">
      <c r="A7408" s="1">
        <v>43642</v>
      </c>
      <c r="B7408">
        <v>123321</v>
      </c>
      <c r="C7408" t="s">
        <v>222</v>
      </c>
      <c r="D7408" t="s">
        <v>6532</v>
      </c>
      <c r="E7408" s="2">
        <v>10.08</v>
      </c>
    </row>
    <row r="7409" spans="1:5" x14ac:dyDescent="0.25">
      <c r="A7409" s="1">
        <v>43642</v>
      </c>
      <c r="B7409">
        <v>123321</v>
      </c>
      <c r="C7409" t="s">
        <v>222</v>
      </c>
      <c r="D7409" t="s">
        <v>6533</v>
      </c>
      <c r="E7409" s="2">
        <v>24.68</v>
      </c>
    </row>
    <row r="7410" spans="1:5" x14ac:dyDescent="0.25">
      <c r="A7410" s="1">
        <v>43642</v>
      </c>
      <c r="B7410">
        <v>123321</v>
      </c>
      <c r="C7410" t="s">
        <v>222</v>
      </c>
      <c r="D7410" t="s">
        <v>6534</v>
      </c>
      <c r="E7410" s="2">
        <v>148.79</v>
      </c>
    </row>
    <row r="7411" spans="1:5" x14ac:dyDescent="0.25">
      <c r="A7411" s="1">
        <v>43642</v>
      </c>
      <c r="B7411">
        <v>123321</v>
      </c>
      <c r="C7411" t="s">
        <v>222</v>
      </c>
      <c r="D7411" t="s">
        <v>6535</v>
      </c>
      <c r="E7411" s="2">
        <v>33.36</v>
      </c>
    </row>
    <row r="7412" spans="1:5" x14ac:dyDescent="0.25">
      <c r="A7412" s="1">
        <v>43642</v>
      </c>
      <c r="B7412">
        <v>123321</v>
      </c>
      <c r="C7412" t="s">
        <v>222</v>
      </c>
      <c r="D7412" t="s">
        <v>6536</v>
      </c>
      <c r="E7412" s="2">
        <v>163.01</v>
      </c>
    </row>
    <row r="7413" spans="1:5" x14ac:dyDescent="0.25">
      <c r="A7413" s="1">
        <v>43642</v>
      </c>
      <c r="B7413">
        <v>123321</v>
      </c>
      <c r="C7413" t="s">
        <v>222</v>
      </c>
      <c r="D7413" t="s">
        <v>6537</v>
      </c>
      <c r="E7413" s="2">
        <v>-376.71</v>
      </c>
    </row>
    <row r="7414" spans="1:5" x14ac:dyDescent="0.25">
      <c r="A7414" s="1">
        <v>43642</v>
      </c>
      <c r="B7414">
        <v>123321</v>
      </c>
      <c r="C7414" t="s">
        <v>222</v>
      </c>
      <c r="D7414" t="s">
        <v>6538</v>
      </c>
      <c r="E7414" s="2">
        <f>348+376.71+87</f>
        <v>811.71</v>
      </c>
    </row>
    <row r="7415" spans="1:5" x14ac:dyDescent="0.25">
      <c r="A7415" s="1">
        <v>43642</v>
      </c>
      <c r="B7415">
        <v>123321</v>
      </c>
      <c r="C7415" t="s">
        <v>222</v>
      </c>
      <c r="D7415" t="s">
        <v>6539</v>
      </c>
      <c r="E7415" s="2">
        <v>198</v>
      </c>
    </row>
    <row r="7416" spans="1:5" x14ac:dyDescent="0.25">
      <c r="A7416" s="1">
        <v>43642</v>
      </c>
      <c r="B7416">
        <v>123321</v>
      </c>
      <c r="C7416" t="s">
        <v>222</v>
      </c>
      <c r="D7416" t="s">
        <v>6540</v>
      </c>
      <c r="E7416" s="2">
        <v>98.91</v>
      </c>
    </row>
    <row r="7417" spans="1:5" x14ac:dyDescent="0.25">
      <c r="A7417" s="1">
        <v>43642</v>
      </c>
      <c r="B7417">
        <v>123321</v>
      </c>
      <c r="C7417" t="s">
        <v>222</v>
      </c>
      <c r="D7417" t="s">
        <v>6541</v>
      </c>
      <c r="E7417" s="2">
        <v>42.98</v>
      </c>
    </row>
    <row r="7418" spans="1:5" x14ac:dyDescent="0.25">
      <c r="A7418" s="1">
        <v>43642</v>
      </c>
      <c r="B7418">
        <v>123321</v>
      </c>
      <c r="C7418" t="s">
        <v>222</v>
      </c>
      <c r="D7418" t="s">
        <v>6542</v>
      </c>
      <c r="E7418" s="2">
        <v>88.38</v>
      </c>
    </row>
    <row r="7419" spans="1:5" x14ac:dyDescent="0.25">
      <c r="A7419" s="1">
        <v>43642</v>
      </c>
      <c r="B7419">
        <v>123321</v>
      </c>
      <c r="C7419" t="s">
        <v>222</v>
      </c>
      <c r="D7419" t="s">
        <v>6543</v>
      </c>
      <c r="E7419" s="2">
        <v>128.75</v>
      </c>
    </row>
    <row r="7420" spans="1:5" x14ac:dyDescent="0.25">
      <c r="A7420" s="1">
        <v>43642</v>
      </c>
      <c r="B7420">
        <v>123321</v>
      </c>
      <c r="C7420" t="s">
        <v>222</v>
      </c>
      <c r="D7420" t="s">
        <v>6544</v>
      </c>
      <c r="E7420" s="2">
        <v>21.2</v>
      </c>
    </row>
    <row r="7421" spans="1:5" x14ac:dyDescent="0.25">
      <c r="A7421" s="1">
        <v>43642</v>
      </c>
      <c r="B7421">
        <v>123321</v>
      </c>
      <c r="C7421" t="s">
        <v>222</v>
      </c>
      <c r="D7421" t="s">
        <v>6545</v>
      </c>
      <c r="E7421" s="2">
        <v>152.72999999999999</v>
      </c>
    </row>
    <row r="7422" spans="1:5" x14ac:dyDescent="0.25">
      <c r="A7422" s="1">
        <v>43642</v>
      </c>
      <c r="B7422">
        <v>123322</v>
      </c>
      <c r="C7422" t="s">
        <v>213</v>
      </c>
      <c r="D7422" t="s">
        <v>6479</v>
      </c>
      <c r="E7422" s="2">
        <v>212.84</v>
      </c>
    </row>
    <row r="7423" spans="1:5" x14ac:dyDescent="0.25">
      <c r="A7423" s="1">
        <v>43643</v>
      </c>
      <c r="B7423">
        <v>123323</v>
      </c>
      <c r="C7423" t="s">
        <v>6546</v>
      </c>
      <c r="D7423" t="s">
        <v>786</v>
      </c>
      <c r="E7423" s="2">
        <f>917.58+330.3</f>
        <v>1247.8800000000001</v>
      </c>
    </row>
    <row r="7424" spans="1:5" x14ac:dyDescent="0.25">
      <c r="A7424" s="1">
        <v>43643</v>
      </c>
      <c r="B7424">
        <v>123324</v>
      </c>
      <c r="C7424" t="s">
        <v>1143</v>
      </c>
      <c r="D7424" t="s">
        <v>6424</v>
      </c>
      <c r="E7424" s="2">
        <f>715+715</f>
        <v>1430</v>
      </c>
    </row>
    <row r="7425" spans="1:5" x14ac:dyDescent="0.25">
      <c r="A7425" s="1">
        <v>43643</v>
      </c>
      <c r="B7425">
        <v>123325</v>
      </c>
      <c r="C7425" t="s">
        <v>6547</v>
      </c>
      <c r="D7425" t="s">
        <v>6548</v>
      </c>
      <c r="E7425" s="2">
        <v>39.049999999999997</v>
      </c>
    </row>
    <row r="7426" spans="1:5" x14ac:dyDescent="0.25">
      <c r="A7426" s="1">
        <v>43643</v>
      </c>
      <c r="B7426">
        <v>123326</v>
      </c>
      <c r="C7426" t="s">
        <v>6549</v>
      </c>
      <c r="D7426" t="s">
        <v>6550</v>
      </c>
      <c r="E7426" s="2">
        <v>350</v>
      </c>
    </row>
    <row r="7427" spans="1:5" x14ac:dyDescent="0.25">
      <c r="A7427" s="1">
        <v>43643</v>
      </c>
      <c r="B7427">
        <v>123327</v>
      </c>
      <c r="C7427" t="s">
        <v>6551</v>
      </c>
      <c r="D7427" t="s">
        <v>6552</v>
      </c>
      <c r="E7427" s="2">
        <v>34668.67</v>
      </c>
    </row>
    <row r="7428" spans="1:5" x14ac:dyDescent="0.25">
      <c r="A7428" s="1">
        <v>43643</v>
      </c>
      <c r="B7428">
        <v>123327</v>
      </c>
      <c r="C7428" t="s">
        <v>6551</v>
      </c>
      <c r="D7428" t="s">
        <v>6553</v>
      </c>
      <c r="E7428" s="2">
        <v>147574.5</v>
      </c>
    </row>
    <row r="7429" spans="1:5" x14ac:dyDescent="0.25">
      <c r="A7429" s="1">
        <v>43643</v>
      </c>
      <c r="B7429">
        <v>123328</v>
      </c>
      <c r="C7429" t="s">
        <v>819</v>
      </c>
      <c r="D7429" t="s">
        <v>6554</v>
      </c>
      <c r="E7429" s="2">
        <v>1162.4000000000001</v>
      </c>
    </row>
    <row r="7430" spans="1:5" x14ac:dyDescent="0.25">
      <c r="A7430" s="1">
        <v>43643</v>
      </c>
      <c r="B7430">
        <v>123329</v>
      </c>
      <c r="C7430" t="s">
        <v>942</v>
      </c>
      <c r="D7430" t="s">
        <v>6555</v>
      </c>
      <c r="E7430" s="2">
        <v>336</v>
      </c>
    </row>
    <row r="7431" spans="1:5" x14ac:dyDescent="0.25">
      <c r="A7431" s="1">
        <v>43643</v>
      </c>
      <c r="B7431">
        <v>123330</v>
      </c>
      <c r="C7431" t="s">
        <v>243</v>
      </c>
      <c r="D7431" t="s">
        <v>6556</v>
      </c>
      <c r="E7431" s="2">
        <f>42.51+117.42</f>
        <v>159.93</v>
      </c>
    </row>
    <row r="7432" spans="1:5" x14ac:dyDescent="0.25">
      <c r="A7432" s="1">
        <v>43643</v>
      </c>
      <c r="B7432">
        <v>123330</v>
      </c>
      <c r="C7432" t="s">
        <v>243</v>
      </c>
      <c r="D7432" t="s">
        <v>6557</v>
      </c>
      <c r="E7432" s="2">
        <v>117.42</v>
      </c>
    </row>
    <row r="7433" spans="1:5" x14ac:dyDescent="0.25">
      <c r="A7433" s="1">
        <v>43643</v>
      </c>
      <c r="B7433">
        <v>123331</v>
      </c>
      <c r="C7433" t="s">
        <v>7</v>
      </c>
      <c r="D7433" t="s">
        <v>6558</v>
      </c>
      <c r="E7433" s="2">
        <f>78+78</f>
        <v>156</v>
      </c>
    </row>
    <row r="7434" spans="1:5" x14ac:dyDescent="0.25">
      <c r="A7434" s="1">
        <v>43643</v>
      </c>
      <c r="B7434">
        <v>123332</v>
      </c>
      <c r="C7434" t="s">
        <v>673</v>
      </c>
      <c r="D7434" t="s">
        <v>6559</v>
      </c>
      <c r="E7434" s="2">
        <v>42.63</v>
      </c>
    </row>
    <row r="7435" spans="1:5" x14ac:dyDescent="0.25">
      <c r="A7435" s="1">
        <v>43643</v>
      </c>
      <c r="B7435">
        <v>123333</v>
      </c>
      <c r="C7435" t="s">
        <v>247</v>
      </c>
      <c r="D7435" t="s">
        <v>482</v>
      </c>
      <c r="E7435" s="2">
        <f>1992.71+319.49</f>
        <v>2312.1999999999998</v>
      </c>
    </row>
    <row r="7436" spans="1:5" x14ac:dyDescent="0.25">
      <c r="A7436" s="1">
        <v>43643</v>
      </c>
      <c r="B7436">
        <v>123335</v>
      </c>
      <c r="C7436" t="s">
        <v>1087</v>
      </c>
      <c r="D7436" t="s">
        <v>6560</v>
      </c>
      <c r="E7436" s="2">
        <v>194.59</v>
      </c>
    </row>
    <row r="7437" spans="1:5" x14ac:dyDescent="0.25">
      <c r="A7437" s="1">
        <v>43643</v>
      </c>
      <c r="B7437">
        <v>123336</v>
      </c>
      <c r="C7437" t="s">
        <v>2542</v>
      </c>
      <c r="D7437" t="s">
        <v>6561</v>
      </c>
      <c r="E7437" s="2">
        <v>7215</v>
      </c>
    </row>
    <row r="7438" spans="1:5" x14ac:dyDescent="0.25">
      <c r="A7438" s="1">
        <v>43643</v>
      </c>
      <c r="B7438">
        <v>123337</v>
      </c>
      <c r="C7438" t="s">
        <v>68</v>
      </c>
      <c r="D7438" t="s">
        <v>6562</v>
      </c>
      <c r="E7438" s="2">
        <v>30993.34</v>
      </c>
    </row>
    <row r="7439" spans="1:5" x14ac:dyDescent="0.25">
      <c r="A7439" s="1">
        <v>43643</v>
      </c>
      <c r="B7439">
        <v>123337</v>
      </c>
      <c r="C7439" t="s">
        <v>68</v>
      </c>
      <c r="D7439" t="s">
        <v>6563</v>
      </c>
      <c r="E7439" s="2">
        <v>773520</v>
      </c>
    </row>
    <row r="7440" spans="1:5" x14ac:dyDescent="0.25">
      <c r="A7440" s="1">
        <v>43643</v>
      </c>
      <c r="B7440">
        <v>123338</v>
      </c>
      <c r="C7440" t="s">
        <v>681</v>
      </c>
      <c r="D7440" t="s">
        <v>6564</v>
      </c>
      <c r="E7440" s="2">
        <v>115.54</v>
      </c>
    </row>
    <row r="7441" spans="1:5" x14ac:dyDescent="0.25">
      <c r="A7441" s="1">
        <v>43643</v>
      </c>
      <c r="B7441">
        <v>123339</v>
      </c>
      <c r="C7441" t="s">
        <v>6565</v>
      </c>
      <c r="D7441" t="s">
        <v>6566</v>
      </c>
      <c r="E7441" s="2">
        <v>675</v>
      </c>
    </row>
    <row r="7442" spans="1:5" x14ac:dyDescent="0.25">
      <c r="A7442" s="1">
        <v>43643</v>
      </c>
      <c r="B7442">
        <v>123340</v>
      </c>
      <c r="C7442" t="s">
        <v>685</v>
      </c>
      <c r="D7442" t="s">
        <v>6567</v>
      </c>
      <c r="E7442" s="2">
        <v>498.78</v>
      </c>
    </row>
    <row r="7443" spans="1:5" x14ac:dyDescent="0.25">
      <c r="A7443" s="1">
        <v>43643</v>
      </c>
      <c r="B7443">
        <v>123341</v>
      </c>
      <c r="C7443" t="s">
        <v>848</v>
      </c>
      <c r="D7443" t="s">
        <v>6568</v>
      </c>
      <c r="E7443" s="2">
        <v>22521.919999999998</v>
      </c>
    </row>
    <row r="7444" spans="1:5" x14ac:dyDescent="0.25">
      <c r="A7444" s="1">
        <v>43643</v>
      </c>
      <c r="B7444">
        <v>123342</v>
      </c>
      <c r="C7444" t="s">
        <v>2378</v>
      </c>
      <c r="D7444" t="s">
        <v>6569</v>
      </c>
      <c r="E7444" s="2">
        <v>108</v>
      </c>
    </row>
    <row r="7445" spans="1:5" x14ac:dyDescent="0.25">
      <c r="A7445" s="1">
        <v>43643</v>
      </c>
      <c r="B7445">
        <v>123343</v>
      </c>
      <c r="C7445" t="s">
        <v>849</v>
      </c>
      <c r="D7445" t="s">
        <v>6570</v>
      </c>
      <c r="E7445" s="2">
        <v>301</v>
      </c>
    </row>
    <row r="7446" spans="1:5" x14ac:dyDescent="0.25">
      <c r="A7446" s="1">
        <v>43643</v>
      </c>
      <c r="B7446">
        <v>123344</v>
      </c>
      <c r="C7446" t="s">
        <v>6571</v>
      </c>
      <c r="D7446" t="s">
        <v>6353</v>
      </c>
      <c r="E7446" s="2">
        <v>24.35</v>
      </c>
    </row>
    <row r="7447" spans="1:5" x14ac:dyDescent="0.25">
      <c r="A7447" s="1">
        <v>43643</v>
      </c>
      <c r="B7447">
        <v>123345</v>
      </c>
      <c r="C7447" t="s">
        <v>362</v>
      </c>
      <c r="D7447" t="s">
        <v>6572</v>
      </c>
      <c r="E7447" s="2">
        <v>3424</v>
      </c>
    </row>
    <row r="7448" spans="1:5" x14ac:dyDescent="0.25">
      <c r="A7448" s="1">
        <v>43643</v>
      </c>
      <c r="B7448">
        <v>123346</v>
      </c>
      <c r="C7448" t="s">
        <v>256</v>
      </c>
      <c r="D7448" t="s">
        <v>6573</v>
      </c>
      <c r="E7448" s="2">
        <v>18305.93</v>
      </c>
    </row>
    <row r="7449" spans="1:5" x14ac:dyDescent="0.25">
      <c r="A7449" s="1">
        <v>43643</v>
      </c>
      <c r="B7449">
        <v>123347</v>
      </c>
      <c r="C7449" t="s">
        <v>5944</v>
      </c>
      <c r="D7449" t="s">
        <v>6574</v>
      </c>
      <c r="E7449" s="2">
        <v>1300</v>
      </c>
    </row>
    <row r="7450" spans="1:5" x14ac:dyDescent="0.25">
      <c r="A7450" s="1">
        <v>43643</v>
      </c>
      <c r="B7450">
        <v>123348</v>
      </c>
      <c r="C7450" t="s">
        <v>4779</v>
      </c>
      <c r="D7450" t="s">
        <v>6575</v>
      </c>
      <c r="E7450" s="2">
        <v>8664.5</v>
      </c>
    </row>
    <row r="7451" spans="1:5" x14ac:dyDescent="0.25">
      <c r="A7451" s="1">
        <v>43643</v>
      </c>
      <c r="B7451">
        <v>123349</v>
      </c>
      <c r="C7451" t="s">
        <v>1670</v>
      </c>
      <c r="D7451" t="s">
        <v>6576</v>
      </c>
      <c r="E7451" s="2">
        <v>2052.9499999999998</v>
      </c>
    </row>
    <row r="7452" spans="1:5" x14ac:dyDescent="0.25">
      <c r="A7452" s="1">
        <v>43643</v>
      </c>
      <c r="B7452">
        <v>123350</v>
      </c>
      <c r="C7452" t="s">
        <v>597</v>
      </c>
      <c r="D7452" t="s">
        <v>598</v>
      </c>
      <c r="E7452" s="2">
        <v>0</v>
      </c>
    </row>
    <row r="7453" spans="1:5" x14ac:dyDescent="0.25">
      <c r="A7453" s="1">
        <v>43643</v>
      </c>
      <c r="B7453">
        <v>123351</v>
      </c>
      <c r="C7453" t="s">
        <v>6577</v>
      </c>
      <c r="D7453" t="s">
        <v>6548</v>
      </c>
      <c r="E7453" s="2">
        <v>39.049999999999997</v>
      </c>
    </row>
    <row r="7454" spans="1:5" x14ac:dyDescent="0.25">
      <c r="A7454" s="1">
        <v>43643</v>
      </c>
      <c r="B7454">
        <v>123352</v>
      </c>
      <c r="C7454" t="s">
        <v>597</v>
      </c>
      <c r="D7454" t="s">
        <v>598</v>
      </c>
      <c r="E7454" s="2">
        <v>0</v>
      </c>
    </row>
    <row r="7455" spans="1:5" x14ac:dyDescent="0.25">
      <c r="A7455" s="1">
        <v>43643</v>
      </c>
      <c r="B7455">
        <v>123353</v>
      </c>
      <c r="C7455" t="s">
        <v>146</v>
      </c>
      <c r="D7455" t="s">
        <v>6578</v>
      </c>
      <c r="E7455" s="2">
        <v>461.62</v>
      </c>
    </row>
    <row r="7456" spans="1:5" x14ac:dyDescent="0.25">
      <c r="A7456" s="1">
        <v>43643</v>
      </c>
      <c r="B7456">
        <v>123354</v>
      </c>
      <c r="C7456" t="s">
        <v>6579</v>
      </c>
      <c r="D7456" t="s">
        <v>773</v>
      </c>
      <c r="E7456" s="2">
        <f>410+1560</f>
        <v>1970</v>
      </c>
    </row>
    <row r="7457" spans="1:5" x14ac:dyDescent="0.25">
      <c r="A7457" s="1">
        <v>43643</v>
      </c>
      <c r="B7457">
        <v>123354</v>
      </c>
      <c r="C7457" t="s">
        <v>6579</v>
      </c>
      <c r="D7457" t="s">
        <v>6580</v>
      </c>
      <c r="E7457" s="2">
        <v>260</v>
      </c>
    </row>
    <row r="7458" spans="1:5" x14ac:dyDescent="0.25">
      <c r="A7458" s="1">
        <v>43643</v>
      </c>
      <c r="B7458">
        <v>123355</v>
      </c>
      <c r="C7458" t="s">
        <v>75</v>
      </c>
      <c r="D7458" t="s">
        <v>6581</v>
      </c>
      <c r="E7458" s="2">
        <v>23.61</v>
      </c>
    </row>
    <row r="7459" spans="1:5" x14ac:dyDescent="0.25">
      <c r="A7459" s="1">
        <v>43643</v>
      </c>
      <c r="B7459">
        <v>123356</v>
      </c>
      <c r="C7459" t="s">
        <v>744</v>
      </c>
      <c r="D7459" t="s">
        <v>6582</v>
      </c>
      <c r="E7459" s="2">
        <v>9000</v>
      </c>
    </row>
    <row r="7460" spans="1:5" x14ac:dyDescent="0.25">
      <c r="A7460" s="1">
        <v>43643</v>
      </c>
      <c r="B7460">
        <v>123357</v>
      </c>
      <c r="C7460" t="s">
        <v>50</v>
      </c>
      <c r="D7460" t="s">
        <v>6313</v>
      </c>
      <c r="E7460" s="2">
        <v>4450</v>
      </c>
    </row>
    <row r="7461" spans="1:5" x14ac:dyDescent="0.25">
      <c r="A7461" s="1">
        <v>43643</v>
      </c>
      <c r="B7461">
        <v>123358</v>
      </c>
      <c r="C7461" t="s">
        <v>298</v>
      </c>
      <c r="D7461" t="s">
        <v>773</v>
      </c>
      <c r="E7461" s="2">
        <v>891.6</v>
      </c>
    </row>
    <row r="7462" spans="1:5" x14ac:dyDescent="0.25">
      <c r="A7462" s="1">
        <v>43643</v>
      </c>
      <c r="B7462">
        <v>123359</v>
      </c>
      <c r="C7462" t="s">
        <v>14</v>
      </c>
      <c r="D7462" t="s">
        <v>6583</v>
      </c>
      <c r="E7462" s="2">
        <v>880.43</v>
      </c>
    </row>
    <row r="7463" spans="1:5" x14ac:dyDescent="0.25">
      <c r="A7463" s="1">
        <v>43643</v>
      </c>
      <c r="B7463">
        <v>123359</v>
      </c>
      <c r="C7463" t="s">
        <v>14</v>
      </c>
      <c r="D7463" t="s">
        <v>6584</v>
      </c>
      <c r="E7463" s="2">
        <v>976.64</v>
      </c>
    </row>
    <row r="7464" spans="1:5" x14ac:dyDescent="0.25">
      <c r="A7464" s="1">
        <v>43643</v>
      </c>
      <c r="B7464">
        <v>123360</v>
      </c>
      <c r="C7464" t="s">
        <v>6585</v>
      </c>
      <c r="D7464" t="s">
        <v>6586</v>
      </c>
      <c r="E7464" s="2">
        <v>1000</v>
      </c>
    </row>
    <row r="7465" spans="1:5" x14ac:dyDescent="0.25">
      <c r="A7465" s="1">
        <v>43643</v>
      </c>
      <c r="B7465">
        <v>123361</v>
      </c>
      <c r="C7465" t="s">
        <v>629</v>
      </c>
      <c r="D7465" t="s">
        <v>6587</v>
      </c>
      <c r="E7465" s="2">
        <v>230.5</v>
      </c>
    </row>
    <row r="7466" spans="1:5" x14ac:dyDescent="0.25">
      <c r="A7466" s="1">
        <v>43643</v>
      </c>
      <c r="B7466">
        <v>123362</v>
      </c>
      <c r="C7466" t="s">
        <v>757</v>
      </c>
      <c r="D7466" t="s">
        <v>6588</v>
      </c>
      <c r="E7466" s="2">
        <v>5625</v>
      </c>
    </row>
    <row r="7467" spans="1:5" x14ac:dyDescent="0.25">
      <c r="A7467" s="1">
        <v>43643</v>
      </c>
      <c r="B7467">
        <v>123363</v>
      </c>
      <c r="C7467" t="s">
        <v>4114</v>
      </c>
      <c r="D7467" t="s">
        <v>843</v>
      </c>
      <c r="E7467" s="2">
        <v>875.99</v>
      </c>
    </row>
    <row r="7468" spans="1:5" x14ac:dyDescent="0.25">
      <c r="A7468" s="1">
        <v>43643</v>
      </c>
      <c r="B7468">
        <v>123364</v>
      </c>
      <c r="C7468" t="s">
        <v>2591</v>
      </c>
      <c r="D7468" t="s">
        <v>6589</v>
      </c>
      <c r="E7468" s="2">
        <v>91.5</v>
      </c>
    </row>
    <row r="7469" spans="1:5" x14ac:dyDescent="0.25">
      <c r="A7469" s="1">
        <v>43643</v>
      </c>
      <c r="B7469">
        <v>123365</v>
      </c>
      <c r="C7469" t="s">
        <v>158</v>
      </c>
      <c r="D7469" t="s">
        <v>6590</v>
      </c>
      <c r="E7469" s="2">
        <v>532.20000000000005</v>
      </c>
    </row>
    <row r="7470" spans="1:5" x14ac:dyDescent="0.25">
      <c r="A7470" s="1">
        <v>43643</v>
      </c>
      <c r="B7470">
        <v>123366</v>
      </c>
      <c r="C7470" t="s">
        <v>161</v>
      </c>
      <c r="D7470" t="s">
        <v>773</v>
      </c>
      <c r="E7470" s="2">
        <f>1338+1338</f>
        <v>2676</v>
      </c>
    </row>
    <row r="7471" spans="1:5" x14ac:dyDescent="0.25">
      <c r="A7471" s="1">
        <v>43643</v>
      </c>
      <c r="B7471">
        <v>123367</v>
      </c>
      <c r="C7471" t="s">
        <v>55</v>
      </c>
      <c r="D7471" t="s">
        <v>6591</v>
      </c>
      <c r="E7471" s="2">
        <v>235</v>
      </c>
    </row>
    <row r="7472" spans="1:5" x14ac:dyDescent="0.25">
      <c r="A7472" s="1">
        <v>43643</v>
      </c>
      <c r="B7472">
        <v>123368</v>
      </c>
      <c r="C7472" t="s">
        <v>6592</v>
      </c>
      <c r="D7472" t="s">
        <v>6593</v>
      </c>
      <c r="E7472" s="2">
        <f>325+325</f>
        <v>650</v>
      </c>
    </row>
    <row r="7473" spans="1:5" x14ac:dyDescent="0.25">
      <c r="A7473" s="1">
        <v>43643</v>
      </c>
      <c r="B7473">
        <v>123369</v>
      </c>
      <c r="C7473" t="s">
        <v>1261</v>
      </c>
      <c r="D7473" t="s">
        <v>690</v>
      </c>
      <c r="E7473" s="2">
        <f>1548.65+195.25</f>
        <v>1743.9</v>
      </c>
    </row>
    <row r="7474" spans="1:5" x14ac:dyDescent="0.25">
      <c r="A7474" s="1">
        <v>43643</v>
      </c>
      <c r="B7474">
        <v>123370</v>
      </c>
      <c r="C7474" t="s">
        <v>88</v>
      </c>
      <c r="D7474" t="s">
        <v>6594</v>
      </c>
      <c r="E7474" s="2">
        <v>763.75</v>
      </c>
    </row>
    <row r="7475" spans="1:5" x14ac:dyDescent="0.25">
      <c r="A7475" s="1">
        <v>43643</v>
      </c>
      <c r="B7475">
        <v>123371</v>
      </c>
      <c r="C7475" t="s">
        <v>6328</v>
      </c>
      <c r="D7475" t="s">
        <v>6506</v>
      </c>
      <c r="E7475" s="2">
        <v>3836</v>
      </c>
    </row>
    <row r="7476" spans="1:5" x14ac:dyDescent="0.25">
      <c r="A7476" s="1">
        <v>43643</v>
      </c>
      <c r="B7476">
        <v>123371</v>
      </c>
      <c r="C7476" t="s">
        <v>6328</v>
      </c>
      <c r="D7476" t="s">
        <v>6595</v>
      </c>
      <c r="E7476" s="2">
        <v>54562.5</v>
      </c>
    </row>
    <row r="7477" spans="1:5" x14ac:dyDescent="0.25">
      <c r="A7477" s="1">
        <v>43643</v>
      </c>
      <c r="B7477">
        <v>123372</v>
      </c>
      <c r="C7477" t="s">
        <v>1729</v>
      </c>
      <c r="D7477" t="s">
        <v>6581</v>
      </c>
      <c r="E7477" s="2">
        <v>72.180000000000007</v>
      </c>
    </row>
    <row r="7478" spans="1:5" x14ac:dyDescent="0.25">
      <c r="A7478" s="1">
        <v>43643</v>
      </c>
      <c r="B7478">
        <v>123373</v>
      </c>
      <c r="C7478" t="s">
        <v>6203</v>
      </c>
      <c r="D7478" t="s">
        <v>6596</v>
      </c>
      <c r="E7478" s="2">
        <v>7562.7</v>
      </c>
    </row>
    <row r="7479" spans="1:5" x14ac:dyDescent="0.25">
      <c r="A7479" s="1">
        <v>43643</v>
      </c>
      <c r="B7479">
        <v>123379</v>
      </c>
      <c r="C7479" t="s">
        <v>222</v>
      </c>
      <c r="D7479" t="s">
        <v>6597</v>
      </c>
      <c r="E7479" s="2">
        <v>217.04</v>
      </c>
    </row>
    <row r="7480" spans="1:5" x14ac:dyDescent="0.25">
      <c r="A7480" s="1">
        <v>43643</v>
      </c>
      <c r="B7480">
        <v>123379</v>
      </c>
      <c r="C7480" t="s">
        <v>222</v>
      </c>
      <c r="D7480" t="s">
        <v>6598</v>
      </c>
      <c r="E7480" s="2">
        <v>15.76</v>
      </c>
    </row>
    <row r="7481" spans="1:5" x14ac:dyDescent="0.25">
      <c r="A7481" s="1">
        <v>43643</v>
      </c>
      <c r="B7481">
        <v>123379</v>
      </c>
      <c r="C7481" t="s">
        <v>222</v>
      </c>
      <c r="D7481" t="s">
        <v>6599</v>
      </c>
      <c r="E7481" s="2">
        <f>74.83+69.82+70.25</f>
        <v>214.89999999999998</v>
      </c>
    </row>
    <row r="7482" spans="1:5" x14ac:dyDescent="0.25">
      <c r="A7482" s="1">
        <v>43643</v>
      </c>
      <c r="B7482">
        <v>123379</v>
      </c>
      <c r="C7482" t="s">
        <v>222</v>
      </c>
      <c r="D7482" t="s">
        <v>6600</v>
      </c>
      <c r="E7482" s="2">
        <v>40.86</v>
      </c>
    </row>
    <row r="7483" spans="1:5" x14ac:dyDescent="0.25">
      <c r="A7483" s="1">
        <v>43643</v>
      </c>
      <c r="B7483">
        <v>123379</v>
      </c>
      <c r="C7483" t="s">
        <v>222</v>
      </c>
      <c r="D7483" t="s">
        <v>5344</v>
      </c>
      <c r="E7483" s="2">
        <v>91.66</v>
      </c>
    </row>
    <row r="7484" spans="1:5" x14ac:dyDescent="0.25">
      <c r="A7484" s="1">
        <v>43643</v>
      </c>
      <c r="B7484">
        <v>123379</v>
      </c>
      <c r="C7484" t="s">
        <v>222</v>
      </c>
      <c r="D7484" t="s">
        <v>6601</v>
      </c>
      <c r="E7484" s="2">
        <v>342.58</v>
      </c>
    </row>
    <row r="7485" spans="1:5" x14ac:dyDescent="0.25">
      <c r="A7485" s="1">
        <v>43643</v>
      </c>
      <c r="B7485">
        <v>123379</v>
      </c>
      <c r="C7485" t="s">
        <v>222</v>
      </c>
      <c r="D7485" t="s">
        <v>6602</v>
      </c>
      <c r="E7485" s="2">
        <v>292.52999999999997</v>
      </c>
    </row>
    <row r="7486" spans="1:5" x14ac:dyDescent="0.25">
      <c r="A7486" s="1">
        <v>43643</v>
      </c>
      <c r="B7486">
        <v>123379</v>
      </c>
      <c r="C7486" t="s">
        <v>222</v>
      </c>
      <c r="D7486" t="s">
        <v>6603</v>
      </c>
      <c r="E7486" s="2">
        <v>275.95</v>
      </c>
    </row>
    <row r="7487" spans="1:5" x14ac:dyDescent="0.25">
      <c r="A7487" s="1">
        <v>43643</v>
      </c>
      <c r="B7487">
        <v>123379</v>
      </c>
      <c r="C7487" t="s">
        <v>222</v>
      </c>
      <c r="D7487" t="s">
        <v>6604</v>
      </c>
      <c r="E7487" s="2">
        <v>148.66999999999999</v>
      </c>
    </row>
    <row r="7488" spans="1:5" x14ac:dyDescent="0.25">
      <c r="A7488" s="1">
        <v>43643</v>
      </c>
      <c r="B7488">
        <v>123379</v>
      </c>
      <c r="C7488" t="s">
        <v>222</v>
      </c>
      <c r="D7488" t="s">
        <v>6605</v>
      </c>
      <c r="E7488" s="2">
        <v>47.84</v>
      </c>
    </row>
    <row r="7489" spans="1:5" x14ac:dyDescent="0.25">
      <c r="A7489" s="1">
        <v>43643</v>
      </c>
      <c r="B7489">
        <v>123379</v>
      </c>
      <c r="C7489" t="s">
        <v>222</v>
      </c>
      <c r="D7489" t="s">
        <v>6606</v>
      </c>
      <c r="E7489" s="2">
        <v>124.9</v>
      </c>
    </row>
    <row r="7490" spans="1:5" x14ac:dyDescent="0.25">
      <c r="A7490" s="1">
        <v>43643</v>
      </c>
      <c r="B7490">
        <v>123379</v>
      </c>
      <c r="C7490" t="s">
        <v>222</v>
      </c>
      <c r="D7490" t="s">
        <v>6607</v>
      </c>
      <c r="E7490" s="2">
        <v>148.83000000000001</v>
      </c>
    </row>
    <row r="7491" spans="1:5" x14ac:dyDescent="0.25">
      <c r="A7491" s="1">
        <v>43643</v>
      </c>
      <c r="B7491">
        <v>123379</v>
      </c>
      <c r="C7491" t="s">
        <v>222</v>
      </c>
      <c r="D7491" t="s">
        <v>6599</v>
      </c>
      <c r="E7491" s="2">
        <v>67.11</v>
      </c>
    </row>
    <row r="7492" spans="1:5" x14ac:dyDescent="0.25">
      <c r="A7492" s="1">
        <v>43643</v>
      </c>
      <c r="B7492">
        <v>123379</v>
      </c>
      <c r="C7492" t="s">
        <v>222</v>
      </c>
      <c r="D7492" t="s">
        <v>1311</v>
      </c>
      <c r="E7492" s="2">
        <v>133.47</v>
      </c>
    </row>
    <row r="7493" spans="1:5" x14ac:dyDescent="0.25">
      <c r="A7493" s="1">
        <v>43643</v>
      </c>
      <c r="B7493">
        <v>123379</v>
      </c>
      <c r="C7493" t="s">
        <v>222</v>
      </c>
      <c r="D7493" t="s">
        <v>6608</v>
      </c>
      <c r="E7493" s="2">
        <v>129.87</v>
      </c>
    </row>
    <row r="7494" spans="1:5" x14ac:dyDescent="0.25">
      <c r="A7494" s="1">
        <v>43643</v>
      </c>
      <c r="B7494">
        <v>123379</v>
      </c>
      <c r="C7494" t="s">
        <v>222</v>
      </c>
      <c r="D7494" t="s">
        <v>6609</v>
      </c>
      <c r="E7494" s="2">
        <v>63.93</v>
      </c>
    </row>
    <row r="7495" spans="1:5" x14ac:dyDescent="0.25">
      <c r="A7495" s="1">
        <v>43643</v>
      </c>
      <c r="B7495">
        <v>123379</v>
      </c>
      <c r="C7495" t="s">
        <v>222</v>
      </c>
      <c r="D7495" t="s">
        <v>6610</v>
      </c>
      <c r="E7495" s="2">
        <v>249.02</v>
      </c>
    </row>
    <row r="7496" spans="1:5" x14ac:dyDescent="0.25">
      <c r="A7496" s="1">
        <v>43643</v>
      </c>
      <c r="B7496">
        <v>123379</v>
      </c>
      <c r="C7496" t="s">
        <v>222</v>
      </c>
      <c r="D7496" t="s">
        <v>481</v>
      </c>
      <c r="E7496" s="2">
        <v>649.44000000000005</v>
      </c>
    </row>
    <row r="7497" spans="1:5" x14ac:dyDescent="0.25">
      <c r="A7497" s="1">
        <v>43643</v>
      </c>
      <c r="B7497">
        <v>123379</v>
      </c>
      <c r="C7497" t="s">
        <v>222</v>
      </c>
      <c r="D7497" t="s">
        <v>6611</v>
      </c>
      <c r="E7497" s="2">
        <v>-82.9</v>
      </c>
    </row>
    <row r="7498" spans="1:5" x14ac:dyDescent="0.25">
      <c r="A7498" s="1">
        <v>43643</v>
      </c>
      <c r="B7498">
        <v>123379</v>
      </c>
      <c r="C7498" t="s">
        <v>222</v>
      </c>
      <c r="D7498" t="s">
        <v>6612</v>
      </c>
      <c r="E7498" s="2">
        <v>74.75</v>
      </c>
    </row>
    <row r="7499" spans="1:5" x14ac:dyDescent="0.25">
      <c r="A7499" s="1">
        <v>43643</v>
      </c>
      <c r="B7499">
        <v>123379</v>
      </c>
      <c r="C7499" t="s">
        <v>222</v>
      </c>
      <c r="D7499" t="s">
        <v>6613</v>
      </c>
      <c r="E7499" s="2">
        <v>125.01</v>
      </c>
    </row>
    <row r="7500" spans="1:5" x14ac:dyDescent="0.25">
      <c r="A7500" s="1">
        <v>43643</v>
      </c>
      <c r="B7500">
        <v>123379</v>
      </c>
      <c r="C7500" t="s">
        <v>222</v>
      </c>
      <c r="D7500" t="s">
        <v>6597</v>
      </c>
      <c r="E7500" s="2">
        <v>80.739999999999995</v>
      </c>
    </row>
    <row r="7501" spans="1:5" x14ac:dyDescent="0.25">
      <c r="A7501" s="1">
        <v>43643</v>
      </c>
      <c r="B7501">
        <v>123379</v>
      </c>
      <c r="C7501" t="s">
        <v>222</v>
      </c>
      <c r="D7501" t="s">
        <v>6614</v>
      </c>
      <c r="E7501" s="2">
        <f>177.84+64.97</f>
        <v>242.81</v>
      </c>
    </row>
    <row r="7502" spans="1:5" x14ac:dyDescent="0.25">
      <c r="A7502" s="1">
        <v>43643</v>
      </c>
      <c r="B7502">
        <v>123382</v>
      </c>
      <c r="C7502" t="s">
        <v>388</v>
      </c>
      <c r="D7502" t="s">
        <v>589</v>
      </c>
      <c r="E7502" s="2">
        <v>3890.74</v>
      </c>
    </row>
    <row r="7503" spans="1:5" x14ac:dyDescent="0.25">
      <c r="A7503" s="1">
        <v>43643</v>
      </c>
      <c r="B7503">
        <v>123382</v>
      </c>
      <c r="C7503" t="s">
        <v>388</v>
      </c>
      <c r="D7503" t="s">
        <v>6615</v>
      </c>
      <c r="E7503" s="2">
        <v>443.87</v>
      </c>
    </row>
    <row r="7504" spans="1:5" x14ac:dyDescent="0.25">
      <c r="A7504" s="1">
        <v>43622</v>
      </c>
      <c r="B7504">
        <v>181900347</v>
      </c>
      <c r="C7504" t="s">
        <v>6616</v>
      </c>
      <c r="D7504" t="s">
        <v>6353</v>
      </c>
      <c r="E7504" s="2">
        <v>47.55</v>
      </c>
    </row>
    <row r="7505" spans="1:5" x14ac:dyDescent="0.25">
      <c r="A7505" s="1">
        <v>43628</v>
      </c>
      <c r="B7505">
        <v>181900348</v>
      </c>
      <c r="C7505" t="s">
        <v>302</v>
      </c>
      <c r="D7505" t="s">
        <v>6617</v>
      </c>
      <c r="E7505" s="2">
        <v>145</v>
      </c>
    </row>
    <row r="7506" spans="1:5" x14ac:dyDescent="0.25">
      <c r="A7506" s="1">
        <v>43629</v>
      </c>
      <c r="B7506">
        <v>181900349</v>
      </c>
      <c r="C7506" t="s">
        <v>398</v>
      </c>
      <c r="D7506" t="s">
        <v>6618</v>
      </c>
      <c r="E7506" s="2">
        <v>134461.76999999999</v>
      </c>
    </row>
    <row r="7507" spans="1:5" x14ac:dyDescent="0.25">
      <c r="A7507" s="1">
        <v>43629</v>
      </c>
      <c r="B7507">
        <v>181900350</v>
      </c>
      <c r="C7507" t="s">
        <v>48</v>
      </c>
      <c r="D7507" t="s">
        <v>6619</v>
      </c>
      <c r="E7507" s="2">
        <v>4487.0600000000004</v>
      </c>
    </row>
    <row r="7508" spans="1:5" x14ac:dyDescent="0.25">
      <c r="A7508" s="1">
        <v>43629</v>
      </c>
      <c r="B7508">
        <v>181900351</v>
      </c>
      <c r="C7508" t="s">
        <v>2989</v>
      </c>
      <c r="D7508" t="s">
        <v>880</v>
      </c>
      <c r="E7508" s="2">
        <v>315.37</v>
      </c>
    </row>
    <row r="7509" spans="1:5" x14ac:dyDescent="0.25">
      <c r="A7509" s="1">
        <v>43635</v>
      </c>
      <c r="B7509">
        <v>181900357</v>
      </c>
      <c r="C7509" t="s">
        <v>4185</v>
      </c>
      <c r="D7509" t="s">
        <v>880</v>
      </c>
      <c r="E7509" s="2">
        <v>63.2</v>
      </c>
    </row>
    <row r="7510" spans="1:5" x14ac:dyDescent="0.25">
      <c r="A7510" s="1">
        <v>43635</v>
      </c>
      <c r="B7510">
        <v>181900358</v>
      </c>
      <c r="C7510" t="s">
        <v>6620</v>
      </c>
      <c r="D7510" t="s">
        <v>880</v>
      </c>
      <c r="E7510" s="2">
        <v>67.989999999999995</v>
      </c>
    </row>
    <row r="7511" spans="1:5" x14ac:dyDescent="0.25">
      <c r="A7511" s="1">
        <v>43635</v>
      </c>
      <c r="B7511">
        <v>181900359</v>
      </c>
      <c r="C7511" t="s">
        <v>6621</v>
      </c>
      <c r="D7511" t="s">
        <v>880</v>
      </c>
      <c r="E7511" s="2">
        <v>38.799999999999997</v>
      </c>
    </row>
    <row r="7512" spans="1:5" x14ac:dyDescent="0.25">
      <c r="A7512" s="1">
        <v>43635</v>
      </c>
      <c r="B7512">
        <v>181900360</v>
      </c>
      <c r="C7512" t="s">
        <v>6622</v>
      </c>
      <c r="D7512" t="s">
        <v>880</v>
      </c>
      <c r="E7512" s="2">
        <v>260</v>
      </c>
    </row>
    <row r="7513" spans="1:5" x14ac:dyDescent="0.25">
      <c r="A7513" s="1">
        <v>43635</v>
      </c>
      <c r="B7513">
        <v>181900361</v>
      </c>
      <c r="C7513" t="s">
        <v>398</v>
      </c>
      <c r="D7513" t="s">
        <v>6623</v>
      </c>
      <c r="E7513" s="2">
        <v>1987.55</v>
      </c>
    </row>
    <row r="7514" spans="1:5" x14ac:dyDescent="0.25">
      <c r="A7514" s="1">
        <v>43635</v>
      </c>
      <c r="B7514">
        <v>181900362</v>
      </c>
      <c r="C7514" t="s">
        <v>6624</v>
      </c>
      <c r="D7514" t="s">
        <v>880</v>
      </c>
      <c r="E7514" s="2">
        <v>37</v>
      </c>
    </row>
    <row r="7515" spans="1:5" x14ac:dyDescent="0.25">
      <c r="A7515" s="1">
        <v>43635</v>
      </c>
      <c r="B7515">
        <v>181900363</v>
      </c>
      <c r="C7515" t="s">
        <v>6625</v>
      </c>
      <c r="D7515" t="s">
        <v>880</v>
      </c>
      <c r="E7515" s="2">
        <v>54.55</v>
      </c>
    </row>
    <row r="7516" spans="1:5" x14ac:dyDescent="0.25">
      <c r="A7516" s="1">
        <v>43635</v>
      </c>
      <c r="B7516">
        <v>181900364</v>
      </c>
      <c r="C7516" t="s">
        <v>274</v>
      </c>
      <c r="D7516" t="s">
        <v>6626</v>
      </c>
      <c r="E7516" s="2">
        <v>352.6</v>
      </c>
    </row>
    <row r="7517" spans="1:5" x14ac:dyDescent="0.25">
      <c r="A7517" s="1">
        <v>43635</v>
      </c>
      <c r="B7517">
        <v>181900365</v>
      </c>
      <c r="C7517" t="s">
        <v>6627</v>
      </c>
      <c r="D7517" t="s">
        <v>880</v>
      </c>
      <c r="E7517" s="2">
        <v>30.02</v>
      </c>
    </row>
    <row r="7518" spans="1:5" x14ac:dyDescent="0.25">
      <c r="A7518" s="1">
        <v>43635</v>
      </c>
      <c r="B7518">
        <v>181900366</v>
      </c>
      <c r="C7518" t="s">
        <v>6628</v>
      </c>
      <c r="D7518" t="s">
        <v>880</v>
      </c>
      <c r="E7518" s="2">
        <v>17.440000000000001</v>
      </c>
    </row>
    <row r="7519" spans="1:5" x14ac:dyDescent="0.25">
      <c r="A7519" s="1">
        <v>43635</v>
      </c>
      <c r="B7519">
        <v>181900367</v>
      </c>
      <c r="C7519" t="s">
        <v>4209</v>
      </c>
      <c r="D7519" t="s">
        <v>880</v>
      </c>
      <c r="E7519" s="2">
        <v>250</v>
      </c>
    </row>
    <row r="7520" spans="1:5" x14ac:dyDescent="0.25">
      <c r="A7520" s="1">
        <v>43643</v>
      </c>
      <c r="B7520">
        <v>181900369</v>
      </c>
      <c r="C7520" t="s">
        <v>4183</v>
      </c>
      <c r="D7520" t="s">
        <v>880</v>
      </c>
      <c r="E7520" s="2">
        <v>58.65</v>
      </c>
    </row>
    <row r="7521" spans="1:5" x14ac:dyDescent="0.25">
      <c r="A7521" s="1">
        <v>43643</v>
      </c>
      <c r="B7521">
        <v>181900370</v>
      </c>
      <c r="C7521" t="s">
        <v>6629</v>
      </c>
      <c r="D7521" t="s">
        <v>880</v>
      </c>
      <c r="E7521" s="2">
        <v>61.33</v>
      </c>
    </row>
    <row r="7522" spans="1:5" x14ac:dyDescent="0.25">
      <c r="A7522" s="1">
        <v>43643</v>
      </c>
      <c r="B7522">
        <v>181900371</v>
      </c>
      <c r="C7522" t="s">
        <v>6630</v>
      </c>
      <c r="D7522" t="s">
        <v>880</v>
      </c>
      <c r="E7522" s="2">
        <v>69.83</v>
      </c>
    </row>
    <row r="7523" spans="1:5" x14ac:dyDescent="0.25">
      <c r="A7523" s="1">
        <v>43643</v>
      </c>
      <c r="B7523">
        <v>181900372</v>
      </c>
      <c r="C7523" t="s">
        <v>4205</v>
      </c>
      <c r="D7523" t="s">
        <v>880</v>
      </c>
      <c r="E7523" s="2">
        <v>737.49</v>
      </c>
    </row>
    <row r="7524" spans="1:5" x14ac:dyDescent="0.25">
      <c r="A7524" s="1">
        <v>43643</v>
      </c>
      <c r="B7524">
        <v>181900373</v>
      </c>
      <c r="C7524" t="s">
        <v>4154</v>
      </c>
      <c r="D7524" t="s">
        <v>880</v>
      </c>
      <c r="E7524" s="2">
        <v>60</v>
      </c>
    </row>
    <row r="7525" spans="1:5" x14ac:dyDescent="0.25">
      <c r="A7525" s="1">
        <v>43643</v>
      </c>
      <c r="B7525">
        <v>181900374</v>
      </c>
      <c r="C7525" t="s">
        <v>6631</v>
      </c>
      <c r="D7525" t="s">
        <v>880</v>
      </c>
      <c r="E7525" s="2">
        <v>37.53</v>
      </c>
    </row>
    <row r="7526" spans="1:5" x14ac:dyDescent="0.25">
      <c r="A7526" s="1">
        <v>43643</v>
      </c>
      <c r="B7526">
        <v>181900375</v>
      </c>
      <c r="C7526" t="s">
        <v>6632</v>
      </c>
      <c r="D7526" t="s">
        <v>880</v>
      </c>
      <c r="E7526" s="2">
        <v>42</v>
      </c>
    </row>
    <row r="7527" spans="1:5" x14ac:dyDescent="0.25">
      <c r="A7527" s="1">
        <v>43643</v>
      </c>
      <c r="B7527">
        <v>181900376</v>
      </c>
      <c r="C7527" t="s">
        <v>6633</v>
      </c>
      <c r="D7527" t="s">
        <v>880</v>
      </c>
      <c r="E7527" s="2">
        <v>239.94</v>
      </c>
    </row>
    <row r="7528" spans="1:5" x14ac:dyDescent="0.25">
      <c r="A7528" s="1">
        <v>43643</v>
      </c>
      <c r="B7528">
        <v>181900377</v>
      </c>
      <c r="C7528" t="s">
        <v>6634</v>
      </c>
      <c r="D7528" t="s">
        <v>880</v>
      </c>
      <c r="E7528" s="2">
        <v>59.15</v>
      </c>
    </row>
    <row r="7529" spans="1:5" x14ac:dyDescent="0.25">
      <c r="A7529" s="1">
        <v>43643</v>
      </c>
      <c r="B7529">
        <v>181900378</v>
      </c>
      <c r="C7529" t="s">
        <v>6635</v>
      </c>
      <c r="D7529" t="s">
        <v>880</v>
      </c>
      <c r="E7529" s="2">
        <v>384</v>
      </c>
    </row>
    <row r="7530" spans="1:5" x14ac:dyDescent="0.25">
      <c r="A7530" s="1">
        <v>43643</v>
      </c>
      <c r="B7530">
        <v>181900379</v>
      </c>
      <c r="C7530" t="s">
        <v>274</v>
      </c>
      <c r="D7530" t="s">
        <v>6636</v>
      </c>
      <c r="E7530" s="2">
        <v>2430.8000000000002</v>
      </c>
    </row>
    <row r="7531" spans="1:5" x14ac:dyDescent="0.25">
      <c r="A7531" s="1">
        <v>43643</v>
      </c>
      <c r="B7531">
        <v>181900380</v>
      </c>
      <c r="C7531" t="s">
        <v>48</v>
      </c>
      <c r="D7531" t="s">
        <v>6619</v>
      </c>
      <c r="E7531" s="2">
        <v>7622.63</v>
      </c>
    </row>
    <row r="7532" spans="1:5" x14ac:dyDescent="0.25">
      <c r="A7532" s="1">
        <v>43643</v>
      </c>
      <c r="B7532">
        <v>181900381</v>
      </c>
      <c r="C7532" t="s">
        <v>4207</v>
      </c>
      <c r="D7532" t="s">
        <v>880</v>
      </c>
      <c r="E7532" s="2">
        <v>195</v>
      </c>
    </row>
    <row r="7533" spans="1:5" x14ac:dyDescent="0.25">
      <c r="A7533" s="1">
        <v>43643</v>
      </c>
      <c r="B7533">
        <v>181900382</v>
      </c>
      <c r="C7533" t="s">
        <v>6637</v>
      </c>
      <c r="D7533" t="s">
        <v>6638</v>
      </c>
      <c r="E7533" s="2">
        <v>200</v>
      </c>
    </row>
    <row r="7534" spans="1:5" x14ac:dyDescent="0.25">
      <c r="A7534" s="1">
        <v>43643</v>
      </c>
      <c r="B7534">
        <v>181900383</v>
      </c>
      <c r="C7534" t="s">
        <v>6639</v>
      </c>
      <c r="D7534" t="s">
        <v>5371</v>
      </c>
      <c r="E7534" s="2">
        <v>118.87</v>
      </c>
    </row>
    <row r="7535" spans="1:5" x14ac:dyDescent="0.25">
      <c r="A7535" s="1">
        <v>43643</v>
      </c>
      <c r="B7535">
        <v>181900384</v>
      </c>
      <c r="C7535" t="s">
        <v>393</v>
      </c>
      <c r="D7535" t="s">
        <v>880</v>
      </c>
      <c r="E7535" s="2">
        <v>279.05</v>
      </c>
    </row>
    <row r="7536" spans="1:5" x14ac:dyDescent="0.25">
      <c r="A7536" s="1">
        <v>43643</v>
      </c>
      <c r="B7536">
        <v>181900385</v>
      </c>
      <c r="C7536" t="s">
        <v>6640</v>
      </c>
      <c r="D7536" t="s">
        <v>880</v>
      </c>
      <c r="E7536" s="2">
        <v>46.33</v>
      </c>
    </row>
    <row r="7537" spans="1:5" x14ac:dyDescent="0.25">
      <c r="A7537" s="1">
        <v>43643</v>
      </c>
      <c r="B7537">
        <v>181900386</v>
      </c>
      <c r="C7537" t="s">
        <v>919</v>
      </c>
      <c r="D7537" t="s">
        <v>1045</v>
      </c>
      <c r="E7537" s="2">
        <v>118.87</v>
      </c>
    </row>
    <row r="7538" spans="1:5" x14ac:dyDescent="0.25">
      <c r="A7538" s="1">
        <v>43620</v>
      </c>
      <c r="B7538">
        <v>201800212</v>
      </c>
      <c r="C7538" t="s">
        <v>1612</v>
      </c>
      <c r="D7538" t="s">
        <v>6641</v>
      </c>
      <c r="E7538" s="2">
        <v>480</v>
      </c>
    </row>
    <row r="7539" spans="1:5" x14ac:dyDescent="0.25">
      <c r="A7539" s="1">
        <v>43626</v>
      </c>
      <c r="B7539">
        <v>201800213</v>
      </c>
      <c r="C7539" t="s">
        <v>1767</v>
      </c>
      <c r="D7539" t="s">
        <v>6642</v>
      </c>
      <c r="E7539" s="2">
        <v>51.55</v>
      </c>
    </row>
    <row r="7540" spans="1:5" x14ac:dyDescent="0.25">
      <c r="A7540" s="1">
        <v>43626</v>
      </c>
      <c r="B7540">
        <v>201800214</v>
      </c>
      <c r="C7540" t="s">
        <v>2292</v>
      </c>
      <c r="D7540" t="s">
        <v>6643</v>
      </c>
      <c r="E7540" s="2">
        <v>252.63</v>
      </c>
    </row>
    <row r="7541" spans="1:5" x14ac:dyDescent="0.25">
      <c r="A7541" s="1">
        <v>43626</v>
      </c>
      <c r="B7541">
        <v>201800215</v>
      </c>
      <c r="C7541" t="s">
        <v>789</v>
      </c>
      <c r="D7541" t="s">
        <v>6644</v>
      </c>
      <c r="E7541" s="2">
        <v>199</v>
      </c>
    </row>
    <row r="7542" spans="1:5" x14ac:dyDescent="0.25">
      <c r="A7542" s="1">
        <v>43626</v>
      </c>
      <c r="B7542">
        <v>201800216</v>
      </c>
      <c r="C7542" t="s">
        <v>928</v>
      </c>
      <c r="D7542" t="s">
        <v>6645</v>
      </c>
      <c r="E7542" s="2">
        <v>175.92</v>
      </c>
    </row>
    <row r="7543" spans="1:5" x14ac:dyDescent="0.25">
      <c r="A7543" s="1">
        <v>43626</v>
      </c>
      <c r="B7543">
        <v>201800217</v>
      </c>
      <c r="C7543" t="s">
        <v>6646</v>
      </c>
      <c r="D7543" t="s">
        <v>6647</v>
      </c>
      <c r="E7543" s="2">
        <v>248.81</v>
      </c>
    </row>
    <row r="7544" spans="1:5" x14ac:dyDescent="0.25">
      <c r="A7544" s="1">
        <v>43626</v>
      </c>
      <c r="B7544">
        <v>201800218</v>
      </c>
      <c r="C7544" t="s">
        <v>404</v>
      </c>
      <c r="D7544" t="s">
        <v>4892</v>
      </c>
      <c r="E7544" s="2">
        <v>336.08</v>
      </c>
    </row>
    <row r="7545" spans="1:5" x14ac:dyDescent="0.25">
      <c r="A7545" s="1">
        <v>43626</v>
      </c>
      <c r="B7545">
        <v>201800219</v>
      </c>
      <c r="C7545" t="s">
        <v>1092</v>
      </c>
      <c r="D7545" t="s">
        <v>6648</v>
      </c>
      <c r="E7545" s="2">
        <v>71</v>
      </c>
    </row>
    <row r="7546" spans="1:5" x14ac:dyDescent="0.25">
      <c r="A7546" s="1">
        <v>43626</v>
      </c>
      <c r="B7546">
        <v>201800220</v>
      </c>
      <c r="C7546" t="s">
        <v>2712</v>
      </c>
      <c r="D7546" t="s">
        <v>6649</v>
      </c>
      <c r="E7546" s="2">
        <v>754</v>
      </c>
    </row>
    <row r="7547" spans="1:5" x14ac:dyDescent="0.25">
      <c r="A7547" s="1">
        <v>43626</v>
      </c>
      <c r="B7547">
        <v>201800221</v>
      </c>
      <c r="C7547" t="s">
        <v>405</v>
      </c>
      <c r="D7547" t="s">
        <v>6650</v>
      </c>
      <c r="E7547" s="2">
        <v>915</v>
      </c>
    </row>
    <row r="7548" spans="1:5" x14ac:dyDescent="0.25">
      <c r="A7548" s="1">
        <v>43626</v>
      </c>
      <c r="B7548">
        <v>201800221</v>
      </c>
      <c r="C7548" t="s">
        <v>405</v>
      </c>
      <c r="D7548" t="s">
        <v>6651</v>
      </c>
      <c r="E7548" s="2">
        <v>53.7</v>
      </c>
    </row>
    <row r="7549" spans="1:5" x14ac:dyDescent="0.25">
      <c r="A7549" s="1">
        <v>43626</v>
      </c>
      <c r="B7549">
        <v>201800221</v>
      </c>
      <c r="C7549" t="s">
        <v>405</v>
      </c>
      <c r="D7549" t="s">
        <v>6652</v>
      </c>
      <c r="E7549" s="2">
        <v>152</v>
      </c>
    </row>
    <row r="7550" spans="1:5" x14ac:dyDescent="0.25">
      <c r="A7550" s="1">
        <v>43626</v>
      </c>
      <c r="B7550">
        <v>201800221</v>
      </c>
      <c r="C7550" t="s">
        <v>405</v>
      </c>
      <c r="D7550" t="s">
        <v>6653</v>
      </c>
      <c r="E7550" s="2">
        <v>75.25</v>
      </c>
    </row>
    <row r="7551" spans="1:5" x14ac:dyDescent="0.25">
      <c r="A7551" s="1">
        <v>43626</v>
      </c>
      <c r="B7551">
        <v>201800222</v>
      </c>
      <c r="C7551" t="s">
        <v>205</v>
      </c>
      <c r="D7551" t="s">
        <v>6649</v>
      </c>
      <c r="E7551" s="2">
        <v>19.71</v>
      </c>
    </row>
    <row r="7552" spans="1:5" x14ac:dyDescent="0.25">
      <c r="A7552" s="1">
        <v>43626</v>
      </c>
      <c r="B7552">
        <v>201800223</v>
      </c>
      <c r="C7552" t="s">
        <v>222</v>
      </c>
      <c r="D7552" t="s">
        <v>6654</v>
      </c>
      <c r="E7552" s="2">
        <v>11.98</v>
      </c>
    </row>
    <row r="7553" spans="1:6" x14ac:dyDescent="0.25">
      <c r="A7553" s="1">
        <v>43626</v>
      </c>
      <c r="B7553">
        <v>201800224</v>
      </c>
      <c r="C7553" t="s">
        <v>5631</v>
      </c>
      <c r="D7553" t="s">
        <v>6655</v>
      </c>
      <c r="E7553" s="2">
        <f>32+55.25</f>
        <v>87.25</v>
      </c>
    </row>
    <row r="7554" spans="1:6" x14ac:dyDescent="0.25">
      <c r="A7554" s="1">
        <v>43626</v>
      </c>
      <c r="B7554">
        <v>201800225</v>
      </c>
      <c r="C7554" t="s">
        <v>6656</v>
      </c>
      <c r="D7554" t="s">
        <v>6657</v>
      </c>
      <c r="E7554" s="2">
        <v>140</v>
      </c>
    </row>
    <row r="7555" spans="1:6" x14ac:dyDescent="0.25">
      <c r="A7555" s="1">
        <v>43626</v>
      </c>
      <c r="B7555">
        <v>201800226</v>
      </c>
      <c r="C7555" t="s">
        <v>3388</v>
      </c>
      <c r="D7555" t="s">
        <v>6658</v>
      </c>
      <c r="E7555" s="2">
        <v>50</v>
      </c>
    </row>
    <row r="7556" spans="1:6" x14ac:dyDescent="0.25">
      <c r="A7556" s="1">
        <v>43626</v>
      </c>
      <c r="B7556">
        <v>201800227</v>
      </c>
      <c r="C7556" t="s">
        <v>942</v>
      </c>
      <c r="D7556" t="s">
        <v>6659</v>
      </c>
      <c r="E7556" s="2">
        <v>107.34</v>
      </c>
    </row>
    <row r="7557" spans="1:6" x14ac:dyDescent="0.25">
      <c r="A7557" s="1">
        <v>43626</v>
      </c>
      <c r="B7557">
        <v>201800228</v>
      </c>
      <c r="C7557" t="s">
        <v>793</v>
      </c>
      <c r="D7557" t="s">
        <v>6660</v>
      </c>
      <c r="E7557" s="2">
        <v>36</v>
      </c>
    </row>
    <row r="7558" spans="1:6" x14ac:dyDescent="0.25">
      <c r="C7558" t="s">
        <v>2659</v>
      </c>
      <c r="F7558" s="9">
        <f>SUM(E7050:E7557)</f>
        <v>2650333.5599999991</v>
      </c>
    </row>
    <row r="7559" spans="1:6" x14ac:dyDescent="0.25">
      <c r="A7559" s="1">
        <v>43657</v>
      </c>
      <c r="B7559">
        <v>123383</v>
      </c>
      <c r="C7559" t="s">
        <v>64</v>
      </c>
      <c r="D7559" t="s">
        <v>6661</v>
      </c>
      <c r="E7559" s="2">
        <v>275</v>
      </c>
    </row>
    <row r="7560" spans="1:6" x14ac:dyDescent="0.25">
      <c r="A7560" s="1">
        <v>43657</v>
      </c>
      <c r="B7560">
        <v>123384</v>
      </c>
      <c r="C7560" t="s">
        <v>1143</v>
      </c>
      <c r="D7560" t="s">
        <v>6662</v>
      </c>
      <c r="E7560" s="2">
        <v>37.5</v>
      </c>
    </row>
    <row r="7561" spans="1:6" x14ac:dyDescent="0.25">
      <c r="A7561" s="1">
        <v>43657</v>
      </c>
      <c r="B7561">
        <v>123385</v>
      </c>
      <c r="C7561" t="s">
        <v>3999</v>
      </c>
      <c r="D7561" t="s">
        <v>6663</v>
      </c>
      <c r="E7561" s="2">
        <v>138</v>
      </c>
    </row>
    <row r="7562" spans="1:6" x14ac:dyDescent="0.25">
      <c r="A7562" s="1">
        <v>43657</v>
      </c>
      <c r="B7562">
        <v>123386</v>
      </c>
      <c r="C7562" t="s">
        <v>3999</v>
      </c>
      <c r="D7562" t="s">
        <v>6664</v>
      </c>
      <c r="E7562" s="2">
        <v>150</v>
      </c>
    </row>
    <row r="7563" spans="1:6" x14ac:dyDescent="0.25">
      <c r="A7563" s="1">
        <v>43657</v>
      </c>
      <c r="B7563">
        <v>123387</v>
      </c>
      <c r="C7563" t="s">
        <v>4977</v>
      </c>
      <c r="D7563" t="s">
        <v>6665</v>
      </c>
      <c r="E7563" s="2">
        <v>2450</v>
      </c>
    </row>
    <row r="7564" spans="1:6" x14ac:dyDescent="0.25">
      <c r="A7564" s="1">
        <v>43657</v>
      </c>
      <c r="B7564">
        <v>123388</v>
      </c>
      <c r="C7564" t="s">
        <v>4977</v>
      </c>
      <c r="D7564" t="s">
        <v>6666</v>
      </c>
      <c r="E7564" s="2">
        <v>1700</v>
      </c>
    </row>
    <row r="7565" spans="1:6" x14ac:dyDescent="0.25">
      <c r="A7565" s="1">
        <v>43657</v>
      </c>
      <c r="B7565">
        <v>123389</v>
      </c>
      <c r="C7565" t="s">
        <v>6667</v>
      </c>
      <c r="D7565" t="s">
        <v>6668</v>
      </c>
      <c r="E7565" s="2">
        <v>400</v>
      </c>
    </row>
    <row r="7566" spans="1:6" x14ac:dyDescent="0.25">
      <c r="A7566" s="1">
        <v>43657</v>
      </c>
      <c r="B7566">
        <v>123390</v>
      </c>
      <c r="C7566" t="s">
        <v>365</v>
      </c>
      <c r="D7566" t="s">
        <v>6669</v>
      </c>
      <c r="E7566" s="2">
        <f>83.59+314.99</f>
        <v>398.58000000000004</v>
      </c>
    </row>
    <row r="7567" spans="1:6" x14ac:dyDescent="0.25">
      <c r="A7567" s="1">
        <v>43657</v>
      </c>
      <c r="B7567">
        <v>123391</v>
      </c>
      <c r="C7567" t="s">
        <v>6410</v>
      </c>
      <c r="D7567" t="s">
        <v>6670</v>
      </c>
      <c r="E7567" s="2">
        <v>180</v>
      </c>
    </row>
    <row r="7568" spans="1:6" x14ac:dyDescent="0.25">
      <c r="A7568" s="1">
        <v>43657</v>
      </c>
      <c r="B7568">
        <v>123392</v>
      </c>
      <c r="C7568" t="s">
        <v>1200</v>
      </c>
      <c r="D7568" t="s">
        <v>6671</v>
      </c>
      <c r="E7568" s="2">
        <v>79.78</v>
      </c>
    </row>
    <row r="7569" spans="1:5" x14ac:dyDescent="0.25">
      <c r="A7569" s="1">
        <v>43657</v>
      </c>
      <c r="B7569">
        <v>123393</v>
      </c>
      <c r="C7569" t="s">
        <v>80</v>
      </c>
      <c r="D7569" t="s">
        <v>6672</v>
      </c>
      <c r="E7569" s="2">
        <v>23.97</v>
      </c>
    </row>
    <row r="7570" spans="1:5" x14ac:dyDescent="0.25">
      <c r="A7570" s="1">
        <v>43657</v>
      </c>
      <c r="B7570">
        <v>123394</v>
      </c>
      <c r="C7570" t="s">
        <v>6673</v>
      </c>
      <c r="D7570" t="s">
        <v>6674</v>
      </c>
      <c r="E7570" s="2">
        <v>475</v>
      </c>
    </row>
    <row r="7571" spans="1:5" x14ac:dyDescent="0.25">
      <c r="A7571" s="1">
        <v>43657</v>
      </c>
      <c r="B7571">
        <v>123395</v>
      </c>
      <c r="C7571" t="s">
        <v>19</v>
      </c>
      <c r="D7571" t="s">
        <v>6675</v>
      </c>
      <c r="E7571" s="2">
        <v>473.75</v>
      </c>
    </row>
    <row r="7572" spans="1:5" x14ac:dyDescent="0.25">
      <c r="A7572" s="1">
        <v>43657</v>
      </c>
      <c r="B7572">
        <v>123395</v>
      </c>
      <c r="C7572" t="s">
        <v>19</v>
      </c>
      <c r="D7572" t="s">
        <v>6676</v>
      </c>
      <c r="E7572" s="2">
        <v>191.54</v>
      </c>
    </row>
    <row r="7573" spans="1:5" x14ac:dyDescent="0.25">
      <c r="A7573" s="1">
        <v>43657</v>
      </c>
      <c r="B7573">
        <v>123396</v>
      </c>
      <c r="C7573" t="s">
        <v>3840</v>
      </c>
      <c r="D7573" t="s">
        <v>6677</v>
      </c>
      <c r="E7573" s="2">
        <v>27988.799999999999</v>
      </c>
    </row>
    <row r="7574" spans="1:5" x14ac:dyDescent="0.25">
      <c r="A7574" s="1">
        <v>43657</v>
      </c>
      <c r="B7574">
        <v>123396</v>
      </c>
      <c r="C7574" t="s">
        <v>3840</v>
      </c>
      <c r="D7574" t="s">
        <v>6678</v>
      </c>
      <c r="E7574" s="2">
        <v>11230</v>
      </c>
    </row>
    <row r="7575" spans="1:5" x14ac:dyDescent="0.25">
      <c r="A7575" s="1">
        <v>43657</v>
      </c>
      <c r="B7575">
        <v>123397</v>
      </c>
      <c r="C7575" t="s">
        <v>988</v>
      </c>
      <c r="D7575" t="s">
        <v>6679</v>
      </c>
      <c r="E7575" s="2">
        <v>43.36</v>
      </c>
    </row>
    <row r="7576" spans="1:5" x14ac:dyDescent="0.25">
      <c r="A7576" s="1">
        <v>43657</v>
      </c>
      <c r="B7576">
        <v>123397</v>
      </c>
      <c r="C7576" t="s">
        <v>988</v>
      </c>
      <c r="D7576" t="s">
        <v>6679</v>
      </c>
      <c r="E7576" s="2">
        <v>125.92</v>
      </c>
    </row>
    <row r="7577" spans="1:5" x14ac:dyDescent="0.25">
      <c r="A7577" s="1">
        <v>43657</v>
      </c>
      <c r="B7577">
        <v>123398</v>
      </c>
      <c r="C7577" t="s">
        <v>6680</v>
      </c>
      <c r="D7577" t="s">
        <v>6681</v>
      </c>
      <c r="E7577" s="2">
        <v>285</v>
      </c>
    </row>
    <row r="7578" spans="1:5" x14ac:dyDescent="0.25">
      <c r="A7578" s="1">
        <v>43657</v>
      </c>
      <c r="B7578">
        <v>123399</v>
      </c>
      <c r="C7578" t="s">
        <v>6682</v>
      </c>
      <c r="D7578" t="s">
        <v>6683</v>
      </c>
      <c r="E7578" s="2">
        <v>39.049999999999997</v>
      </c>
    </row>
    <row r="7579" spans="1:5" x14ac:dyDescent="0.25">
      <c r="A7579" s="1">
        <v>43657</v>
      </c>
      <c r="B7579">
        <v>123400</v>
      </c>
      <c r="C7579" t="s">
        <v>66</v>
      </c>
      <c r="D7579" t="s">
        <v>6684</v>
      </c>
      <c r="E7579" s="2">
        <f>1523+2181</f>
        <v>3704</v>
      </c>
    </row>
    <row r="7580" spans="1:5" x14ac:dyDescent="0.25">
      <c r="A7580" s="1">
        <v>43657</v>
      </c>
      <c r="B7580">
        <v>123402</v>
      </c>
      <c r="C7580" t="s">
        <v>22</v>
      </c>
      <c r="D7580" t="s">
        <v>23</v>
      </c>
      <c r="E7580" s="2">
        <f>1631.27+3966.88</f>
        <v>5598.15</v>
      </c>
    </row>
    <row r="7581" spans="1:5" x14ac:dyDescent="0.25">
      <c r="A7581" s="1">
        <v>43657</v>
      </c>
      <c r="B7581">
        <v>123402</v>
      </c>
      <c r="C7581" t="s">
        <v>22</v>
      </c>
      <c r="D7581" t="s">
        <v>5998</v>
      </c>
      <c r="E7581" s="2">
        <v>41.27</v>
      </c>
    </row>
    <row r="7582" spans="1:5" x14ac:dyDescent="0.25">
      <c r="A7582" s="1">
        <v>43657</v>
      </c>
      <c r="B7582">
        <v>123405</v>
      </c>
      <c r="C7582" t="s">
        <v>238</v>
      </c>
      <c r="D7582" t="s">
        <v>437</v>
      </c>
      <c r="E7582" s="2">
        <v>920.1</v>
      </c>
    </row>
    <row r="7583" spans="1:5" x14ac:dyDescent="0.25">
      <c r="A7583" s="1">
        <v>43657</v>
      </c>
      <c r="B7583">
        <v>123406</v>
      </c>
      <c r="C7583" t="s">
        <v>1421</v>
      </c>
      <c r="D7583" t="s">
        <v>5443</v>
      </c>
      <c r="E7583" s="2">
        <v>195.69</v>
      </c>
    </row>
    <row r="7584" spans="1:5" x14ac:dyDescent="0.25">
      <c r="A7584" s="1">
        <v>43657</v>
      </c>
      <c r="B7584">
        <v>123407</v>
      </c>
      <c r="C7584" t="s">
        <v>67</v>
      </c>
      <c r="D7584" t="s">
        <v>6685</v>
      </c>
      <c r="E7584" s="2">
        <v>24995</v>
      </c>
    </row>
    <row r="7585" spans="1:5" x14ac:dyDescent="0.25">
      <c r="A7585" s="1">
        <v>43657</v>
      </c>
      <c r="B7585">
        <v>123407</v>
      </c>
      <c r="C7585" t="s">
        <v>67</v>
      </c>
      <c r="D7585" t="s">
        <v>481</v>
      </c>
      <c r="E7585" s="2">
        <v>620</v>
      </c>
    </row>
    <row r="7586" spans="1:5" x14ac:dyDescent="0.25">
      <c r="A7586" s="1">
        <v>43657</v>
      </c>
      <c r="B7586">
        <v>123408</v>
      </c>
      <c r="C7586" t="s">
        <v>241</v>
      </c>
      <c r="D7586" t="s">
        <v>6686</v>
      </c>
      <c r="E7586" s="2">
        <v>2100</v>
      </c>
    </row>
    <row r="7587" spans="1:5" x14ac:dyDescent="0.25">
      <c r="A7587" s="1">
        <v>43657</v>
      </c>
      <c r="B7587">
        <v>123409</v>
      </c>
      <c r="C7587" t="s">
        <v>662</v>
      </c>
      <c r="D7587" t="s">
        <v>6687</v>
      </c>
      <c r="E7587" s="2">
        <v>1435</v>
      </c>
    </row>
    <row r="7588" spans="1:5" x14ac:dyDescent="0.25">
      <c r="A7588" s="1">
        <v>43657</v>
      </c>
      <c r="B7588">
        <v>123413</v>
      </c>
      <c r="C7588" t="s">
        <v>106</v>
      </c>
      <c r="D7588" t="s">
        <v>424</v>
      </c>
      <c r="E7588" s="2">
        <v>9183.66</v>
      </c>
    </row>
    <row r="7589" spans="1:5" x14ac:dyDescent="0.25">
      <c r="A7589" s="1">
        <v>43657</v>
      </c>
      <c r="B7589">
        <v>123414</v>
      </c>
      <c r="C7589" t="s">
        <v>352</v>
      </c>
      <c r="D7589" t="s">
        <v>6688</v>
      </c>
      <c r="E7589" s="2">
        <f>7569+8176</f>
        <v>15745</v>
      </c>
    </row>
    <row r="7590" spans="1:5" x14ac:dyDescent="0.25">
      <c r="A7590" s="1">
        <v>43657</v>
      </c>
      <c r="B7590">
        <v>123415</v>
      </c>
      <c r="C7590" t="s">
        <v>6689</v>
      </c>
      <c r="D7590" t="s">
        <v>6690</v>
      </c>
      <c r="E7590" s="2">
        <f>1837.5+1206.65</f>
        <v>3044.15</v>
      </c>
    </row>
    <row r="7591" spans="1:5" x14ac:dyDescent="0.25">
      <c r="A7591" s="1">
        <v>43657</v>
      </c>
      <c r="B7591">
        <v>123416</v>
      </c>
      <c r="C7591" t="s">
        <v>68</v>
      </c>
      <c r="D7591" t="s">
        <v>6691</v>
      </c>
      <c r="E7591" s="2">
        <v>1062.02</v>
      </c>
    </row>
    <row r="7592" spans="1:5" x14ac:dyDescent="0.25">
      <c r="A7592" s="1">
        <v>43657</v>
      </c>
      <c r="B7592">
        <v>123419</v>
      </c>
      <c r="C7592" t="s">
        <v>110</v>
      </c>
      <c r="D7592" t="s">
        <v>6692</v>
      </c>
      <c r="E7592" s="2">
        <v>75076.97</v>
      </c>
    </row>
    <row r="7593" spans="1:5" x14ac:dyDescent="0.25">
      <c r="A7593" s="1">
        <v>43657</v>
      </c>
      <c r="B7593">
        <v>123420</v>
      </c>
      <c r="C7593" t="s">
        <v>2378</v>
      </c>
      <c r="D7593" t="s">
        <v>6693</v>
      </c>
      <c r="E7593" s="2">
        <v>324</v>
      </c>
    </row>
    <row r="7594" spans="1:5" x14ac:dyDescent="0.25">
      <c r="A7594" s="1">
        <v>43657</v>
      </c>
      <c r="B7594">
        <v>123426</v>
      </c>
      <c r="C7594" t="s">
        <v>114</v>
      </c>
      <c r="D7594" t="s">
        <v>6694</v>
      </c>
      <c r="E7594" s="2">
        <v>600</v>
      </c>
    </row>
    <row r="7595" spans="1:5" x14ac:dyDescent="0.25">
      <c r="A7595" s="1">
        <v>43657</v>
      </c>
      <c r="B7595">
        <v>123427</v>
      </c>
      <c r="C7595" t="s">
        <v>694</v>
      </c>
      <c r="D7595" t="s">
        <v>6695</v>
      </c>
      <c r="E7595" s="2">
        <v>35</v>
      </c>
    </row>
    <row r="7596" spans="1:5" x14ac:dyDescent="0.25">
      <c r="A7596" s="1">
        <v>43657</v>
      </c>
      <c r="B7596">
        <v>123428</v>
      </c>
      <c r="C7596" t="s">
        <v>365</v>
      </c>
      <c r="D7596" t="s">
        <v>6696</v>
      </c>
      <c r="E7596" s="2">
        <f>249.92+133.03</f>
        <v>382.95</v>
      </c>
    </row>
    <row r="7597" spans="1:5" x14ac:dyDescent="0.25">
      <c r="A7597" s="1">
        <v>43657</v>
      </c>
      <c r="B7597">
        <v>123429</v>
      </c>
      <c r="C7597" t="s">
        <v>274</v>
      </c>
      <c r="D7597" t="s">
        <v>6697</v>
      </c>
      <c r="E7597" s="2">
        <v>628.03</v>
      </c>
    </row>
    <row r="7598" spans="1:5" x14ac:dyDescent="0.25">
      <c r="A7598" s="1">
        <v>43657</v>
      </c>
      <c r="B7598">
        <v>123430</v>
      </c>
      <c r="C7598" t="s">
        <v>6698</v>
      </c>
      <c r="D7598" t="s">
        <v>6699</v>
      </c>
      <c r="E7598" s="2">
        <v>39.049999999999997</v>
      </c>
    </row>
    <row r="7599" spans="1:5" x14ac:dyDescent="0.25">
      <c r="A7599" s="1">
        <v>43657</v>
      </c>
      <c r="B7599">
        <v>123434</v>
      </c>
      <c r="C7599" t="s">
        <v>869</v>
      </c>
      <c r="D7599" t="s">
        <v>6700</v>
      </c>
      <c r="E7599" s="2">
        <v>3371.73</v>
      </c>
    </row>
    <row r="7600" spans="1:5" x14ac:dyDescent="0.25">
      <c r="A7600" s="1">
        <v>43657</v>
      </c>
      <c r="B7600">
        <v>123435</v>
      </c>
      <c r="C7600" t="s">
        <v>6701</v>
      </c>
      <c r="D7600" t="s">
        <v>6699</v>
      </c>
      <c r="E7600" s="2">
        <v>39.049999999999997</v>
      </c>
    </row>
    <row r="7601" spans="1:5" x14ac:dyDescent="0.25">
      <c r="A7601" s="1">
        <v>43657</v>
      </c>
      <c r="B7601">
        <v>123436</v>
      </c>
      <c r="C7601" t="s">
        <v>47</v>
      </c>
      <c r="D7601" t="s">
        <v>6702</v>
      </c>
      <c r="E7601" s="2">
        <v>377</v>
      </c>
    </row>
    <row r="7602" spans="1:5" x14ac:dyDescent="0.25">
      <c r="A7602" s="1">
        <v>43657</v>
      </c>
      <c r="B7602">
        <v>123437</v>
      </c>
      <c r="C7602" t="s">
        <v>74</v>
      </c>
      <c r="D7602" t="s">
        <v>491</v>
      </c>
      <c r="E7602" s="2">
        <v>171.9</v>
      </c>
    </row>
    <row r="7603" spans="1:5" x14ac:dyDescent="0.25">
      <c r="A7603" s="1">
        <v>43657</v>
      </c>
      <c r="B7603">
        <v>123438</v>
      </c>
      <c r="C7603" t="s">
        <v>142</v>
      </c>
      <c r="D7603" t="s">
        <v>6700</v>
      </c>
      <c r="E7603" s="2">
        <v>110.02</v>
      </c>
    </row>
    <row r="7604" spans="1:5" x14ac:dyDescent="0.25">
      <c r="A7604" s="1">
        <v>43657</v>
      </c>
      <c r="B7604">
        <v>123438</v>
      </c>
      <c r="C7604" t="s">
        <v>142</v>
      </c>
      <c r="D7604" t="s">
        <v>6703</v>
      </c>
      <c r="E7604" s="2">
        <v>192.86</v>
      </c>
    </row>
    <row r="7605" spans="1:5" x14ac:dyDescent="0.25">
      <c r="A7605" s="1">
        <v>43657</v>
      </c>
      <c r="B7605">
        <v>123439</v>
      </c>
      <c r="C7605" t="s">
        <v>146</v>
      </c>
      <c r="D7605" t="s">
        <v>6704</v>
      </c>
      <c r="E7605" s="2">
        <v>109.52</v>
      </c>
    </row>
    <row r="7606" spans="1:5" x14ac:dyDescent="0.25">
      <c r="A7606" s="1">
        <v>43657</v>
      </c>
      <c r="B7606">
        <v>123440</v>
      </c>
      <c r="C7606" t="s">
        <v>336</v>
      </c>
      <c r="D7606" t="s">
        <v>6705</v>
      </c>
      <c r="E7606" s="2">
        <v>52.5</v>
      </c>
    </row>
    <row r="7607" spans="1:5" x14ac:dyDescent="0.25">
      <c r="A7607" s="1">
        <v>43657</v>
      </c>
      <c r="B7607">
        <v>123441</v>
      </c>
      <c r="C7607" t="s">
        <v>1345</v>
      </c>
      <c r="D7607" t="s">
        <v>6706</v>
      </c>
      <c r="E7607" s="2">
        <v>606.54999999999995</v>
      </c>
    </row>
    <row r="7608" spans="1:5" x14ac:dyDescent="0.25">
      <c r="A7608" s="1">
        <v>43657</v>
      </c>
      <c r="B7608">
        <v>123442</v>
      </c>
      <c r="C7608" t="s">
        <v>6707</v>
      </c>
      <c r="D7608" t="s">
        <v>6708</v>
      </c>
      <c r="E7608" s="2">
        <v>34980</v>
      </c>
    </row>
    <row r="7609" spans="1:5" x14ac:dyDescent="0.25">
      <c r="A7609" s="1">
        <v>43657</v>
      </c>
      <c r="B7609">
        <v>123443</v>
      </c>
      <c r="C7609" t="s">
        <v>50</v>
      </c>
      <c r="D7609" t="s">
        <v>6313</v>
      </c>
      <c r="E7609" s="2">
        <v>8900</v>
      </c>
    </row>
    <row r="7610" spans="1:5" x14ac:dyDescent="0.25">
      <c r="A7610" s="1">
        <v>43657</v>
      </c>
      <c r="B7610">
        <v>123444</v>
      </c>
      <c r="C7610" t="s">
        <v>14</v>
      </c>
      <c r="D7610" t="s">
        <v>6709</v>
      </c>
      <c r="E7610" s="2">
        <v>2672.65</v>
      </c>
    </row>
    <row r="7611" spans="1:5" x14ac:dyDescent="0.25">
      <c r="A7611" s="1">
        <v>43657</v>
      </c>
      <c r="B7611">
        <v>123445</v>
      </c>
      <c r="C7611" t="s">
        <v>3840</v>
      </c>
      <c r="D7611" t="s">
        <v>6710</v>
      </c>
      <c r="E7611" s="2">
        <v>10808</v>
      </c>
    </row>
    <row r="7612" spans="1:5" x14ac:dyDescent="0.25">
      <c r="A7612" s="1">
        <v>43657</v>
      </c>
      <c r="B7612">
        <v>123446</v>
      </c>
      <c r="C7612" t="s">
        <v>158</v>
      </c>
      <c r="D7612" t="s">
        <v>6711</v>
      </c>
      <c r="E7612" s="2">
        <v>768.84</v>
      </c>
    </row>
    <row r="7613" spans="1:5" x14ac:dyDescent="0.25">
      <c r="A7613" s="1">
        <v>43657</v>
      </c>
      <c r="B7613">
        <v>123447</v>
      </c>
      <c r="C7613" t="s">
        <v>6712</v>
      </c>
      <c r="D7613" t="s">
        <v>6713</v>
      </c>
      <c r="E7613" s="2">
        <v>75</v>
      </c>
    </row>
    <row r="7614" spans="1:5" x14ac:dyDescent="0.25">
      <c r="A7614" s="1">
        <v>43657</v>
      </c>
      <c r="B7614">
        <v>123448</v>
      </c>
      <c r="C7614" t="s">
        <v>213</v>
      </c>
      <c r="D7614" t="s">
        <v>6714</v>
      </c>
      <c r="E7614" s="2">
        <v>96.48</v>
      </c>
    </row>
    <row r="7615" spans="1:5" x14ac:dyDescent="0.25">
      <c r="A7615" s="1">
        <v>43657</v>
      </c>
      <c r="B7615">
        <v>123449</v>
      </c>
      <c r="C7615" t="s">
        <v>166</v>
      </c>
      <c r="D7615" t="s">
        <v>5219</v>
      </c>
      <c r="E7615" s="2">
        <v>135</v>
      </c>
    </row>
    <row r="7616" spans="1:5" x14ac:dyDescent="0.25">
      <c r="A7616" s="1">
        <v>43657</v>
      </c>
      <c r="B7616">
        <v>123449</v>
      </c>
      <c r="C7616" t="s">
        <v>166</v>
      </c>
      <c r="D7616" t="s">
        <v>6715</v>
      </c>
      <c r="E7616" s="2">
        <v>120</v>
      </c>
    </row>
    <row r="7617" spans="1:5" x14ac:dyDescent="0.25">
      <c r="A7617" s="1">
        <v>43657</v>
      </c>
      <c r="B7617">
        <v>123450</v>
      </c>
      <c r="C7617" t="s">
        <v>642</v>
      </c>
      <c r="D7617" t="s">
        <v>6716</v>
      </c>
      <c r="E7617" s="2">
        <v>925</v>
      </c>
    </row>
    <row r="7618" spans="1:5" x14ac:dyDescent="0.25">
      <c r="A7618" s="1">
        <v>43657</v>
      </c>
      <c r="B7618">
        <v>123451</v>
      </c>
      <c r="C7618" t="s">
        <v>88</v>
      </c>
      <c r="D7618" t="s">
        <v>6717</v>
      </c>
      <c r="E7618" s="2">
        <v>470</v>
      </c>
    </row>
    <row r="7619" spans="1:5" x14ac:dyDescent="0.25">
      <c r="A7619" s="1">
        <v>43657</v>
      </c>
      <c r="B7619">
        <v>123451</v>
      </c>
      <c r="C7619" t="s">
        <v>88</v>
      </c>
      <c r="D7619" t="s">
        <v>6718</v>
      </c>
      <c r="E7619" s="2">
        <v>285</v>
      </c>
    </row>
    <row r="7620" spans="1:5" x14ac:dyDescent="0.25">
      <c r="A7620" s="1">
        <v>43657</v>
      </c>
      <c r="B7620">
        <v>123452</v>
      </c>
      <c r="C7620" t="s">
        <v>2446</v>
      </c>
      <c r="D7620" t="s">
        <v>6719</v>
      </c>
      <c r="E7620" s="2">
        <v>46465.62</v>
      </c>
    </row>
    <row r="7621" spans="1:5" x14ac:dyDescent="0.25">
      <c r="A7621" s="1">
        <v>43657</v>
      </c>
      <c r="B7621">
        <v>123453</v>
      </c>
      <c r="C7621" t="s">
        <v>1273</v>
      </c>
      <c r="D7621" t="s">
        <v>6720</v>
      </c>
      <c r="E7621" s="2">
        <v>1346.18</v>
      </c>
    </row>
    <row r="7622" spans="1:5" x14ac:dyDescent="0.25">
      <c r="A7622" s="1">
        <v>43657</v>
      </c>
      <c r="B7622">
        <v>123454</v>
      </c>
      <c r="C7622" t="s">
        <v>6721</v>
      </c>
      <c r="D7622" t="s">
        <v>6722</v>
      </c>
      <c r="E7622" s="2">
        <v>43659.78</v>
      </c>
    </row>
    <row r="7623" spans="1:5" x14ac:dyDescent="0.25">
      <c r="A7623" s="1">
        <v>43657</v>
      </c>
      <c r="B7623">
        <v>123455</v>
      </c>
      <c r="C7623" t="s">
        <v>327</v>
      </c>
      <c r="D7623" t="s">
        <v>328</v>
      </c>
      <c r="E7623" s="2">
        <v>3988.06</v>
      </c>
    </row>
    <row r="7624" spans="1:5" x14ac:dyDescent="0.25">
      <c r="A7624" s="1">
        <v>43657</v>
      </c>
      <c r="B7624">
        <v>123456</v>
      </c>
      <c r="C7624" t="s">
        <v>184</v>
      </c>
      <c r="D7624" t="s">
        <v>6723</v>
      </c>
      <c r="E7624" s="2">
        <v>4113.6499999999996</v>
      </c>
    </row>
    <row r="7625" spans="1:5" x14ac:dyDescent="0.25">
      <c r="A7625" s="1">
        <v>43657</v>
      </c>
      <c r="B7625">
        <v>123457</v>
      </c>
      <c r="C7625" t="s">
        <v>644</v>
      </c>
      <c r="D7625" t="s">
        <v>6724</v>
      </c>
      <c r="E7625" s="2">
        <v>59.49</v>
      </c>
    </row>
    <row r="7626" spans="1:5" x14ac:dyDescent="0.25">
      <c r="A7626" s="1">
        <v>43657</v>
      </c>
      <c r="B7626">
        <v>123457</v>
      </c>
      <c r="C7626" t="s">
        <v>644</v>
      </c>
      <c r="D7626" t="s">
        <v>6725</v>
      </c>
      <c r="E7626" s="2">
        <v>49</v>
      </c>
    </row>
    <row r="7627" spans="1:5" x14ac:dyDescent="0.25">
      <c r="A7627" s="1">
        <v>43661</v>
      </c>
      <c r="B7627">
        <v>123458</v>
      </c>
      <c r="C7627" t="s">
        <v>6726</v>
      </c>
      <c r="D7627" t="s">
        <v>6353</v>
      </c>
      <c r="E7627" s="2">
        <v>19.600000000000001</v>
      </c>
    </row>
    <row r="7628" spans="1:5" x14ac:dyDescent="0.25">
      <c r="A7628" s="1">
        <v>43661</v>
      </c>
      <c r="B7628">
        <v>123459</v>
      </c>
      <c r="C7628" t="s">
        <v>213</v>
      </c>
      <c r="D7628" t="s">
        <v>6323</v>
      </c>
      <c r="E7628" s="2">
        <v>63.54</v>
      </c>
    </row>
    <row r="7629" spans="1:5" x14ac:dyDescent="0.25">
      <c r="A7629" s="1">
        <v>43661</v>
      </c>
      <c r="B7629">
        <v>123460</v>
      </c>
      <c r="C7629" t="s">
        <v>166</v>
      </c>
      <c r="D7629" t="s">
        <v>6727</v>
      </c>
      <c r="E7629" s="2">
        <v>120</v>
      </c>
    </row>
    <row r="7630" spans="1:5" x14ac:dyDescent="0.25">
      <c r="A7630" s="1">
        <v>43661</v>
      </c>
      <c r="B7630">
        <v>123462</v>
      </c>
      <c r="C7630" t="s">
        <v>166</v>
      </c>
      <c r="D7630" t="s">
        <v>6728</v>
      </c>
      <c r="E7630" s="2">
        <v>135</v>
      </c>
    </row>
    <row r="7631" spans="1:5" x14ac:dyDescent="0.25">
      <c r="A7631" s="1">
        <v>43661</v>
      </c>
      <c r="B7631">
        <v>123463</v>
      </c>
      <c r="C7631" t="s">
        <v>6729</v>
      </c>
      <c r="D7631" t="s">
        <v>6353</v>
      </c>
      <c r="E7631" s="2">
        <v>20.75</v>
      </c>
    </row>
    <row r="7632" spans="1:5" x14ac:dyDescent="0.25">
      <c r="A7632" s="1">
        <v>43663</v>
      </c>
      <c r="B7632">
        <v>123465</v>
      </c>
      <c r="C7632" t="s">
        <v>67</v>
      </c>
      <c r="D7632" t="s">
        <v>6730</v>
      </c>
      <c r="E7632" s="2">
        <v>165</v>
      </c>
    </row>
    <row r="7633" spans="1:5" x14ac:dyDescent="0.25">
      <c r="A7633" s="1">
        <v>43663</v>
      </c>
      <c r="B7633">
        <v>123465</v>
      </c>
      <c r="C7633" t="s">
        <v>67</v>
      </c>
      <c r="D7633" t="s">
        <v>6731</v>
      </c>
      <c r="E7633" s="2">
        <v>1323</v>
      </c>
    </row>
    <row r="7634" spans="1:5" x14ac:dyDescent="0.25">
      <c r="A7634" s="1">
        <v>43663</v>
      </c>
      <c r="B7634">
        <v>123465</v>
      </c>
      <c r="C7634" t="s">
        <v>67</v>
      </c>
      <c r="D7634" t="s">
        <v>6732</v>
      </c>
      <c r="E7634" s="2">
        <v>1641.98</v>
      </c>
    </row>
    <row r="7635" spans="1:5" x14ac:dyDescent="0.25">
      <c r="A7635" s="1">
        <v>43663</v>
      </c>
      <c r="B7635">
        <v>123465</v>
      </c>
      <c r="C7635" t="s">
        <v>67</v>
      </c>
      <c r="D7635" t="s">
        <v>6733</v>
      </c>
      <c r="E7635" s="2">
        <v>49.05</v>
      </c>
    </row>
    <row r="7636" spans="1:5" x14ac:dyDescent="0.25">
      <c r="A7636" s="1">
        <v>43663</v>
      </c>
      <c r="B7636">
        <v>123465</v>
      </c>
      <c r="C7636" t="s">
        <v>67</v>
      </c>
      <c r="D7636" t="s">
        <v>6734</v>
      </c>
      <c r="E7636" s="2">
        <v>301.33999999999997</v>
      </c>
    </row>
    <row r="7637" spans="1:5" x14ac:dyDescent="0.25">
      <c r="A7637" s="1">
        <v>43663</v>
      </c>
      <c r="B7637">
        <v>123466</v>
      </c>
      <c r="C7637" t="s">
        <v>405</v>
      </c>
      <c r="D7637" t="s">
        <v>6735</v>
      </c>
      <c r="E7637" s="2">
        <v>123.5</v>
      </c>
    </row>
    <row r="7638" spans="1:5" x14ac:dyDescent="0.25">
      <c r="A7638" s="1">
        <v>43663</v>
      </c>
      <c r="B7638">
        <v>123467</v>
      </c>
      <c r="C7638" t="s">
        <v>68</v>
      </c>
      <c r="D7638" t="s">
        <v>6736</v>
      </c>
      <c r="E7638" s="2">
        <v>99.74</v>
      </c>
    </row>
    <row r="7639" spans="1:5" x14ac:dyDescent="0.25">
      <c r="A7639" s="1">
        <v>43663</v>
      </c>
      <c r="B7639">
        <v>123468</v>
      </c>
      <c r="C7639" t="s">
        <v>6737</v>
      </c>
      <c r="D7639" t="s">
        <v>6738</v>
      </c>
      <c r="E7639" s="2">
        <v>235</v>
      </c>
    </row>
    <row r="7640" spans="1:5" x14ac:dyDescent="0.25">
      <c r="A7640" s="1">
        <v>43663</v>
      </c>
      <c r="B7640">
        <v>123469</v>
      </c>
      <c r="C7640" t="s">
        <v>365</v>
      </c>
      <c r="D7640" t="s">
        <v>6739</v>
      </c>
      <c r="E7640" s="2">
        <v>160.49</v>
      </c>
    </row>
    <row r="7641" spans="1:5" x14ac:dyDescent="0.25">
      <c r="A7641" s="1">
        <v>43663</v>
      </c>
      <c r="B7641">
        <v>123470</v>
      </c>
      <c r="C7641" t="s">
        <v>125</v>
      </c>
      <c r="D7641" t="s">
        <v>690</v>
      </c>
      <c r="E7641" s="2">
        <f>85.87+64.33</f>
        <v>150.19999999999999</v>
      </c>
    </row>
    <row r="7642" spans="1:5" x14ac:dyDescent="0.25">
      <c r="A7642" s="1">
        <v>43663</v>
      </c>
      <c r="B7642">
        <v>123471</v>
      </c>
      <c r="C7642" t="s">
        <v>77</v>
      </c>
      <c r="D7642" t="s">
        <v>1769</v>
      </c>
      <c r="E7642" s="2">
        <v>80</v>
      </c>
    </row>
    <row r="7643" spans="1:5" x14ac:dyDescent="0.25">
      <c r="A7643" s="1">
        <v>43663</v>
      </c>
      <c r="B7643">
        <v>123475</v>
      </c>
      <c r="C7643" t="s">
        <v>631</v>
      </c>
      <c r="D7643" t="s">
        <v>6740</v>
      </c>
      <c r="E7643" s="2">
        <v>244.47</v>
      </c>
    </row>
    <row r="7644" spans="1:5" x14ac:dyDescent="0.25">
      <c r="A7644" s="1">
        <v>43663</v>
      </c>
      <c r="B7644">
        <v>123475</v>
      </c>
      <c r="C7644" t="s">
        <v>631</v>
      </c>
      <c r="D7644" t="s">
        <v>6741</v>
      </c>
      <c r="E7644" s="2">
        <v>41.64</v>
      </c>
    </row>
    <row r="7645" spans="1:5" x14ac:dyDescent="0.25">
      <c r="A7645" s="1">
        <v>43663</v>
      </c>
      <c r="B7645">
        <v>123475</v>
      </c>
      <c r="C7645" t="s">
        <v>631</v>
      </c>
      <c r="D7645" t="s">
        <v>6742</v>
      </c>
      <c r="E7645" s="2">
        <v>178.26</v>
      </c>
    </row>
    <row r="7646" spans="1:5" x14ac:dyDescent="0.25">
      <c r="A7646" s="1">
        <v>43663</v>
      </c>
      <c r="B7646">
        <v>123475</v>
      </c>
      <c r="C7646" t="s">
        <v>631</v>
      </c>
      <c r="D7646" t="s">
        <v>6743</v>
      </c>
      <c r="E7646" s="2">
        <v>175.9</v>
      </c>
    </row>
    <row r="7647" spans="1:5" x14ac:dyDescent="0.25">
      <c r="A7647" s="1">
        <v>43663</v>
      </c>
      <c r="B7647">
        <v>123475</v>
      </c>
      <c r="C7647" t="s">
        <v>631</v>
      </c>
      <c r="D7647" t="s">
        <v>6744</v>
      </c>
      <c r="E7647" s="2">
        <v>45.28</v>
      </c>
    </row>
    <row r="7648" spans="1:5" x14ac:dyDescent="0.25">
      <c r="A7648" s="1">
        <v>43663</v>
      </c>
      <c r="B7648">
        <v>123475</v>
      </c>
      <c r="C7648" t="s">
        <v>631</v>
      </c>
      <c r="D7648" t="s">
        <v>6745</v>
      </c>
      <c r="E7648" s="2">
        <v>57.94</v>
      </c>
    </row>
    <row r="7649" spans="1:5" x14ac:dyDescent="0.25">
      <c r="A7649" s="1">
        <v>43663</v>
      </c>
      <c r="B7649">
        <v>123475</v>
      </c>
      <c r="C7649" t="s">
        <v>631</v>
      </c>
      <c r="D7649" t="s">
        <v>6746</v>
      </c>
      <c r="E7649" s="2">
        <v>149.26</v>
      </c>
    </row>
    <row r="7650" spans="1:5" x14ac:dyDescent="0.25">
      <c r="A7650" s="1">
        <v>43663</v>
      </c>
      <c r="B7650">
        <v>123475</v>
      </c>
      <c r="C7650" t="s">
        <v>631</v>
      </c>
      <c r="D7650" t="s">
        <v>6747</v>
      </c>
      <c r="E7650" s="2">
        <v>120.87</v>
      </c>
    </row>
    <row r="7651" spans="1:5" x14ac:dyDescent="0.25">
      <c r="A7651" s="1">
        <v>43663</v>
      </c>
      <c r="B7651">
        <v>123475</v>
      </c>
      <c r="C7651" t="s">
        <v>631</v>
      </c>
      <c r="D7651" t="s">
        <v>6748</v>
      </c>
      <c r="E7651" s="2">
        <v>150.22</v>
      </c>
    </row>
    <row r="7652" spans="1:5" x14ac:dyDescent="0.25">
      <c r="A7652" s="1">
        <v>43663</v>
      </c>
      <c r="B7652">
        <v>123475</v>
      </c>
      <c r="C7652" t="s">
        <v>631</v>
      </c>
      <c r="D7652" t="s">
        <v>6749</v>
      </c>
      <c r="E7652" s="2">
        <v>78.58</v>
      </c>
    </row>
    <row r="7653" spans="1:5" x14ac:dyDescent="0.25">
      <c r="A7653" s="1">
        <v>43663</v>
      </c>
      <c r="B7653">
        <v>123475</v>
      </c>
      <c r="C7653" t="s">
        <v>631</v>
      </c>
      <c r="D7653" t="s">
        <v>6750</v>
      </c>
      <c r="E7653" s="2">
        <v>71.92</v>
      </c>
    </row>
    <row r="7654" spans="1:5" x14ac:dyDescent="0.25">
      <c r="A7654" s="1">
        <v>43663</v>
      </c>
      <c r="B7654">
        <v>123475</v>
      </c>
      <c r="C7654" t="s">
        <v>631</v>
      </c>
      <c r="D7654" t="s">
        <v>6751</v>
      </c>
      <c r="E7654" s="2">
        <v>110.68</v>
      </c>
    </row>
    <row r="7655" spans="1:5" x14ac:dyDescent="0.25">
      <c r="A7655" s="1">
        <v>43663</v>
      </c>
      <c r="B7655">
        <v>123475</v>
      </c>
      <c r="C7655" t="s">
        <v>631</v>
      </c>
      <c r="D7655" t="s">
        <v>6752</v>
      </c>
      <c r="E7655" s="2">
        <v>39.979999999999997</v>
      </c>
    </row>
    <row r="7656" spans="1:5" x14ac:dyDescent="0.25">
      <c r="A7656" s="1">
        <v>43663</v>
      </c>
      <c r="B7656">
        <v>123475</v>
      </c>
      <c r="C7656" t="s">
        <v>631</v>
      </c>
      <c r="D7656" t="s">
        <v>6753</v>
      </c>
      <c r="E7656" s="2">
        <v>59.6</v>
      </c>
    </row>
    <row r="7657" spans="1:5" x14ac:dyDescent="0.25">
      <c r="A7657" s="1">
        <v>43663</v>
      </c>
      <c r="B7657">
        <v>123476</v>
      </c>
      <c r="C7657" t="s">
        <v>19</v>
      </c>
      <c r="D7657" t="s">
        <v>6754</v>
      </c>
      <c r="E7657" s="2">
        <v>2131.5</v>
      </c>
    </row>
    <row r="7658" spans="1:5" x14ac:dyDescent="0.25">
      <c r="A7658" s="1">
        <v>43664</v>
      </c>
      <c r="B7658">
        <v>123477</v>
      </c>
      <c r="C7658" t="s">
        <v>3704</v>
      </c>
      <c r="D7658" t="s">
        <v>376</v>
      </c>
      <c r="E7658" s="2">
        <v>2.5299999999999998</v>
      </c>
    </row>
    <row r="7659" spans="1:5" x14ac:dyDescent="0.25">
      <c r="A7659" s="1">
        <v>43664</v>
      </c>
      <c r="B7659">
        <v>123478</v>
      </c>
      <c r="C7659" t="s">
        <v>152</v>
      </c>
      <c r="D7659" t="s">
        <v>6755</v>
      </c>
      <c r="E7659" s="2">
        <v>137.36000000000001</v>
      </c>
    </row>
    <row r="7660" spans="1:5" x14ac:dyDescent="0.25">
      <c r="A7660" s="1">
        <v>43664</v>
      </c>
      <c r="B7660">
        <v>123479</v>
      </c>
      <c r="C7660" t="s">
        <v>5242</v>
      </c>
      <c r="D7660" t="s">
        <v>5294</v>
      </c>
      <c r="E7660" s="2">
        <v>58.23</v>
      </c>
    </row>
    <row r="7661" spans="1:5" x14ac:dyDescent="0.25">
      <c r="A7661" s="1">
        <v>43664</v>
      </c>
      <c r="B7661">
        <v>123480</v>
      </c>
      <c r="C7661" t="s">
        <v>67</v>
      </c>
      <c r="D7661" t="s">
        <v>6756</v>
      </c>
      <c r="E7661" s="2">
        <v>4935</v>
      </c>
    </row>
    <row r="7662" spans="1:5" x14ac:dyDescent="0.25">
      <c r="A7662" s="1">
        <v>43664</v>
      </c>
      <c r="B7662">
        <v>123480</v>
      </c>
      <c r="C7662" t="s">
        <v>67</v>
      </c>
      <c r="D7662" t="s">
        <v>6757</v>
      </c>
      <c r="E7662" s="2">
        <v>3528</v>
      </c>
    </row>
    <row r="7663" spans="1:5" x14ac:dyDescent="0.25">
      <c r="A7663" s="1">
        <v>43664</v>
      </c>
      <c r="B7663">
        <v>123481</v>
      </c>
      <c r="C7663" t="s">
        <v>662</v>
      </c>
      <c r="D7663" t="s">
        <v>6758</v>
      </c>
      <c r="E7663" s="2">
        <v>886.5</v>
      </c>
    </row>
    <row r="7664" spans="1:5" x14ac:dyDescent="0.25">
      <c r="A7664" s="1">
        <v>43664</v>
      </c>
      <c r="B7664">
        <v>123482</v>
      </c>
      <c r="C7664" t="s">
        <v>243</v>
      </c>
      <c r="D7664" t="s">
        <v>6759</v>
      </c>
      <c r="E7664" s="2">
        <v>42.11</v>
      </c>
    </row>
    <row r="7665" spans="1:5" x14ac:dyDescent="0.25">
      <c r="A7665" s="1">
        <v>43664</v>
      </c>
      <c r="B7665">
        <v>123483</v>
      </c>
      <c r="C7665" t="s">
        <v>247</v>
      </c>
      <c r="D7665" t="s">
        <v>482</v>
      </c>
      <c r="E7665" s="2">
        <f>85+959.92</f>
        <v>1044.92</v>
      </c>
    </row>
    <row r="7666" spans="1:5" x14ac:dyDescent="0.25">
      <c r="A7666" s="1">
        <v>43664</v>
      </c>
      <c r="B7666">
        <v>123484</v>
      </c>
      <c r="C7666" t="s">
        <v>6760</v>
      </c>
      <c r="D7666" t="s">
        <v>6761</v>
      </c>
      <c r="E7666" s="2">
        <v>1083</v>
      </c>
    </row>
    <row r="7667" spans="1:5" x14ac:dyDescent="0.25">
      <c r="A7667" s="1">
        <v>43664</v>
      </c>
      <c r="B7667">
        <v>123487</v>
      </c>
      <c r="C7667" t="s">
        <v>123</v>
      </c>
      <c r="D7667" t="s">
        <v>6762</v>
      </c>
      <c r="E7667" s="2">
        <v>25139.96</v>
      </c>
    </row>
    <row r="7668" spans="1:5" x14ac:dyDescent="0.25">
      <c r="A7668" s="1">
        <v>43664</v>
      </c>
      <c r="B7668">
        <v>123487</v>
      </c>
      <c r="C7668" t="s">
        <v>123</v>
      </c>
      <c r="D7668" t="s">
        <v>6763</v>
      </c>
      <c r="E7668" s="2">
        <v>149.75</v>
      </c>
    </row>
    <row r="7669" spans="1:5" x14ac:dyDescent="0.25">
      <c r="A7669" s="1">
        <v>43664</v>
      </c>
      <c r="B7669">
        <v>123487</v>
      </c>
      <c r="C7669" t="s">
        <v>123</v>
      </c>
      <c r="D7669" t="s">
        <v>6764</v>
      </c>
      <c r="E7669" s="2">
        <v>449.24</v>
      </c>
    </row>
    <row r="7670" spans="1:5" x14ac:dyDescent="0.25">
      <c r="A7670" s="1">
        <v>43664</v>
      </c>
      <c r="B7670">
        <v>123487</v>
      </c>
      <c r="C7670" t="s">
        <v>123</v>
      </c>
      <c r="D7670" t="s">
        <v>6765</v>
      </c>
      <c r="E7670" s="2">
        <v>224.62</v>
      </c>
    </row>
    <row r="7671" spans="1:5" x14ac:dyDescent="0.25">
      <c r="A7671" s="1">
        <v>43664</v>
      </c>
      <c r="B7671">
        <v>123487</v>
      </c>
      <c r="C7671" t="s">
        <v>123</v>
      </c>
      <c r="D7671" t="s">
        <v>6766</v>
      </c>
      <c r="E7671" s="2">
        <v>3656.52</v>
      </c>
    </row>
    <row r="7672" spans="1:5" x14ac:dyDescent="0.25">
      <c r="A7672" s="1">
        <v>43664</v>
      </c>
      <c r="B7672">
        <v>123495</v>
      </c>
      <c r="C7672" t="s">
        <v>125</v>
      </c>
      <c r="D7672" t="s">
        <v>6767</v>
      </c>
      <c r="E7672" s="2">
        <v>341.92</v>
      </c>
    </row>
    <row r="7673" spans="1:5" x14ac:dyDescent="0.25">
      <c r="A7673" s="1">
        <v>43664</v>
      </c>
      <c r="B7673">
        <v>123495</v>
      </c>
      <c r="C7673" t="s">
        <v>125</v>
      </c>
      <c r="D7673" t="s">
        <v>6768</v>
      </c>
      <c r="E7673" s="2">
        <v>360</v>
      </c>
    </row>
    <row r="7674" spans="1:5" x14ac:dyDescent="0.25">
      <c r="A7674" s="1">
        <v>43664</v>
      </c>
      <c r="B7674">
        <v>123495</v>
      </c>
      <c r="C7674" t="s">
        <v>125</v>
      </c>
      <c r="D7674" t="s">
        <v>5344</v>
      </c>
      <c r="E7674" s="2">
        <v>395.44</v>
      </c>
    </row>
    <row r="7675" spans="1:5" x14ac:dyDescent="0.25">
      <c r="A7675" s="1">
        <v>43664</v>
      </c>
      <c r="B7675">
        <v>123495</v>
      </c>
      <c r="C7675" t="s">
        <v>125</v>
      </c>
      <c r="D7675" t="s">
        <v>6769</v>
      </c>
      <c r="E7675" s="2">
        <v>93.15</v>
      </c>
    </row>
    <row r="7676" spans="1:5" x14ac:dyDescent="0.25">
      <c r="A7676" s="1">
        <v>43664</v>
      </c>
      <c r="B7676">
        <v>123495</v>
      </c>
      <c r="C7676" t="s">
        <v>125</v>
      </c>
      <c r="D7676" t="s">
        <v>416</v>
      </c>
      <c r="E7676" s="3">
        <f>-1860.43-936+2594.29</f>
        <v>-202.14000000000033</v>
      </c>
    </row>
    <row r="7677" spans="1:5" x14ac:dyDescent="0.25">
      <c r="A7677" s="1">
        <v>43664</v>
      </c>
      <c r="B7677">
        <v>123495</v>
      </c>
      <c r="C7677" t="s">
        <v>125</v>
      </c>
      <c r="D7677" t="s">
        <v>5344</v>
      </c>
      <c r="E7677" s="2">
        <v>194.52</v>
      </c>
    </row>
    <row r="7678" spans="1:5" x14ac:dyDescent="0.25">
      <c r="A7678" s="1">
        <v>43664</v>
      </c>
      <c r="B7678">
        <v>123495</v>
      </c>
      <c r="C7678" t="s">
        <v>125</v>
      </c>
      <c r="D7678" t="s">
        <v>6770</v>
      </c>
      <c r="E7678" s="2">
        <f>848.65+125.98</f>
        <v>974.63</v>
      </c>
    </row>
    <row r="7679" spans="1:5" x14ac:dyDescent="0.25">
      <c r="A7679" s="1">
        <v>43664</v>
      </c>
      <c r="B7679">
        <v>123495</v>
      </c>
      <c r="C7679" t="s">
        <v>125</v>
      </c>
      <c r="D7679" t="s">
        <v>6771</v>
      </c>
      <c r="E7679" s="2">
        <v>54.62</v>
      </c>
    </row>
    <row r="7680" spans="1:5" x14ac:dyDescent="0.25">
      <c r="A7680" s="1">
        <v>43664</v>
      </c>
      <c r="B7680">
        <v>123495</v>
      </c>
      <c r="C7680" t="s">
        <v>125</v>
      </c>
      <c r="D7680" t="s">
        <v>6772</v>
      </c>
      <c r="E7680" s="2">
        <v>62.56</v>
      </c>
    </row>
    <row r="7681" spans="1:5" x14ac:dyDescent="0.25">
      <c r="A7681" s="1">
        <v>43664</v>
      </c>
      <c r="B7681">
        <v>123495</v>
      </c>
      <c r="C7681" t="s">
        <v>125</v>
      </c>
      <c r="D7681" t="s">
        <v>6773</v>
      </c>
      <c r="E7681" s="2">
        <v>50.97</v>
      </c>
    </row>
    <row r="7682" spans="1:5" x14ac:dyDescent="0.25">
      <c r="A7682" s="1">
        <v>43664</v>
      </c>
      <c r="B7682">
        <v>123495</v>
      </c>
      <c r="C7682" t="s">
        <v>125</v>
      </c>
      <c r="D7682" t="s">
        <v>6774</v>
      </c>
      <c r="E7682" s="2">
        <v>936</v>
      </c>
    </row>
    <row r="7683" spans="1:5" x14ac:dyDescent="0.25">
      <c r="A7683" s="1">
        <v>43664</v>
      </c>
      <c r="B7683">
        <v>123496</v>
      </c>
      <c r="C7683" t="s">
        <v>265</v>
      </c>
      <c r="D7683" t="s">
        <v>6775</v>
      </c>
      <c r="E7683" s="2">
        <v>70726.5</v>
      </c>
    </row>
    <row r="7684" spans="1:5" x14ac:dyDescent="0.25">
      <c r="A7684" s="1">
        <v>43664</v>
      </c>
      <c r="B7684">
        <v>123497</v>
      </c>
      <c r="C7684" t="s">
        <v>5003</v>
      </c>
      <c r="D7684" t="s">
        <v>5004</v>
      </c>
      <c r="E7684" s="2">
        <v>675</v>
      </c>
    </row>
    <row r="7685" spans="1:5" x14ac:dyDescent="0.25">
      <c r="A7685" s="1">
        <v>43664</v>
      </c>
      <c r="B7685">
        <v>123498</v>
      </c>
      <c r="C7685" t="s">
        <v>44</v>
      </c>
      <c r="D7685" t="s">
        <v>6776</v>
      </c>
      <c r="E7685" s="2">
        <v>114.36</v>
      </c>
    </row>
    <row r="7686" spans="1:5" x14ac:dyDescent="0.25">
      <c r="A7686" s="1">
        <v>43664</v>
      </c>
      <c r="B7686">
        <v>123499</v>
      </c>
      <c r="C7686" t="s">
        <v>6777</v>
      </c>
      <c r="D7686" t="s">
        <v>6778</v>
      </c>
      <c r="E7686" s="2">
        <v>39.049999999999997</v>
      </c>
    </row>
    <row r="7687" spans="1:5" x14ac:dyDescent="0.25">
      <c r="A7687" s="1">
        <v>43664</v>
      </c>
      <c r="B7687">
        <v>123500</v>
      </c>
      <c r="C7687" t="s">
        <v>146</v>
      </c>
      <c r="D7687" t="s">
        <v>6779</v>
      </c>
      <c r="E7687" s="2">
        <v>1272.83</v>
      </c>
    </row>
    <row r="7688" spans="1:5" x14ac:dyDescent="0.25">
      <c r="A7688" s="1">
        <v>43664</v>
      </c>
      <c r="B7688">
        <v>123501</v>
      </c>
      <c r="C7688" t="s">
        <v>2045</v>
      </c>
      <c r="D7688" t="s">
        <v>6780</v>
      </c>
      <c r="E7688" s="2">
        <v>9000</v>
      </c>
    </row>
    <row r="7689" spans="1:5" x14ac:dyDescent="0.25">
      <c r="A7689" s="1">
        <v>43664</v>
      </c>
      <c r="B7689">
        <v>123502</v>
      </c>
      <c r="C7689" t="s">
        <v>1345</v>
      </c>
      <c r="D7689" t="s">
        <v>6781</v>
      </c>
      <c r="E7689" s="2">
        <v>88.57</v>
      </c>
    </row>
    <row r="7690" spans="1:5" x14ac:dyDescent="0.25">
      <c r="A7690" s="1">
        <v>43664</v>
      </c>
      <c r="B7690">
        <v>123503</v>
      </c>
      <c r="C7690" t="s">
        <v>744</v>
      </c>
      <c r="D7690" t="s">
        <v>6782</v>
      </c>
      <c r="E7690" s="2">
        <v>27</v>
      </c>
    </row>
    <row r="7691" spans="1:5" x14ac:dyDescent="0.25">
      <c r="A7691" s="1">
        <v>43664</v>
      </c>
      <c r="B7691">
        <v>123504</v>
      </c>
      <c r="C7691" t="s">
        <v>148</v>
      </c>
      <c r="D7691" t="s">
        <v>6783</v>
      </c>
      <c r="E7691" s="2">
        <f>1617+1617</f>
        <v>3234</v>
      </c>
    </row>
    <row r="7692" spans="1:5" x14ac:dyDescent="0.25">
      <c r="A7692" s="1">
        <v>43664</v>
      </c>
      <c r="B7692">
        <v>123505</v>
      </c>
      <c r="C7692" t="s">
        <v>50</v>
      </c>
      <c r="D7692" t="s">
        <v>2047</v>
      </c>
      <c r="E7692" s="2">
        <v>4450</v>
      </c>
    </row>
    <row r="7693" spans="1:5" x14ac:dyDescent="0.25">
      <c r="A7693" s="1">
        <v>43664</v>
      </c>
      <c r="B7693">
        <v>123506</v>
      </c>
      <c r="C7693" t="s">
        <v>80</v>
      </c>
      <c r="D7693" t="s">
        <v>153</v>
      </c>
      <c r="E7693" s="2">
        <v>66.89</v>
      </c>
    </row>
    <row r="7694" spans="1:5" x14ac:dyDescent="0.25">
      <c r="A7694" s="1">
        <v>43664</v>
      </c>
      <c r="B7694">
        <v>123507</v>
      </c>
      <c r="C7694" t="s">
        <v>3663</v>
      </c>
      <c r="D7694" t="s">
        <v>6784</v>
      </c>
      <c r="E7694" s="2">
        <v>5972</v>
      </c>
    </row>
    <row r="7695" spans="1:5" x14ac:dyDescent="0.25">
      <c r="A7695" s="1">
        <v>43664</v>
      </c>
      <c r="B7695">
        <v>123509</v>
      </c>
      <c r="C7695" t="s">
        <v>631</v>
      </c>
      <c r="D7695" t="s">
        <v>6785</v>
      </c>
      <c r="E7695" s="2">
        <v>493.85</v>
      </c>
    </row>
    <row r="7696" spans="1:5" x14ac:dyDescent="0.25">
      <c r="A7696" s="1">
        <v>43664</v>
      </c>
      <c r="B7696">
        <v>123509</v>
      </c>
      <c r="C7696" t="s">
        <v>631</v>
      </c>
      <c r="D7696" t="s">
        <v>6214</v>
      </c>
      <c r="E7696" s="2">
        <v>94.3</v>
      </c>
    </row>
    <row r="7697" spans="1:5" x14ac:dyDescent="0.25">
      <c r="A7697" s="1">
        <v>43664</v>
      </c>
      <c r="B7697">
        <v>123509</v>
      </c>
      <c r="C7697" t="s">
        <v>631</v>
      </c>
      <c r="D7697" t="s">
        <v>2735</v>
      </c>
      <c r="E7697" s="2">
        <v>65.92</v>
      </c>
    </row>
    <row r="7698" spans="1:5" x14ac:dyDescent="0.25">
      <c r="A7698" s="1">
        <v>43664</v>
      </c>
      <c r="B7698">
        <v>123509</v>
      </c>
      <c r="C7698" t="s">
        <v>631</v>
      </c>
      <c r="D7698" t="s">
        <v>5682</v>
      </c>
      <c r="E7698" s="2">
        <v>20.86</v>
      </c>
    </row>
    <row r="7699" spans="1:5" x14ac:dyDescent="0.25">
      <c r="A7699" s="1">
        <v>43664</v>
      </c>
      <c r="B7699">
        <v>123509</v>
      </c>
      <c r="C7699" t="s">
        <v>631</v>
      </c>
      <c r="D7699" t="s">
        <v>6214</v>
      </c>
      <c r="E7699" s="2">
        <v>556.55999999999995</v>
      </c>
    </row>
    <row r="7700" spans="1:5" x14ac:dyDescent="0.25">
      <c r="A7700" s="1">
        <v>43664</v>
      </c>
      <c r="B7700">
        <v>123509</v>
      </c>
      <c r="C7700" t="s">
        <v>631</v>
      </c>
      <c r="D7700" t="s">
        <v>6786</v>
      </c>
      <c r="E7700" s="2">
        <v>293.38</v>
      </c>
    </row>
    <row r="7701" spans="1:5" x14ac:dyDescent="0.25">
      <c r="A7701" s="1">
        <v>43664</v>
      </c>
      <c r="B7701">
        <v>123509</v>
      </c>
      <c r="C7701" t="s">
        <v>631</v>
      </c>
      <c r="D7701" t="s">
        <v>481</v>
      </c>
      <c r="E7701" s="2">
        <f>174.86+182.78</f>
        <v>357.64</v>
      </c>
    </row>
    <row r="7702" spans="1:5" x14ac:dyDescent="0.25">
      <c r="A7702" s="1">
        <v>43664</v>
      </c>
      <c r="B7702">
        <v>123510</v>
      </c>
      <c r="C7702" t="s">
        <v>158</v>
      </c>
      <c r="D7702" t="s">
        <v>6773</v>
      </c>
      <c r="E7702" s="2">
        <v>286.83999999999997</v>
      </c>
    </row>
    <row r="7703" spans="1:5" x14ac:dyDescent="0.25">
      <c r="A7703" s="1">
        <v>43664</v>
      </c>
      <c r="B7703">
        <v>123510</v>
      </c>
      <c r="C7703" t="s">
        <v>158</v>
      </c>
      <c r="D7703" t="s">
        <v>6787</v>
      </c>
      <c r="E7703" s="2">
        <v>1419.2</v>
      </c>
    </row>
    <row r="7704" spans="1:5" x14ac:dyDescent="0.25">
      <c r="A7704" s="1">
        <v>43664</v>
      </c>
      <c r="B7704">
        <v>123510</v>
      </c>
      <c r="C7704" t="s">
        <v>158</v>
      </c>
      <c r="D7704" t="s">
        <v>6788</v>
      </c>
      <c r="E7704" s="2">
        <v>275.89999999999998</v>
      </c>
    </row>
    <row r="7705" spans="1:5" x14ac:dyDescent="0.25">
      <c r="A7705" s="1">
        <v>43664</v>
      </c>
      <c r="B7705">
        <v>123511</v>
      </c>
      <c r="C7705" t="s">
        <v>309</v>
      </c>
      <c r="D7705" t="s">
        <v>6789</v>
      </c>
      <c r="E7705" s="2">
        <v>1115</v>
      </c>
    </row>
    <row r="7706" spans="1:5" x14ac:dyDescent="0.25">
      <c r="A7706" s="1">
        <v>43664</v>
      </c>
      <c r="B7706">
        <v>123512</v>
      </c>
      <c r="C7706" t="s">
        <v>768</v>
      </c>
      <c r="D7706" t="s">
        <v>6790</v>
      </c>
      <c r="E7706" s="2">
        <v>5100</v>
      </c>
    </row>
    <row r="7707" spans="1:5" x14ac:dyDescent="0.25">
      <c r="A7707" s="1">
        <v>43664</v>
      </c>
      <c r="B7707">
        <v>123513</v>
      </c>
      <c r="C7707" t="s">
        <v>6791</v>
      </c>
      <c r="D7707" t="s">
        <v>6792</v>
      </c>
      <c r="E7707" s="2">
        <v>668.04</v>
      </c>
    </row>
    <row r="7708" spans="1:5" x14ac:dyDescent="0.25">
      <c r="A7708" s="1">
        <v>43664</v>
      </c>
      <c r="B7708">
        <v>123514</v>
      </c>
      <c r="C7708" t="s">
        <v>166</v>
      </c>
      <c r="D7708" t="s">
        <v>5219</v>
      </c>
      <c r="E7708" s="2">
        <v>180</v>
      </c>
    </row>
    <row r="7709" spans="1:5" x14ac:dyDescent="0.25">
      <c r="A7709" s="1">
        <v>43664</v>
      </c>
      <c r="B7709">
        <v>123515</v>
      </c>
      <c r="C7709" t="s">
        <v>6793</v>
      </c>
      <c r="D7709" t="s">
        <v>6794</v>
      </c>
      <c r="E7709" s="2">
        <v>100</v>
      </c>
    </row>
    <row r="7710" spans="1:5" x14ac:dyDescent="0.25">
      <c r="A7710" s="1">
        <v>43664</v>
      </c>
      <c r="B7710">
        <v>123516</v>
      </c>
      <c r="C7710" t="s">
        <v>642</v>
      </c>
      <c r="D7710" t="s">
        <v>6795</v>
      </c>
      <c r="E7710" s="2">
        <v>1345</v>
      </c>
    </row>
    <row r="7711" spans="1:5" x14ac:dyDescent="0.25">
      <c r="A7711" s="1">
        <v>43664</v>
      </c>
      <c r="B7711">
        <v>123517</v>
      </c>
      <c r="C7711" t="s">
        <v>58</v>
      </c>
      <c r="D7711" t="s">
        <v>6796</v>
      </c>
      <c r="E7711" s="2">
        <v>353</v>
      </c>
    </row>
    <row r="7712" spans="1:5" x14ac:dyDescent="0.25">
      <c r="A7712" s="1">
        <v>43664</v>
      </c>
      <c r="B7712">
        <v>123518</v>
      </c>
      <c r="C7712" t="s">
        <v>6797</v>
      </c>
      <c r="D7712" t="s">
        <v>6798</v>
      </c>
      <c r="E7712" s="2">
        <v>1025</v>
      </c>
    </row>
    <row r="7713" spans="1:5" x14ac:dyDescent="0.25">
      <c r="A7713" s="1">
        <v>43664</v>
      </c>
      <c r="B7713">
        <v>123519</v>
      </c>
      <c r="C7713" t="s">
        <v>171</v>
      </c>
      <c r="D7713" t="s">
        <v>6799</v>
      </c>
      <c r="E7713" s="2">
        <v>37.64</v>
      </c>
    </row>
    <row r="7714" spans="1:5" x14ac:dyDescent="0.25">
      <c r="A7714" s="1">
        <v>43664</v>
      </c>
      <c r="B7714">
        <v>123520</v>
      </c>
      <c r="C7714" t="s">
        <v>3543</v>
      </c>
      <c r="D7714" t="s">
        <v>6390</v>
      </c>
      <c r="E7714" s="2">
        <v>1690</v>
      </c>
    </row>
    <row r="7715" spans="1:5" x14ac:dyDescent="0.25">
      <c r="A7715" s="1">
        <v>43664</v>
      </c>
      <c r="B7715">
        <v>123521</v>
      </c>
      <c r="C7715" t="s">
        <v>1273</v>
      </c>
      <c r="D7715" t="s">
        <v>6800</v>
      </c>
      <c r="E7715" s="2">
        <v>3949.7</v>
      </c>
    </row>
    <row r="7716" spans="1:5" x14ac:dyDescent="0.25">
      <c r="A7716" s="1">
        <v>43664</v>
      </c>
      <c r="B7716">
        <v>123522</v>
      </c>
      <c r="C7716" t="s">
        <v>181</v>
      </c>
      <c r="D7716" t="s">
        <v>182</v>
      </c>
      <c r="E7716" s="2">
        <v>1709.55</v>
      </c>
    </row>
    <row r="7717" spans="1:5" x14ac:dyDescent="0.25">
      <c r="A7717" s="1">
        <v>43664</v>
      </c>
      <c r="B7717">
        <v>123523</v>
      </c>
      <c r="C7717" t="s">
        <v>780</v>
      </c>
      <c r="D7717" t="s">
        <v>3387</v>
      </c>
      <c r="E7717" s="2">
        <v>186.96</v>
      </c>
    </row>
    <row r="7718" spans="1:5" x14ac:dyDescent="0.25">
      <c r="A7718" s="1">
        <v>43664</v>
      </c>
      <c r="B7718">
        <v>123523</v>
      </c>
      <c r="C7718" t="s">
        <v>780</v>
      </c>
      <c r="D7718" t="s">
        <v>6801</v>
      </c>
      <c r="E7718" s="2">
        <v>228.54</v>
      </c>
    </row>
    <row r="7719" spans="1:5" x14ac:dyDescent="0.25">
      <c r="A7719" s="1">
        <v>43664</v>
      </c>
      <c r="B7719">
        <v>123524</v>
      </c>
      <c r="C7719" t="s">
        <v>392</v>
      </c>
      <c r="D7719" t="s">
        <v>2458</v>
      </c>
      <c r="E7719" s="2">
        <v>24428.560000000001</v>
      </c>
    </row>
    <row r="7720" spans="1:5" x14ac:dyDescent="0.25">
      <c r="A7720" s="1">
        <v>43670</v>
      </c>
      <c r="B7720">
        <v>123528</v>
      </c>
      <c r="C7720" t="s">
        <v>189</v>
      </c>
      <c r="D7720" t="s">
        <v>6802</v>
      </c>
      <c r="E7720" s="2">
        <v>209.18</v>
      </c>
    </row>
    <row r="7721" spans="1:5" x14ac:dyDescent="0.25">
      <c r="A7721" s="1">
        <v>43670</v>
      </c>
      <c r="B7721">
        <v>123528</v>
      </c>
      <c r="C7721" t="s">
        <v>189</v>
      </c>
      <c r="D7721" t="s">
        <v>6803</v>
      </c>
      <c r="E7721" s="2">
        <v>100.51</v>
      </c>
    </row>
    <row r="7722" spans="1:5" x14ac:dyDescent="0.25">
      <c r="A7722" s="1">
        <v>43670</v>
      </c>
      <c r="B7722">
        <v>123528</v>
      </c>
      <c r="C7722" t="s">
        <v>189</v>
      </c>
      <c r="D7722" t="s">
        <v>6804</v>
      </c>
      <c r="E7722" s="2">
        <v>92.83</v>
      </c>
    </row>
    <row r="7723" spans="1:5" x14ac:dyDescent="0.25">
      <c r="A7723" s="1">
        <v>43670</v>
      </c>
      <c r="B7723">
        <v>123528</v>
      </c>
      <c r="C7723" t="s">
        <v>189</v>
      </c>
      <c r="D7723" t="s">
        <v>6805</v>
      </c>
      <c r="E7723" s="2">
        <v>572.77</v>
      </c>
    </row>
    <row r="7724" spans="1:5" x14ac:dyDescent="0.25">
      <c r="A7724" s="1">
        <v>43670</v>
      </c>
      <c r="B7724">
        <v>123528</v>
      </c>
      <c r="C7724" t="s">
        <v>189</v>
      </c>
      <c r="D7724" t="s">
        <v>6806</v>
      </c>
      <c r="E7724" s="2">
        <v>81.36</v>
      </c>
    </row>
    <row r="7725" spans="1:5" x14ac:dyDescent="0.25">
      <c r="A7725" s="1">
        <v>43670</v>
      </c>
      <c r="B7725">
        <v>123528</v>
      </c>
      <c r="C7725" t="s">
        <v>189</v>
      </c>
      <c r="D7725" t="s">
        <v>6807</v>
      </c>
      <c r="E7725" s="2">
        <v>27.48</v>
      </c>
    </row>
    <row r="7726" spans="1:5" x14ac:dyDescent="0.25">
      <c r="A7726" s="1">
        <v>43670</v>
      </c>
      <c r="B7726">
        <v>123528</v>
      </c>
      <c r="C7726" t="s">
        <v>189</v>
      </c>
      <c r="D7726" t="s">
        <v>6808</v>
      </c>
      <c r="E7726" s="2">
        <v>41.98</v>
      </c>
    </row>
    <row r="7727" spans="1:5" x14ac:dyDescent="0.25">
      <c r="A7727" s="1">
        <v>43670</v>
      </c>
      <c r="B7727">
        <v>123528</v>
      </c>
      <c r="C7727" t="s">
        <v>189</v>
      </c>
      <c r="D7727" t="s">
        <v>6809</v>
      </c>
      <c r="E7727" s="2">
        <v>74.58</v>
      </c>
    </row>
    <row r="7728" spans="1:5" x14ac:dyDescent="0.25">
      <c r="A7728" s="1">
        <v>43670</v>
      </c>
      <c r="B7728">
        <v>123528</v>
      </c>
      <c r="C7728" t="s">
        <v>189</v>
      </c>
      <c r="D7728" t="s">
        <v>6810</v>
      </c>
      <c r="E7728" s="2">
        <v>188.25</v>
      </c>
    </row>
    <row r="7729" spans="1:5" x14ac:dyDescent="0.25">
      <c r="A7729" s="1">
        <v>43670</v>
      </c>
      <c r="B7729">
        <v>123528</v>
      </c>
      <c r="C7729" t="s">
        <v>189</v>
      </c>
      <c r="D7729" t="s">
        <v>6811</v>
      </c>
      <c r="E7729" s="2">
        <v>53.59</v>
      </c>
    </row>
    <row r="7730" spans="1:5" x14ac:dyDescent="0.25">
      <c r="A7730" s="1">
        <v>43670</v>
      </c>
      <c r="B7730">
        <v>123528</v>
      </c>
      <c r="C7730" t="s">
        <v>189</v>
      </c>
      <c r="D7730" t="s">
        <v>6812</v>
      </c>
      <c r="E7730" s="2">
        <v>144.61000000000001</v>
      </c>
    </row>
    <row r="7731" spans="1:5" x14ac:dyDescent="0.25">
      <c r="A7731" s="1">
        <v>43670</v>
      </c>
      <c r="B7731">
        <v>123528</v>
      </c>
      <c r="C7731" t="s">
        <v>189</v>
      </c>
      <c r="D7731" t="s">
        <v>6669</v>
      </c>
      <c r="E7731" s="2">
        <v>1685.42</v>
      </c>
    </row>
    <row r="7732" spans="1:5" x14ac:dyDescent="0.25">
      <c r="A7732" s="1">
        <v>43670</v>
      </c>
      <c r="B7732">
        <v>123528</v>
      </c>
      <c r="C7732" t="s">
        <v>189</v>
      </c>
      <c r="D7732" t="s">
        <v>6813</v>
      </c>
      <c r="E7732" s="2">
        <v>214.13</v>
      </c>
    </row>
    <row r="7733" spans="1:5" x14ac:dyDescent="0.25">
      <c r="A7733" s="1">
        <v>43670</v>
      </c>
      <c r="B7733">
        <v>123528</v>
      </c>
      <c r="C7733" t="s">
        <v>189</v>
      </c>
      <c r="D7733" t="s">
        <v>6814</v>
      </c>
      <c r="E7733" s="2">
        <v>193.2</v>
      </c>
    </row>
    <row r="7734" spans="1:5" x14ac:dyDescent="0.25">
      <c r="A7734" s="1">
        <v>43670</v>
      </c>
      <c r="B7734">
        <v>123528</v>
      </c>
      <c r="C7734" t="s">
        <v>189</v>
      </c>
      <c r="D7734" t="s">
        <v>6815</v>
      </c>
      <c r="E7734" s="2">
        <v>1701.75</v>
      </c>
    </row>
    <row r="7735" spans="1:5" x14ac:dyDescent="0.25">
      <c r="A7735" s="1">
        <v>43670</v>
      </c>
      <c r="B7735">
        <v>123528</v>
      </c>
      <c r="C7735" t="s">
        <v>189</v>
      </c>
      <c r="D7735" t="s">
        <v>481</v>
      </c>
      <c r="E7735" s="2">
        <v>795.15</v>
      </c>
    </row>
    <row r="7736" spans="1:5" x14ac:dyDescent="0.25">
      <c r="A7736" s="1">
        <v>43670</v>
      </c>
      <c r="B7736">
        <v>123529</v>
      </c>
      <c r="C7736" t="s">
        <v>6816</v>
      </c>
      <c r="D7736" t="s">
        <v>6817</v>
      </c>
      <c r="E7736" s="2">
        <v>55.9</v>
      </c>
    </row>
    <row r="7737" spans="1:5" x14ac:dyDescent="0.25">
      <c r="A7737" s="1">
        <v>43670</v>
      </c>
      <c r="B7737">
        <v>123530</v>
      </c>
      <c r="C7737" t="s">
        <v>67</v>
      </c>
      <c r="D7737" t="s">
        <v>6818</v>
      </c>
      <c r="E7737" s="2">
        <v>1573.95</v>
      </c>
    </row>
    <row r="7738" spans="1:5" x14ac:dyDescent="0.25">
      <c r="A7738" s="1">
        <v>43670</v>
      </c>
      <c r="B7738">
        <v>123531</v>
      </c>
      <c r="C7738" t="s">
        <v>107</v>
      </c>
      <c r="D7738" t="s">
        <v>6819</v>
      </c>
      <c r="E7738" s="2">
        <v>1224</v>
      </c>
    </row>
    <row r="7739" spans="1:5" x14ac:dyDescent="0.25">
      <c r="A7739" s="1">
        <v>43670</v>
      </c>
      <c r="B7739">
        <v>123532</v>
      </c>
      <c r="C7739" t="s">
        <v>5566</v>
      </c>
      <c r="D7739" t="s">
        <v>6820</v>
      </c>
      <c r="E7739" s="2">
        <v>157.5</v>
      </c>
    </row>
    <row r="7740" spans="1:5" x14ac:dyDescent="0.25">
      <c r="A7740" s="1">
        <v>43670</v>
      </c>
      <c r="B7740">
        <v>123533</v>
      </c>
      <c r="C7740" t="s">
        <v>6821</v>
      </c>
      <c r="D7740" t="s">
        <v>6822</v>
      </c>
      <c r="E7740" s="2">
        <v>289.67</v>
      </c>
    </row>
    <row r="7741" spans="1:5" x14ac:dyDescent="0.25">
      <c r="A7741" s="1">
        <v>43670</v>
      </c>
      <c r="B7741">
        <v>123534</v>
      </c>
      <c r="C7741" t="s">
        <v>3147</v>
      </c>
      <c r="D7741" t="s">
        <v>6823</v>
      </c>
      <c r="E7741" s="2">
        <v>1261.75</v>
      </c>
    </row>
    <row r="7742" spans="1:5" x14ac:dyDescent="0.25">
      <c r="A7742" s="1">
        <v>43670</v>
      </c>
      <c r="B7742">
        <v>123535</v>
      </c>
      <c r="C7742" t="s">
        <v>74</v>
      </c>
      <c r="D7742" t="s">
        <v>6824</v>
      </c>
      <c r="E7742" s="2">
        <v>31.99</v>
      </c>
    </row>
    <row r="7743" spans="1:5" x14ac:dyDescent="0.25">
      <c r="A7743" s="1">
        <v>43670</v>
      </c>
      <c r="B7743">
        <v>123536</v>
      </c>
      <c r="C7743" t="s">
        <v>873</v>
      </c>
      <c r="D7743" t="s">
        <v>6825</v>
      </c>
      <c r="E7743" s="2">
        <v>164.45</v>
      </c>
    </row>
    <row r="7744" spans="1:5" x14ac:dyDescent="0.25">
      <c r="A7744" s="1">
        <v>43670</v>
      </c>
      <c r="B7744">
        <v>123537</v>
      </c>
      <c r="C7744" t="s">
        <v>629</v>
      </c>
      <c r="D7744" t="s">
        <v>6826</v>
      </c>
      <c r="E7744" s="2">
        <v>1164.54</v>
      </c>
    </row>
    <row r="7745" spans="1:5" x14ac:dyDescent="0.25">
      <c r="A7745" s="1">
        <v>43670</v>
      </c>
      <c r="B7745">
        <v>123538</v>
      </c>
      <c r="C7745" t="s">
        <v>1848</v>
      </c>
      <c r="D7745" t="s">
        <v>6827</v>
      </c>
      <c r="E7745" s="2">
        <v>549.45000000000005</v>
      </c>
    </row>
    <row r="7746" spans="1:5" x14ac:dyDescent="0.25">
      <c r="A7746" s="1">
        <v>43670</v>
      </c>
      <c r="B7746">
        <v>123539</v>
      </c>
      <c r="C7746" t="s">
        <v>6828</v>
      </c>
      <c r="D7746" t="s">
        <v>6829</v>
      </c>
      <c r="E7746" s="2">
        <v>312</v>
      </c>
    </row>
    <row r="7747" spans="1:5" x14ac:dyDescent="0.25">
      <c r="A7747" s="1">
        <v>43670</v>
      </c>
      <c r="B7747">
        <v>123540</v>
      </c>
      <c r="C7747" t="s">
        <v>222</v>
      </c>
      <c r="D7747" t="s">
        <v>6830</v>
      </c>
      <c r="E7747" s="2">
        <v>65.06</v>
      </c>
    </row>
    <row r="7748" spans="1:5" x14ac:dyDescent="0.25">
      <c r="A7748" s="1">
        <v>43670</v>
      </c>
      <c r="B7748">
        <v>123540</v>
      </c>
      <c r="C7748" t="s">
        <v>222</v>
      </c>
      <c r="D7748" t="s">
        <v>6831</v>
      </c>
      <c r="E7748" s="2">
        <v>808.46</v>
      </c>
    </row>
    <row r="7749" spans="1:5" x14ac:dyDescent="0.25">
      <c r="A7749" s="1">
        <v>43670</v>
      </c>
      <c r="B7749">
        <v>123541</v>
      </c>
      <c r="C7749" t="s">
        <v>19</v>
      </c>
      <c r="D7749" t="s">
        <v>6832</v>
      </c>
      <c r="E7749" s="2">
        <v>491</v>
      </c>
    </row>
    <row r="7750" spans="1:5" x14ac:dyDescent="0.25">
      <c r="A7750" s="1">
        <v>43671</v>
      </c>
      <c r="B7750">
        <v>123542</v>
      </c>
      <c r="C7750" t="s">
        <v>6546</v>
      </c>
      <c r="D7750" t="s">
        <v>6833</v>
      </c>
      <c r="E7750" s="2">
        <v>1025.53</v>
      </c>
    </row>
    <row r="7751" spans="1:5" x14ac:dyDescent="0.25">
      <c r="A7751" s="1">
        <v>43671</v>
      </c>
      <c r="B7751">
        <v>123544</v>
      </c>
      <c r="C7751" t="s">
        <v>189</v>
      </c>
      <c r="D7751" t="s">
        <v>6834</v>
      </c>
      <c r="E7751" s="2">
        <v>429</v>
      </c>
    </row>
    <row r="7752" spans="1:5" x14ac:dyDescent="0.25">
      <c r="A7752" s="1">
        <v>43671</v>
      </c>
      <c r="B7752">
        <v>123544</v>
      </c>
      <c r="C7752" t="s">
        <v>189</v>
      </c>
      <c r="D7752" t="s">
        <v>6835</v>
      </c>
      <c r="E7752" s="2">
        <v>193.32</v>
      </c>
    </row>
    <row r="7753" spans="1:5" x14ac:dyDescent="0.25">
      <c r="A7753" s="1">
        <v>43671</v>
      </c>
      <c r="B7753">
        <v>123544</v>
      </c>
      <c r="C7753" t="s">
        <v>189</v>
      </c>
      <c r="D7753" t="s">
        <v>5437</v>
      </c>
      <c r="E7753" s="2">
        <v>162.22999999999999</v>
      </c>
    </row>
    <row r="7754" spans="1:5" x14ac:dyDescent="0.25">
      <c r="A7754" s="1">
        <v>43671</v>
      </c>
      <c r="B7754">
        <v>123544</v>
      </c>
      <c r="C7754" t="s">
        <v>189</v>
      </c>
      <c r="D7754" t="s">
        <v>4666</v>
      </c>
      <c r="E7754" s="2">
        <v>59.96</v>
      </c>
    </row>
    <row r="7755" spans="1:5" x14ac:dyDescent="0.25">
      <c r="A7755" s="1">
        <v>43671</v>
      </c>
      <c r="B7755">
        <v>123545</v>
      </c>
      <c r="C7755" t="s">
        <v>238</v>
      </c>
      <c r="D7755" t="s">
        <v>6836</v>
      </c>
      <c r="E7755" s="2">
        <v>192.8</v>
      </c>
    </row>
    <row r="7756" spans="1:5" x14ac:dyDescent="0.25">
      <c r="A7756" s="1">
        <v>43671</v>
      </c>
      <c r="B7756">
        <v>123546</v>
      </c>
      <c r="C7756" t="s">
        <v>343</v>
      </c>
      <c r="D7756" t="s">
        <v>6837</v>
      </c>
      <c r="E7756" s="2">
        <v>6</v>
      </c>
    </row>
    <row r="7757" spans="1:5" x14ac:dyDescent="0.25">
      <c r="A7757" s="1">
        <v>43671</v>
      </c>
      <c r="B7757">
        <v>123547</v>
      </c>
      <c r="C7757" t="s">
        <v>821</v>
      </c>
      <c r="D7757" t="s">
        <v>6822</v>
      </c>
      <c r="E7757" s="2">
        <v>254</v>
      </c>
    </row>
    <row r="7758" spans="1:5" x14ac:dyDescent="0.25">
      <c r="A7758" s="1">
        <v>43671</v>
      </c>
      <c r="B7758">
        <v>123548</v>
      </c>
      <c r="C7758" t="s">
        <v>6838</v>
      </c>
      <c r="D7758" t="s">
        <v>6839</v>
      </c>
      <c r="E7758" s="2">
        <v>39.049999999999997</v>
      </c>
    </row>
    <row r="7759" spans="1:5" x14ac:dyDescent="0.25">
      <c r="A7759" s="1">
        <v>43671</v>
      </c>
      <c r="B7759">
        <v>123549</v>
      </c>
      <c r="C7759" t="s">
        <v>6840</v>
      </c>
      <c r="D7759" t="s">
        <v>6841</v>
      </c>
      <c r="E7759" s="2">
        <v>45</v>
      </c>
    </row>
    <row r="7760" spans="1:5" x14ac:dyDescent="0.25">
      <c r="A7760" s="1">
        <v>43671</v>
      </c>
      <c r="B7760">
        <v>123550</v>
      </c>
      <c r="C7760" t="s">
        <v>673</v>
      </c>
      <c r="D7760" t="s">
        <v>674</v>
      </c>
      <c r="E7760" s="2">
        <v>95.75</v>
      </c>
    </row>
    <row r="7761" spans="1:5" x14ac:dyDescent="0.25">
      <c r="A7761" s="1">
        <v>43671</v>
      </c>
      <c r="B7761">
        <v>123551</v>
      </c>
      <c r="C7761" t="s">
        <v>247</v>
      </c>
      <c r="D7761" t="s">
        <v>453</v>
      </c>
      <c r="E7761" s="2">
        <v>10699.36</v>
      </c>
    </row>
    <row r="7762" spans="1:5" x14ac:dyDescent="0.25">
      <c r="A7762" s="1">
        <v>43671</v>
      </c>
      <c r="B7762">
        <v>123553</v>
      </c>
      <c r="C7762" t="s">
        <v>106</v>
      </c>
      <c r="D7762" t="s">
        <v>453</v>
      </c>
      <c r="E7762" s="2">
        <v>5112.34</v>
      </c>
    </row>
    <row r="7763" spans="1:5" x14ac:dyDescent="0.25">
      <c r="A7763" s="1">
        <v>43671</v>
      </c>
      <c r="B7763">
        <v>123554</v>
      </c>
      <c r="C7763" t="s">
        <v>1434</v>
      </c>
      <c r="D7763" t="s">
        <v>6842</v>
      </c>
      <c r="E7763" s="2">
        <v>1840</v>
      </c>
    </row>
    <row r="7764" spans="1:5" x14ac:dyDescent="0.25">
      <c r="A7764" s="1">
        <v>43671</v>
      </c>
      <c r="B7764">
        <v>123554</v>
      </c>
      <c r="C7764" t="s">
        <v>1434</v>
      </c>
      <c r="D7764" t="s">
        <v>6843</v>
      </c>
      <c r="E7764" s="2">
        <v>736</v>
      </c>
    </row>
    <row r="7765" spans="1:5" x14ac:dyDescent="0.25">
      <c r="A7765" s="1">
        <v>43671</v>
      </c>
      <c r="B7765">
        <v>123555</v>
      </c>
      <c r="C7765" t="s">
        <v>352</v>
      </c>
      <c r="D7765" t="s">
        <v>6844</v>
      </c>
      <c r="E7765" s="2">
        <v>663</v>
      </c>
    </row>
    <row r="7766" spans="1:5" x14ac:dyDescent="0.25">
      <c r="A7766" s="1">
        <v>43671</v>
      </c>
      <c r="B7766">
        <v>123556</v>
      </c>
      <c r="C7766" t="s">
        <v>681</v>
      </c>
      <c r="D7766" t="s">
        <v>6564</v>
      </c>
      <c r="E7766" s="2">
        <v>45</v>
      </c>
    </row>
    <row r="7767" spans="1:5" x14ac:dyDescent="0.25">
      <c r="A7767" s="1">
        <v>43671</v>
      </c>
      <c r="B7767">
        <v>123559</v>
      </c>
      <c r="C7767" t="s">
        <v>110</v>
      </c>
      <c r="D7767" t="s">
        <v>6845</v>
      </c>
      <c r="E7767" s="2">
        <v>67365.759999999995</v>
      </c>
    </row>
    <row r="7768" spans="1:5" x14ac:dyDescent="0.25">
      <c r="A7768" s="1">
        <v>43671</v>
      </c>
      <c r="B7768">
        <v>123560</v>
      </c>
      <c r="C7768" t="s">
        <v>6846</v>
      </c>
      <c r="D7768" t="s">
        <v>6847</v>
      </c>
      <c r="E7768" s="2">
        <v>8300</v>
      </c>
    </row>
    <row r="7769" spans="1:5" x14ac:dyDescent="0.25">
      <c r="A7769" s="1">
        <v>43671</v>
      </c>
      <c r="B7769">
        <v>123561</v>
      </c>
      <c r="C7769" t="s">
        <v>4779</v>
      </c>
      <c r="D7769" t="s">
        <v>6848</v>
      </c>
      <c r="E7769" s="2">
        <v>4800.2</v>
      </c>
    </row>
    <row r="7770" spans="1:5" x14ac:dyDescent="0.25">
      <c r="A7770" s="1">
        <v>43671</v>
      </c>
      <c r="B7770">
        <v>123561</v>
      </c>
      <c r="C7770" t="s">
        <v>4779</v>
      </c>
      <c r="D7770" t="s">
        <v>6849</v>
      </c>
      <c r="E7770" s="2">
        <v>1071.25</v>
      </c>
    </row>
    <row r="7771" spans="1:5" x14ac:dyDescent="0.25">
      <c r="A7771" s="1">
        <v>43671</v>
      </c>
      <c r="B7771">
        <v>123562</v>
      </c>
      <c r="C7771" t="s">
        <v>2908</v>
      </c>
      <c r="D7771" t="s">
        <v>328</v>
      </c>
      <c r="E7771" s="2">
        <v>2500</v>
      </c>
    </row>
    <row r="7772" spans="1:5" x14ac:dyDescent="0.25">
      <c r="A7772" s="1">
        <v>43671</v>
      </c>
      <c r="B7772">
        <v>123566</v>
      </c>
      <c r="C7772" t="s">
        <v>1196</v>
      </c>
      <c r="D7772" t="s">
        <v>6850</v>
      </c>
      <c r="E7772" s="2">
        <v>5770</v>
      </c>
    </row>
    <row r="7773" spans="1:5" x14ac:dyDescent="0.25">
      <c r="A7773" s="1">
        <v>43671</v>
      </c>
      <c r="B7773">
        <v>123567</v>
      </c>
      <c r="C7773" t="s">
        <v>269</v>
      </c>
      <c r="D7773" t="s">
        <v>4453</v>
      </c>
      <c r="E7773" s="2">
        <v>301.7</v>
      </c>
    </row>
    <row r="7774" spans="1:5" x14ac:dyDescent="0.25">
      <c r="A7774" s="1">
        <v>43671</v>
      </c>
      <c r="B7774">
        <v>123568</v>
      </c>
      <c r="C7774" t="s">
        <v>6851</v>
      </c>
      <c r="D7774" t="s">
        <v>6839</v>
      </c>
      <c r="E7774" s="2">
        <v>39.049999999999997</v>
      </c>
    </row>
    <row r="7775" spans="1:5" x14ac:dyDescent="0.25">
      <c r="A7775" s="1">
        <v>43671</v>
      </c>
      <c r="B7775">
        <v>123569</v>
      </c>
      <c r="C7775" t="s">
        <v>6852</v>
      </c>
      <c r="D7775" t="s">
        <v>6839</v>
      </c>
      <c r="E7775" s="2">
        <v>39.049999999999997</v>
      </c>
    </row>
    <row r="7776" spans="1:5" x14ac:dyDescent="0.25">
      <c r="A7776" s="1">
        <v>43671</v>
      </c>
      <c r="B7776">
        <v>123570</v>
      </c>
      <c r="C7776" t="s">
        <v>47</v>
      </c>
      <c r="D7776" t="s">
        <v>6853</v>
      </c>
      <c r="E7776" s="2">
        <v>673.04</v>
      </c>
    </row>
    <row r="7777" spans="1:5" x14ac:dyDescent="0.25">
      <c r="A7777" s="1">
        <v>43671</v>
      </c>
      <c r="B7777">
        <v>123571</v>
      </c>
      <c r="C7777" t="s">
        <v>74</v>
      </c>
      <c r="D7777" t="s">
        <v>6854</v>
      </c>
      <c r="E7777" s="2">
        <v>611.29999999999995</v>
      </c>
    </row>
    <row r="7778" spans="1:5" x14ac:dyDescent="0.25">
      <c r="A7778" s="1">
        <v>43671</v>
      </c>
      <c r="B7778">
        <v>123571</v>
      </c>
      <c r="C7778" t="s">
        <v>74</v>
      </c>
      <c r="D7778" t="s">
        <v>1017</v>
      </c>
      <c r="E7778" s="2">
        <v>448.5</v>
      </c>
    </row>
    <row r="7779" spans="1:5" x14ac:dyDescent="0.25">
      <c r="A7779" s="1">
        <v>43671</v>
      </c>
      <c r="B7779">
        <v>123572</v>
      </c>
      <c r="C7779" t="s">
        <v>283</v>
      </c>
      <c r="D7779" t="s">
        <v>441</v>
      </c>
      <c r="E7779" s="2">
        <v>1051.08</v>
      </c>
    </row>
    <row r="7780" spans="1:5" x14ac:dyDescent="0.25">
      <c r="A7780" s="1">
        <v>43671</v>
      </c>
      <c r="B7780">
        <v>123573</v>
      </c>
      <c r="C7780" t="s">
        <v>6211</v>
      </c>
      <c r="D7780" t="s">
        <v>1686</v>
      </c>
      <c r="E7780" s="2">
        <v>76.5</v>
      </c>
    </row>
    <row r="7781" spans="1:5" x14ac:dyDescent="0.25">
      <c r="A7781" s="1">
        <v>43671</v>
      </c>
      <c r="B7781">
        <v>123574</v>
      </c>
      <c r="C7781" t="s">
        <v>146</v>
      </c>
      <c r="D7781" t="s">
        <v>6855</v>
      </c>
      <c r="E7781" s="2">
        <v>269.07</v>
      </c>
    </row>
    <row r="7782" spans="1:5" x14ac:dyDescent="0.25">
      <c r="A7782" s="1">
        <v>43671</v>
      </c>
      <c r="B7782">
        <v>123574</v>
      </c>
      <c r="C7782" t="s">
        <v>146</v>
      </c>
      <c r="D7782" t="s">
        <v>6856</v>
      </c>
      <c r="E7782" s="2">
        <v>417.08</v>
      </c>
    </row>
    <row r="7783" spans="1:5" x14ac:dyDescent="0.25">
      <c r="A7783" s="1">
        <v>43671</v>
      </c>
      <c r="B7783">
        <v>123575</v>
      </c>
      <c r="C7783" t="s">
        <v>4497</v>
      </c>
      <c r="D7783" t="s">
        <v>6857</v>
      </c>
      <c r="E7783" s="2">
        <v>445</v>
      </c>
    </row>
    <row r="7784" spans="1:5" x14ac:dyDescent="0.25">
      <c r="A7784" s="1">
        <v>43671</v>
      </c>
      <c r="B7784">
        <v>123576</v>
      </c>
      <c r="C7784" t="s">
        <v>6858</v>
      </c>
      <c r="D7784" t="s">
        <v>6699</v>
      </c>
      <c r="E7784" s="2">
        <v>39.049999999999997</v>
      </c>
    </row>
    <row r="7785" spans="1:5" x14ac:dyDescent="0.25">
      <c r="A7785" s="1">
        <v>43671</v>
      </c>
      <c r="B7785">
        <v>123577</v>
      </c>
      <c r="C7785" t="s">
        <v>75</v>
      </c>
      <c r="D7785" t="s">
        <v>376</v>
      </c>
      <c r="E7785" s="2">
        <v>69.53</v>
      </c>
    </row>
    <row r="7786" spans="1:5" x14ac:dyDescent="0.25">
      <c r="A7786" s="1">
        <v>43671</v>
      </c>
      <c r="B7786">
        <v>123578</v>
      </c>
      <c r="C7786" t="s">
        <v>6859</v>
      </c>
      <c r="D7786" t="s">
        <v>6699</v>
      </c>
      <c r="E7786" s="2">
        <v>39.049999999999997</v>
      </c>
    </row>
    <row r="7787" spans="1:5" x14ac:dyDescent="0.25">
      <c r="A7787" s="1">
        <v>43671</v>
      </c>
      <c r="B7787">
        <v>123579</v>
      </c>
      <c r="C7787" t="s">
        <v>3761</v>
      </c>
      <c r="D7787" t="s">
        <v>6860</v>
      </c>
      <c r="E7787" s="2">
        <v>814</v>
      </c>
    </row>
    <row r="7788" spans="1:5" x14ac:dyDescent="0.25">
      <c r="A7788" s="1">
        <v>43671</v>
      </c>
      <c r="B7788">
        <v>123580</v>
      </c>
      <c r="C7788" t="s">
        <v>213</v>
      </c>
      <c r="D7788" t="s">
        <v>6861</v>
      </c>
      <c r="E7788" s="2">
        <v>34.950000000000003</v>
      </c>
    </row>
    <row r="7789" spans="1:5" x14ac:dyDescent="0.25">
      <c r="A7789" s="1">
        <v>43671</v>
      </c>
      <c r="B7789">
        <v>123581</v>
      </c>
      <c r="C7789" t="s">
        <v>1516</v>
      </c>
      <c r="D7789" t="s">
        <v>6862</v>
      </c>
      <c r="E7789" s="2">
        <v>60</v>
      </c>
    </row>
    <row r="7790" spans="1:5" x14ac:dyDescent="0.25">
      <c r="A7790" s="1">
        <v>43671</v>
      </c>
      <c r="B7790">
        <v>123582</v>
      </c>
      <c r="C7790" t="s">
        <v>1261</v>
      </c>
      <c r="D7790" t="s">
        <v>690</v>
      </c>
      <c r="E7790" s="2">
        <v>1015.3</v>
      </c>
    </row>
    <row r="7791" spans="1:5" x14ac:dyDescent="0.25">
      <c r="A7791" s="1">
        <v>43671</v>
      </c>
      <c r="B7791">
        <v>123583</v>
      </c>
      <c r="C7791" t="s">
        <v>1729</v>
      </c>
      <c r="D7791" t="s">
        <v>376</v>
      </c>
      <c r="E7791" s="2">
        <v>4.13</v>
      </c>
    </row>
    <row r="7792" spans="1:5" x14ac:dyDescent="0.25">
      <c r="A7792" s="1">
        <v>43671</v>
      </c>
      <c r="B7792">
        <v>123584</v>
      </c>
      <c r="C7792" t="s">
        <v>387</v>
      </c>
      <c r="D7792" t="s">
        <v>1867</v>
      </c>
      <c r="E7792" s="2">
        <v>183.53</v>
      </c>
    </row>
    <row r="7793" spans="1:5" x14ac:dyDescent="0.25">
      <c r="A7793" s="1">
        <v>43671</v>
      </c>
      <c r="B7793">
        <v>123586</v>
      </c>
      <c r="C7793" t="s">
        <v>222</v>
      </c>
      <c r="D7793" t="s">
        <v>6863</v>
      </c>
      <c r="E7793" s="2">
        <v>247.2</v>
      </c>
    </row>
    <row r="7794" spans="1:5" x14ac:dyDescent="0.25">
      <c r="A7794" s="1">
        <v>43671</v>
      </c>
      <c r="B7794">
        <v>123586</v>
      </c>
      <c r="C7794" t="s">
        <v>222</v>
      </c>
      <c r="D7794" t="s">
        <v>6864</v>
      </c>
      <c r="E7794" s="2">
        <v>95.1</v>
      </c>
    </row>
    <row r="7795" spans="1:5" x14ac:dyDescent="0.25">
      <c r="A7795" s="1">
        <v>43671</v>
      </c>
      <c r="B7795">
        <v>123586</v>
      </c>
      <c r="C7795" t="s">
        <v>222</v>
      </c>
      <c r="D7795" t="s">
        <v>6865</v>
      </c>
      <c r="E7795" s="2">
        <v>74.67</v>
      </c>
    </row>
    <row r="7796" spans="1:5" x14ac:dyDescent="0.25">
      <c r="A7796" s="1">
        <v>43671</v>
      </c>
      <c r="B7796">
        <v>123586</v>
      </c>
      <c r="C7796" t="s">
        <v>222</v>
      </c>
      <c r="D7796" t="s">
        <v>6866</v>
      </c>
      <c r="E7796" s="2">
        <v>374.75</v>
      </c>
    </row>
    <row r="7797" spans="1:5" x14ac:dyDescent="0.25">
      <c r="A7797" s="1">
        <v>43671</v>
      </c>
      <c r="B7797">
        <v>123586</v>
      </c>
      <c r="C7797" t="s">
        <v>222</v>
      </c>
      <c r="D7797" t="s">
        <v>6867</v>
      </c>
      <c r="E7797" s="2">
        <v>422.86</v>
      </c>
    </row>
    <row r="7798" spans="1:5" x14ac:dyDescent="0.25">
      <c r="A7798" s="1">
        <v>43671</v>
      </c>
      <c r="B7798">
        <v>123586</v>
      </c>
      <c r="C7798" t="s">
        <v>222</v>
      </c>
      <c r="D7798" t="s">
        <v>4692</v>
      </c>
      <c r="E7798" s="2">
        <v>111.3</v>
      </c>
    </row>
    <row r="7799" spans="1:5" x14ac:dyDescent="0.25">
      <c r="A7799" s="1">
        <v>43671</v>
      </c>
      <c r="B7799">
        <v>123586</v>
      </c>
      <c r="C7799" t="s">
        <v>222</v>
      </c>
      <c r="D7799" t="s">
        <v>4824</v>
      </c>
      <c r="E7799" s="2">
        <v>57.04</v>
      </c>
    </row>
    <row r="7800" spans="1:5" x14ac:dyDescent="0.25">
      <c r="A7800" s="1">
        <v>43671</v>
      </c>
      <c r="B7800">
        <v>123592</v>
      </c>
      <c r="C7800" t="s">
        <v>388</v>
      </c>
      <c r="D7800" t="s">
        <v>6868</v>
      </c>
      <c r="E7800" s="2">
        <f>25+966.82+798.21</f>
        <v>1790.0300000000002</v>
      </c>
    </row>
    <row r="7801" spans="1:5" x14ac:dyDescent="0.25">
      <c r="A7801" s="1">
        <v>43671</v>
      </c>
      <c r="B7801">
        <v>123592</v>
      </c>
      <c r="C7801" t="s">
        <v>388</v>
      </c>
      <c r="D7801" t="s">
        <v>6869</v>
      </c>
      <c r="E7801" s="2">
        <v>14522.22</v>
      </c>
    </row>
    <row r="7802" spans="1:5" x14ac:dyDescent="0.25">
      <c r="A7802" s="1">
        <v>43671</v>
      </c>
      <c r="B7802">
        <v>123593</v>
      </c>
      <c r="C7802" t="s">
        <v>780</v>
      </c>
      <c r="D7802" t="s">
        <v>6870</v>
      </c>
      <c r="E7802" s="2">
        <v>19929.22</v>
      </c>
    </row>
    <row r="7803" spans="1:5" x14ac:dyDescent="0.25">
      <c r="A7803" s="1">
        <v>43675</v>
      </c>
      <c r="B7803">
        <v>123594</v>
      </c>
      <c r="C7803" t="s">
        <v>6551</v>
      </c>
      <c r="D7803" t="s">
        <v>6871</v>
      </c>
      <c r="E7803" s="2">
        <v>83775</v>
      </c>
    </row>
    <row r="7804" spans="1:5" x14ac:dyDescent="0.25">
      <c r="A7804" s="1">
        <v>43677</v>
      </c>
      <c r="B7804">
        <v>123595</v>
      </c>
      <c r="C7804" t="s">
        <v>940</v>
      </c>
      <c r="D7804" t="s">
        <v>6872</v>
      </c>
      <c r="E7804" s="2">
        <v>633.6</v>
      </c>
    </row>
    <row r="7805" spans="1:5" x14ac:dyDescent="0.25">
      <c r="A7805" s="1">
        <v>43677</v>
      </c>
      <c r="B7805">
        <v>123596</v>
      </c>
      <c r="C7805" t="s">
        <v>68</v>
      </c>
      <c r="D7805" t="s">
        <v>6873</v>
      </c>
      <c r="E7805" s="2">
        <v>99.74</v>
      </c>
    </row>
    <row r="7806" spans="1:5" x14ac:dyDescent="0.25">
      <c r="A7806" s="1">
        <v>43677</v>
      </c>
      <c r="B7806">
        <v>123597</v>
      </c>
      <c r="C7806" t="s">
        <v>801</v>
      </c>
      <c r="D7806" t="s">
        <v>6874</v>
      </c>
      <c r="E7806" s="2">
        <v>367.65</v>
      </c>
    </row>
    <row r="7807" spans="1:5" x14ac:dyDescent="0.25">
      <c r="A7807" s="1">
        <v>43677</v>
      </c>
      <c r="B7807">
        <v>123598</v>
      </c>
      <c r="C7807" t="s">
        <v>365</v>
      </c>
      <c r="D7807" t="s">
        <v>6875</v>
      </c>
      <c r="E7807" s="2">
        <v>94.3</v>
      </c>
    </row>
    <row r="7808" spans="1:5" x14ac:dyDescent="0.25">
      <c r="A7808" s="1">
        <v>43677</v>
      </c>
      <c r="B7808">
        <v>123599</v>
      </c>
      <c r="C7808" t="s">
        <v>74</v>
      </c>
      <c r="D7808" t="s">
        <v>6876</v>
      </c>
      <c r="E7808" s="2">
        <v>129.99</v>
      </c>
    </row>
    <row r="7809" spans="1:5" x14ac:dyDescent="0.25">
      <c r="A7809" s="1">
        <v>43677</v>
      </c>
      <c r="B7809">
        <v>123599</v>
      </c>
      <c r="C7809" t="s">
        <v>74</v>
      </c>
      <c r="D7809" t="s">
        <v>6877</v>
      </c>
      <c r="E7809" s="2">
        <v>192.03</v>
      </c>
    </row>
    <row r="7810" spans="1:5" x14ac:dyDescent="0.25">
      <c r="A7810" s="1">
        <v>43677</v>
      </c>
      <c r="B7810">
        <v>123600</v>
      </c>
      <c r="C7810" t="s">
        <v>75</v>
      </c>
      <c r="D7810" t="s">
        <v>376</v>
      </c>
      <c r="E7810" s="2">
        <v>110.07</v>
      </c>
    </row>
    <row r="7811" spans="1:5" x14ac:dyDescent="0.25">
      <c r="A7811" s="1">
        <v>43677</v>
      </c>
      <c r="B7811">
        <v>123601</v>
      </c>
      <c r="C7811" t="s">
        <v>219</v>
      </c>
      <c r="D7811" t="s">
        <v>6878</v>
      </c>
      <c r="E7811" s="2">
        <v>17.309999999999999</v>
      </c>
    </row>
    <row r="7812" spans="1:5" x14ac:dyDescent="0.25">
      <c r="A7812" s="1">
        <v>43677</v>
      </c>
      <c r="B7812">
        <v>123602</v>
      </c>
      <c r="C7812" t="s">
        <v>5788</v>
      </c>
      <c r="D7812" t="s">
        <v>6879</v>
      </c>
      <c r="E7812" s="2">
        <v>300</v>
      </c>
    </row>
    <row r="7813" spans="1:5" x14ac:dyDescent="0.25">
      <c r="A7813" s="1">
        <v>43677</v>
      </c>
      <c r="B7813">
        <v>123603</v>
      </c>
      <c r="C7813" t="s">
        <v>5857</v>
      </c>
      <c r="D7813" t="s">
        <v>6880</v>
      </c>
      <c r="E7813" s="2">
        <v>4010</v>
      </c>
    </row>
    <row r="7814" spans="1:5" x14ac:dyDescent="0.25">
      <c r="A7814" s="1">
        <v>43677</v>
      </c>
      <c r="B7814">
        <v>123604</v>
      </c>
      <c r="C7814" t="s">
        <v>92</v>
      </c>
      <c r="D7814" t="s">
        <v>6881</v>
      </c>
      <c r="E7814" s="2">
        <v>13118.8</v>
      </c>
    </row>
    <row r="7815" spans="1:5" x14ac:dyDescent="0.25">
      <c r="A7815" s="1">
        <v>43677</v>
      </c>
      <c r="B7815">
        <v>123605</v>
      </c>
      <c r="C7815" t="s">
        <v>6882</v>
      </c>
      <c r="D7815" t="s">
        <v>6883</v>
      </c>
      <c r="E7815" s="2">
        <v>250</v>
      </c>
    </row>
    <row r="7816" spans="1:5" x14ac:dyDescent="0.25">
      <c r="A7816" s="1">
        <v>43677</v>
      </c>
      <c r="B7816">
        <v>123606</v>
      </c>
      <c r="C7816" t="s">
        <v>19</v>
      </c>
      <c r="D7816" t="s">
        <v>6884</v>
      </c>
      <c r="E7816" s="2">
        <v>467.5</v>
      </c>
    </row>
    <row r="7817" spans="1:5" x14ac:dyDescent="0.25">
      <c r="A7817" s="1">
        <v>43677</v>
      </c>
      <c r="B7817">
        <v>123607</v>
      </c>
      <c r="C7817" t="s">
        <v>80</v>
      </c>
      <c r="D7817" t="s">
        <v>6885</v>
      </c>
      <c r="E7817" s="2">
        <v>23.97</v>
      </c>
    </row>
    <row r="7818" spans="1:5" x14ac:dyDescent="0.25">
      <c r="A7818" s="1">
        <v>43677</v>
      </c>
      <c r="B7818">
        <v>123608</v>
      </c>
      <c r="C7818" t="s">
        <v>213</v>
      </c>
      <c r="D7818" t="s">
        <v>6479</v>
      </c>
      <c r="E7818" s="2">
        <v>14.02</v>
      </c>
    </row>
    <row r="7819" spans="1:5" x14ac:dyDescent="0.25">
      <c r="A7819" s="1">
        <v>43677</v>
      </c>
      <c r="B7819">
        <v>123609</v>
      </c>
      <c r="C7819" t="s">
        <v>1784</v>
      </c>
      <c r="D7819" t="s">
        <v>6886</v>
      </c>
      <c r="E7819" s="2">
        <v>1830</v>
      </c>
    </row>
    <row r="7820" spans="1:5" x14ac:dyDescent="0.25">
      <c r="A7820" s="1">
        <v>43677</v>
      </c>
      <c r="B7820">
        <v>123610</v>
      </c>
      <c r="C7820" t="s">
        <v>6887</v>
      </c>
      <c r="D7820" t="s">
        <v>6258</v>
      </c>
      <c r="E7820" s="2">
        <v>2000</v>
      </c>
    </row>
    <row r="7821" spans="1:5" x14ac:dyDescent="0.25">
      <c r="A7821" s="1">
        <v>43677</v>
      </c>
      <c r="B7821">
        <v>123611</v>
      </c>
      <c r="C7821" t="s">
        <v>5857</v>
      </c>
      <c r="D7821" t="s">
        <v>6888</v>
      </c>
      <c r="E7821" s="2">
        <v>2120</v>
      </c>
    </row>
    <row r="7822" spans="1:5" x14ac:dyDescent="0.25">
      <c r="A7822" s="1">
        <v>43657</v>
      </c>
      <c r="B7822">
        <v>181900387</v>
      </c>
      <c r="C7822" t="s">
        <v>6361</v>
      </c>
      <c r="D7822" t="s">
        <v>6889</v>
      </c>
      <c r="E7822" s="2">
        <v>129</v>
      </c>
    </row>
    <row r="7823" spans="1:5" x14ac:dyDescent="0.25">
      <c r="A7823" s="1">
        <v>43657</v>
      </c>
      <c r="B7823">
        <v>181900388</v>
      </c>
      <c r="C7823" t="s">
        <v>4861</v>
      </c>
      <c r="D7823" t="s">
        <v>6890</v>
      </c>
      <c r="E7823" s="2">
        <v>221.5</v>
      </c>
    </row>
    <row r="7824" spans="1:5" x14ac:dyDescent="0.25">
      <c r="A7824" s="1">
        <v>43657</v>
      </c>
      <c r="B7824">
        <v>181900389</v>
      </c>
      <c r="C7824" t="s">
        <v>398</v>
      </c>
      <c r="D7824" t="s">
        <v>6618</v>
      </c>
      <c r="E7824" s="2">
        <v>134461.76999999999</v>
      </c>
    </row>
    <row r="7825" spans="1:5" x14ac:dyDescent="0.25">
      <c r="A7825" s="1">
        <v>43657</v>
      </c>
      <c r="B7825">
        <v>181900391</v>
      </c>
      <c r="C7825" t="s">
        <v>274</v>
      </c>
      <c r="D7825" t="s">
        <v>6891</v>
      </c>
      <c r="E7825" s="2">
        <v>161.51</v>
      </c>
    </row>
    <row r="7826" spans="1:5" x14ac:dyDescent="0.25">
      <c r="A7826" s="1">
        <v>43657</v>
      </c>
      <c r="B7826">
        <v>181900391</v>
      </c>
      <c r="C7826" t="s">
        <v>274</v>
      </c>
      <c r="D7826" t="s">
        <v>6892</v>
      </c>
      <c r="E7826" s="2">
        <v>645.04</v>
      </c>
    </row>
    <row r="7827" spans="1:5" x14ac:dyDescent="0.25">
      <c r="A7827" s="1">
        <v>43657</v>
      </c>
      <c r="B7827">
        <v>181900391</v>
      </c>
      <c r="C7827" t="s">
        <v>274</v>
      </c>
      <c r="D7827" t="s">
        <v>2916</v>
      </c>
      <c r="E7827" s="2">
        <v>487.41</v>
      </c>
    </row>
    <row r="7828" spans="1:5" x14ac:dyDescent="0.25">
      <c r="A7828" s="1">
        <v>43657</v>
      </c>
      <c r="B7828">
        <v>181900391</v>
      </c>
      <c r="C7828" t="s">
        <v>274</v>
      </c>
      <c r="D7828" t="s">
        <v>6893</v>
      </c>
      <c r="E7828" s="2">
        <v>575.52</v>
      </c>
    </row>
    <row r="7829" spans="1:5" x14ac:dyDescent="0.25">
      <c r="A7829" s="1">
        <v>43657</v>
      </c>
      <c r="B7829">
        <v>181900391</v>
      </c>
      <c r="C7829" t="s">
        <v>274</v>
      </c>
      <c r="D7829" t="s">
        <v>2916</v>
      </c>
      <c r="E7829" s="2">
        <v>1306.58</v>
      </c>
    </row>
    <row r="7830" spans="1:5" x14ac:dyDescent="0.25">
      <c r="A7830" s="1">
        <v>43657</v>
      </c>
      <c r="B7830">
        <v>181900392</v>
      </c>
      <c r="C7830" t="s">
        <v>48</v>
      </c>
      <c r="D7830" t="s">
        <v>6619</v>
      </c>
      <c r="E7830" s="2">
        <v>2899.36</v>
      </c>
    </row>
    <row r="7831" spans="1:5" x14ac:dyDescent="0.25">
      <c r="A7831" s="1">
        <v>43663</v>
      </c>
      <c r="B7831">
        <v>181900393</v>
      </c>
      <c r="C7831" t="s">
        <v>393</v>
      </c>
      <c r="D7831" t="s">
        <v>6841</v>
      </c>
      <c r="E7831" s="2">
        <v>54</v>
      </c>
    </row>
    <row r="7832" spans="1:5" x14ac:dyDescent="0.25">
      <c r="A7832" s="1">
        <v>43663</v>
      </c>
      <c r="B7832">
        <v>181900393</v>
      </c>
      <c r="C7832" t="s">
        <v>393</v>
      </c>
      <c r="D7832" t="s">
        <v>6894</v>
      </c>
      <c r="E7832" s="2">
        <v>250.42</v>
      </c>
    </row>
    <row r="7833" spans="1:5" x14ac:dyDescent="0.25">
      <c r="A7833" s="1">
        <v>43664</v>
      </c>
      <c r="B7833">
        <v>181900394</v>
      </c>
      <c r="C7833" t="s">
        <v>6721</v>
      </c>
      <c r="D7833" t="s">
        <v>6895</v>
      </c>
      <c r="E7833" s="2">
        <v>43584.78</v>
      </c>
    </row>
    <row r="7834" spans="1:5" x14ac:dyDescent="0.25">
      <c r="A7834" s="1">
        <v>43664</v>
      </c>
      <c r="B7834">
        <v>181900395</v>
      </c>
      <c r="C7834" t="s">
        <v>1059</v>
      </c>
      <c r="D7834" t="s">
        <v>6896</v>
      </c>
      <c r="E7834" s="2">
        <v>219.98</v>
      </c>
    </row>
    <row r="7835" spans="1:5" x14ac:dyDescent="0.25">
      <c r="A7835" s="1">
        <v>43664</v>
      </c>
      <c r="B7835">
        <v>181900396</v>
      </c>
      <c r="C7835" t="s">
        <v>2092</v>
      </c>
      <c r="D7835" t="s">
        <v>6896</v>
      </c>
      <c r="E7835" s="2">
        <v>39.130000000000003</v>
      </c>
    </row>
    <row r="7836" spans="1:5" x14ac:dyDescent="0.25">
      <c r="A7836" s="1">
        <v>43664</v>
      </c>
      <c r="B7836">
        <v>181900397</v>
      </c>
      <c r="C7836" t="s">
        <v>6897</v>
      </c>
      <c r="D7836" t="s">
        <v>6841</v>
      </c>
      <c r="E7836" s="2">
        <v>54</v>
      </c>
    </row>
    <row r="7837" spans="1:5" x14ac:dyDescent="0.25">
      <c r="A7837" s="1">
        <v>43664</v>
      </c>
      <c r="B7837">
        <v>181900398</v>
      </c>
      <c r="C7837" t="s">
        <v>274</v>
      </c>
      <c r="D7837" t="s">
        <v>6697</v>
      </c>
      <c r="E7837" s="2">
        <v>709.78</v>
      </c>
    </row>
    <row r="7838" spans="1:5" x14ac:dyDescent="0.25">
      <c r="A7838" s="1">
        <v>43664</v>
      </c>
      <c r="B7838">
        <v>181900399</v>
      </c>
      <c r="C7838" t="s">
        <v>2465</v>
      </c>
      <c r="D7838" t="s">
        <v>6822</v>
      </c>
      <c r="E7838" s="2">
        <v>54</v>
      </c>
    </row>
    <row r="7839" spans="1:5" x14ac:dyDescent="0.25">
      <c r="A7839" s="1">
        <v>43664</v>
      </c>
      <c r="B7839">
        <v>181900400</v>
      </c>
      <c r="C7839" t="s">
        <v>4157</v>
      </c>
      <c r="D7839" t="s">
        <v>6822</v>
      </c>
      <c r="E7839" s="2">
        <v>240.99</v>
      </c>
    </row>
    <row r="7840" spans="1:5" x14ac:dyDescent="0.25">
      <c r="A7840" s="1">
        <v>43664</v>
      </c>
      <c r="B7840">
        <v>181900401</v>
      </c>
      <c r="C7840" t="s">
        <v>6898</v>
      </c>
      <c r="D7840" t="s">
        <v>6822</v>
      </c>
      <c r="E7840" s="2">
        <v>60</v>
      </c>
    </row>
    <row r="7841" spans="1:5" x14ac:dyDescent="0.25">
      <c r="A7841" s="1">
        <v>43670</v>
      </c>
      <c r="B7841">
        <v>181900402</v>
      </c>
      <c r="C7841" t="s">
        <v>274</v>
      </c>
      <c r="D7841" t="s">
        <v>6899</v>
      </c>
      <c r="E7841" s="2">
        <v>269.42</v>
      </c>
    </row>
    <row r="7842" spans="1:5" x14ac:dyDescent="0.25">
      <c r="A7842" s="1">
        <v>43671</v>
      </c>
      <c r="B7842">
        <v>181900403</v>
      </c>
      <c r="C7842" t="s">
        <v>6629</v>
      </c>
      <c r="D7842" t="s">
        <v>6822</v>
      </c>
      <c r="E7842" s="2">
        <v>161.88</v>
      </c>
    </row>
    <row r="7843" spans="1:5" x14ac:dyDescent="0.25">
      <c r="A7843" s="1">
        <v>43671</v>
      </c>
      <c r="B7843">
        <v>181900404</v>
      </c>
      <c r="C7843" t="s">
        <v>4205</v>
      </c>
      <c r="D7843" t="s">
        <v>6900</v>
      </c>
      <c r="E7843" s="2">
        <v>82.88</v>
      </c>
    </row>
    <row r="7844" spans="1:5" x14ac:dyDescent="0.25">
      <c r="A7844" s="1">
        <v>43671</v>
      </c>
      <c r="B7844">
        <v>181900405</v>
      </c>
      <c r="C7844" t="s">
        <v>274</v>
      </c>
      <c r="D7844" t="s">
        <v>2916</v>
      </c>
      <c r="E7844" s="2">
        <v>729.04</v>
      </c>
    </row>
    <row r="7845" spans="1:5" x14ac:dyDescent="0.25">
      <c r="A7845" s="1">
        <v>43671</v>
      </c>
      <c r="B7845">
        <v>181900405</v>
      </c>
      <c r="C7845" t="s">
        <v>274</v>
      </c>
      <c r="D7845" t="s">
        <v>2916</v>
      </c>
      <c r="E7845" s="2">
        <v>984.96</v>
      </c>
    </row>
    <row r="7846" spans="1:5" x14ac:dyDescent="0.25">
      <c r="A7846" s="1">
        <v>43671</v>
      </c>
      <c r="B7846">
        <v>181900406</v>
      </c>
      <c r="C7846" t="s">
        <v>48</v>
      </c>
      <c r="D7846" t="s">
        <v>6901</v>
      </c>
      <c r="E7846" s="2">
        <v>7159.04</v>
      </c>
    </row>
    <row r="7847" spans="1:5" x14ac:dyDescent="0.25">
      <c r="A7847" s="1">
        <v>43671</v>
      </c>
      <c r="B7847">
        <v>181900407</v>
      </c>
      <c r="C7847" t="s">
        <v>917</v>
      </c>
      <c r="D7847" t="s">
        <v>6822</v>
      </c>
      <c r="E7847" s="2">
        <v>75.88</v>
      </c>
    </row>
    <row r="7848" spans="1:5" x14ac:dyDescent="0.25">
      <c r="A7848" s="1">
        <v>43671</v>
      </c>
      <c r="B7848">
        <v>181900408</v>
      </c>
      <c r="C7848" t="s">
        <v>6902</v>
      </c>
      <c r="D7848" t="s">
        <v>6841</v>
      </c>
      <c r="E7848" s="2">
        <v>39</v>
      </c>
    </row>
    <row r="7849" spans="1:5" x14ac:dyDescent="0.25">
      <c r="A7849" s="1">
        <v>43661</v>
      </c>
      <c r="B7849">
        <v>201800232</v>
      </c>
      <c r="C7849" t="s">
        <v>404</v>
      </c>
      <c r="D7849" t="s">
        <v>4892</v>
      </c>
      <c r="E7849" s="2">
        <v>443.25</v>
      </c>
    </row>
    <row r="7850" spans="1:5" x14ac:dyDescent="0.25">
      <c r="A7850" s="1">
        <v>43661</v>
      </c>
      <c r="B7850">
        <v>201800244</v>
      </c>
      <c r="C7850" t="s">
        <v>5631</v>
      </c>
      <c r="D7850" t="s">
        <v>6903</v>
      </c>
      <c r="E7850" s="2">
        <f>165.98+135.04</f>
        <v>301.02</v>
      </c>
    </row>
    <row r="7851" spans="1:5" x14ac:dyDescent="0.25">
      <c r="A7851" s="1">
        <v>43661</v>
      </c>
      <c r="B7851">
        <v>201800250</v>
      </c>
      <c r="C7851" t="s">
        <v>1570</v>
      </c>
      <c r="D7851" t="s">
        <v>6904</v>
      </c>
      <c r="E7851" s="2">
        <v>137.75</v>
      </c>
    </row>
    <row r="7852" spans="1:5" x14ac:dyDescent="0.25">
      <c r="A7852" s="1">
        <v>43661</v>
      </c>
      <c r="B7852">
        <v>201800251</v>
      </c>
      <c r="C7852" t="s">
        <v>6905</v>
      </c>
      <c r="D7852" t="s">
        <v>6906</v>
      </c>
      <c r="E7852" s="2">
        <v>139.99</v>
      </c>
    </row>
    <row r="7853" spans="1:5" x14ac:dyDescent="0.25">
      <c r="A7853" s="1">
        <v>43661</v>
      </c>
      <c r="B7853">
        <v>201800252</v>
      </c>
      <c r="C7853" t="s">
        <v>2292</v>
      </c>
      <c r="D7853" t="s">
        <v>6907</v>
      </c>
      <c r="E7853" s="2">
        <v>330</v>
      </c>
    </row>
    <row r="7854" spans="1:5" x14ac:dyDescent="0.25">
      <c r="A7854" s="1">
        <v>43661</v>
      </c>
      <c r="B7854">
        <v>201800252</v>
      </c>
      <c r="C7854" t="s">
        <v>2292</v>
      </c>
      <c r="D7854" t="s">
        <v>6908</v>
      </c>
      <c r="E7854" s="2">
        <v>169.99</v>
      </c>
    </row>
    <row r="7855" spans="1:5" x14ac:dyDescent="0.25">
      <c r="A7855" s="1">
        <v>43661</v>
      </c>
      <c r="B7855">
        <v>201800253</v>
      </c>
      <c r="C7855" t="s">
        <v>6909</v>
      </c>
      <c r="D7855" t="s">
        <v>6910</v>
      </c>
      <c r="E7855" s="2">
        <v>886.72</v>
      </c>
    </row>
    <row r="7856" spans="1:5" x14ac:dyDescent="0.25">
      <c r="A7856" s="1">
        <v>43661</v>
      </c>
      <c r="B7856">
        <v>201800255</v>
      </c>
      <c r="C7856" t="s">
        <v>928</v>
      </c>
      <c r="D7856" t="s">
        <v>6911</v>
      </c>
      <c r="E7856" s="2">
        <v>56.43</v>
      </c>
    </row>
    <row r="7857" spans="1:6" x14ac:dyDescent="0.25">
      <c r="C7857" t="s">
        <v>2659</v>
      </c>
      <c r="F7857" s="9">
        <f>SUM(E7559:E7856)</f>
        <v>1029618.8700000003</v>
      </c>
    </row>
    <row r="7858" spans="1:6" x14ac:dyDescent="0.25">
      <c r="A7858" s="1">
        <v>43678</v>
      </c>
      <c r="B7858">
        <v>123612</v>
      </c>
      <c r="C7858" t="s">
        <v>2526</v>
      </c>
      <c r="D7858" t="s">
        <v>7357</v>
      </c>
      <c r="E7858" s="2">
        <v>96.9</v>
      </c>
    </row>
    <row r="7859" spans="1:6" x14ac:dyDescent="0.25">
      <c r="A7859" s="1">
        <v>43678</v>
      </c>
      <c r="B7859">
        <v>123613</v>
      </c>
      <c r="C7859" t="s">
        <v>597</v>
      </c>
      <c r="D7859" t="s">
        <v>598</v>
      </c>
      <c r="E7859" s="2">
        <v>0</v>
      </c>
    </row>
    <row r="7860" spans="1:6" x14ac:dyDescent="0.25">
      <c r="A7860" s="1">
        <v>43678</v>
      </c>
      <c r="B7860">
        <v>123614</v>
      </c>
      <c r="C7860" t="s">
        <v>986</v>
      </c>
      <c r="D7860" t="s">
        <v>7358</v>
      </c>
      <c r="E7860" s="2">
        <v>70</v>
      </c>
    </row>
    <row r="7861" spans="1:6" x14ac:dyDescent="0.25">
      <c r="A7861" s="1">
        <v>43678</v>
      </c>
      <c r="B7861">
        <v>123615</v>
      </c>
      <c r="C7861" t="s">
        <v>6913</v>
      </c>
      <c r="D7861" t="s">
        <v>5340</v>
      </c>
      <c r="E7861" s="2">
        <v>39.049999999999997</v>
      </c>
    </row>
    <row r="7862" spans="1:6" x14ac:dyDescent="0.25">
      <c r="A7862" s="1">
        <v>43678</v>
      </c>
      <c r="B7862">
        <v>123616</v>
      </c>
      <c r="C7862" t="s">
        <v>22</v>
      </c>
      <c r="D7862" t="s">
        <v>6915</v>
      </c>
      <c r="E7862" s="2">
        <v>38.869999999999997</v>
      </c>
    </row>
    <row r="7863" spans="1:6" x14ac:dyDescent="0.25">
      <c r="A7863" s="1">
        <v>43678</v>
      </c>
      <c r="B7863">
        <v>123617</v>
      </c>
      <c r="C7863" t="s">
        <v>1988</v>
      </c>
      <c r="D7863" t="s">
        <v>7359</v>
      </c>
      <c r="E7863" s="2">
        <v>2650</v>
      </c>
    </row>
    <row r="7864" spans="1:6" x14ac:dyDescent="0.25">
      <c r="A7864" s="1">
        <v>43678</v>
      </c>
      <c r="B7864">
        <v>123618</v>
      </c>
      <c r="C7864" t="s">
        <v>1156</v>
      </c>
      <c r="D7864" t="s">
        <v>7360</v>
      </c>
      <c r="E7864" s="2">
        <v>79.599999999999994</v>
      </c>
    </row>
    <row r="7865" spans="1:6" x14ac:dyDescent="0.25">
      <c r="A7865" s="1">
        <v>43678</v>
      </c>
      <c r="B7865">
        <v>123619</v>
      </c>
      <c r="C7865" t="s">
        <v>4390</v>
      </c>
      <c r="D7865" t="s">
        <v>6912</v>
      </c>
      <c r="E7865" s="2">
        <v>70</v>
      </c>
    </row>
    <row r="7866" spans="1:6" x14ac:dyDescent="0.25">
      <c r="A7866" s="1">
        <v>43678</v>
      </c>
      <c r="B7866">
        <v>123620</v>
      </c>
      <c r="C7866" t="s">
        <v>31</v>
      </c>
      <c r="D7866" t="s">
        <v>6916</v>
      </c>
      <c r="E7866" s="2">
        <v>236.16</v>
      </c>
    </row>
    <row r="7867" spans="1:6" x14ac:dyDescent="0.25">
      <c r="A7867" s="1">
        <v>43678</v>
      </c>
      <c r="B7867">
        <v>123621</v>
      </c>
      <c r="C7867" t="s">
        <v>68</v>
      </c>
      <c r="D7867" t="s">
        <v>7361</v>
      </c>
      <c r="E7867" s="2">
        <v>233.04</v>
      </c>
    </row>
    <row r="7868" spans="1:6" x14ac:dyDescent="0.25">
      <c r="A7868" s="1">
        <v>43678</v>
      </c>
      <c r="B7868">
        <v>123622</v>
      </c>
      <c r="C7868" t="s">
        <v>681</v>
      </c>
      <c r="D7868" t="s">
        <v>6917</v>
      </c>
      <c r="E7868" s="2">
        <v>143.18</v>
      </c>
    </row>
    <row r="7869" spans="1:6" x14ac:dyDescent="0.25">
      <c r="A7869" s="1">
        <v>43678</v>
      </c>
      <c r="B7869">
        <v>123623</v>
      </c>
      <c r="C7869" t="s">
        <v>685</v>
      </c>
      <c r="D7869" t="s">
        <v>6918</v>
      </c>
      <c r="E7869" s="2">
        <v>442.41</v>
      </c>
    </row>
    <row r="7870" spans="1:6" x14ac:dyDescent="0.25">
      <c r="A7870" s="1">
        <v>43678</v>
      </c>
      <c r="B7870">
        <v>123624</v>
      </c>
      <c r="C7870" t="s">
        <v>2378</v>
      </c>
      <c r="D7870" t="s">
        <v>7362</v>
      </c>
      <c r="E7870" s="2">
        <v>324</v>
      </c>
    </row>
    <row r="7871" spans="1:6" x14ac:dyDescent="0.25">
      <c r="A7871" s="1">
        <v>43678</v>
      </c>
      <c r="B7871">
        <v>123625</v>
      </c>
      <c r="C7871" t="s">
        <v>1452</v>
      </c>
      <c r="D7871" t="s">
        <v>7363</v>
      </c>
      <c r="E7871" s="2">
        <v>181.58</v>
      </c>
    </row>
    <row r="7872" spans="1:6" x14ac:dyDescent="0.25">
      <c r="A7872" s="1">
        <v>43678</v>
      </c>
      <c r="B7872">
        <v>123626</v>
      </c>
      <c r="C7872" t="s">
        <v>256</v>
      </c>
      <c r="D7872" t="s">
        <v>7364</v>
      </c>
      <c r="E7872" s="2">
        <v>88</v>
      </c>
    </row>
    <row r="7873" spans="1:5" x14ac:dyDescent="0.25">
      <c r="A7873" s="1">
        <v>43678</v>
      </c>
      <c r="B7873">
        <v>123627</v>
      </c>
      <c r="C7873" t="s">
        <v>6919</v>
      </c>
      <c r="D7873" t="s">
        <v>7365</v>
      </c>
      <c r="E7873" s="2">
        <v>118.87</v>
      </c>
    </row>
    <row r="7874" spans="1:5" x14ac:dyDescent="0.25">
      <c r="A7874" s="1">
        <v>43678</v>
      </c>
      <c r="B7874">
        <v>123628</v>
      </c>
      <c r="C7874" t="s">
        <v>3304</v>
      </c>
      <c r="D7874" t="s">
        <v>481</v>
      </c>
      <c r="E7874" s="2">
        <v>1801.38</v>
      </c>
    </row>
    <row r="7875" spans="1:5" x14ac:dyDescent="0.25">
      <c r="A7875" s="1">
        <v>43678</v>
      </c>
      <c r="B7875">
        <v>123629</v>
      </c>
      <c r="C7875" t="s">
        <v>6920</v>
      </c>
      <c r="D7875" t="s">
        <v>7358</v>
      </c>
      <c r="E7875" s="2">
        <v>70</v>
      </c>
    </row>
    <row r="7876" spans="1:5" x14ac:dyDescent="0.25">
      <c r="A7876" s="1">
        <v>43678</v>
      </c>
      <c r="B7876">
        <v>123630</v>
      </c>
      <c r="C7876" t="s">
        <v>2558</v>
      </c>
      <c r="D7876" t="s">
        <v>6921</v>
      </c>
      <c r="E7876" s="2">
        <v>800</v>
      </c>
    </row>
    <row r="7877" spans="1:5" x14ac:dyDescent="0.25">
      <c r="A7877" s="1">
        <v>43678</v>
      </c>
      <c r="B7877">
        <v>123631</v>
      </c>
      <c r="C7877" t="s">
        <v>365</v>
      </c>
      <c r="D7877" t="s">
        <v>7366</v>
      </c>
      <c r="E7877" s="2">
        <v>93.47</v>
      </c>
    </row>
    <row r="7878" spans="1:5" x14ac:dyDescent="0.25">
      <c r="A7878" s="1">
        <v>43678</v>
      </c>
      <c r="B7878">
        <v>123632</v>
      </c>
      <c r="C7878" t="s">
        <v>269</v>
      </c>
      <c r="D7878" t="s">
        <v>7367</v>
      </c>
      <c r="E7878" s="2">
        <v>111.19</v>
      </c>
    </row>
    <row r="7879" spans="1:5" x14ac:dyDescent="0.25">
      <c r="A7879" s="1">
        <v>43678</v>
      </c>
      <c r="B7879">
        <v>123633</v>
      </c>
      <c r="C7879" t="s">
        <v>5888</v>
      </c>
      <c r="D7879" t="s">
        <v>7358</v>
      </c>
      <c r="E7879" s="2">
        <v>70</v>
      </c>
    </row>
    <row r="7880" spans="1:5" x14ac:dyDescent="0.25">
      <c r="A7880" s="1">
        <v>43678</v>
      </c>
      <c r="B7880">
        <v>123634</v>
      </c>
      <c r="C7880" t="s">
        <v>6922</v>
      </c>
      <c r="D7880" t="s">
        <v>7358</v>
      </c>
      <c r="E7880" s="2">
        <v>70</v>
      </c>
    </row>
    <row r="7881" spans="1:5" x14ac:dyDescent="0.25">
      <c r="A7881" s="1">
        <v>43678</v>
      </c>
      <c r="B7881">
        <v>123635</v>
      </c>
      <c r="C7881" t="s">
        <v>47</v>
      </c>
      <c r="D7881" t="s">
        <v>7368</v>
      </c>
      <c r="E7881" s="2">
        <f>434.03+6.62</f>
        <v>440.65</v>
      </c>
    </row>
    <row r="7882" spans="1:5" x14ac:dyDescent="0.25">
      <c r="A7882" s="1">
        <v>43678</v>
      </c>
      <c r="B7882">
        <v>123636</v>
      </c>
      <c r="C7882" t="s">
        <v>74</v>
      </c>
      <c r="D7882" t="s">
        <v>6923</v>
      </c>
      <c r="E7882" s="2">
        <v>191.2</v>
      </c>
    </row>
    <row r="7883" spans="1:5" x14ac:dyDescent="0.25">
      <c r="A7883" s="1">
        <v>43678</v>
      </c>
      <c r="B7883">
        <v>123637</v>
      </c>
      <c r="C7883" t="s">
        <v>1340</v>
      </c>
      <c r="D7883" t="s">
        <v>1198</v>
      </c>
      <c r="E7883" s="2">
        <v>3279.75</v>
      </c>
    </row>
    <row r="7884" spans="1:5" x14ac:dyDescent="0.25">
      <c r="A7884" s="1">
        <v>43678</v>
      </c>
      <c r="B7884">
        <v>123638</v>
      </c>
      <c r="C7884" t="s">
        <v>6924</v>
      </c>
      <c r="D7884" t="s">
        <v>7358</v>
      </c>
      <c r="E7884" s="2">
        <v>70</v>
      </c>
    </row>
    <row r="7885" spans="1:5" x14ac:dyDescent="0.25">
      <c r="A7885" s="1">
        <v>43678</v>
      </c>
      <c r="B7885">
        <v>123639</v>
      </c>
      <c r="C7885" t="s">
        <v>597</v>
      </c>
      <c r="D7885" t="s">
        <v>598</v>
      </c>
      <c r="E7885" s="2">
        <v>0</v>
      </c>
    </row>
    <row r="7886" spans="1:5" x14ac:dyDescent="0.25">
      <c r="A7886" s="1">
        <v>43678</v>
      </c>
      <c r="B7886">
        <v>123640</v>
      </c>
      <c r="C7886" t="s">
        <v>598</v>
      </c>
      <c r="D7886" t="s">
        <v>6914</v>
      </c>
      <c r="E7886" s="2">
        <v>39.049999999999997</v>
      </c>
    </row>
    <row r="7887" spans="1:5" x14ac:dyDescent="0.25">
      <c r="A7887" s="1">
        <v>43678</v>
      </c>
      <c r="B7887">
        <v>123641</v>
      </c>
      <c r="C7887" t="s">
        <v>146</v>
      </c>
      <c r="D7887" t="s">
        <v>7369</v>
      </c>
      <c r="E7887" s="2">
        <v>183.36</v>
      </c>
    </row>
    <row r="7888" spans="1:5" x14ac:dyDescent="0.25">
      <c r="A7888" s="1">
        <v>43678</v>
      </c>
      <c r="B7888">
        <v>123642</v>
      </c>
      <c r="C7888" t="s">
        <v>5346</v>
      </c>
      <c r="D7888" t="s">
        <v>6925</v>
      </c>
      <c r="E7888" s="2">
        <v>3328.8</v>
      </c>
    </row>
    <row r="7889" spans="1:5" x14ac:dyDescent="0.25">
      <c r="A7889" s="1">
        <v>43678</v>
      </c>
      <c r="B7889">
        <v>123643</v>
      </c>
      <c r="C7889" t="s">
        <v>75</v>
      </c>
      <c r="D7889" t="s">
        <v>5038</v>
      </c>
      <c r="E7889" s="2">
        <v>16.510000000000002</v>
      </c>
    </row>
    <row r="7890" spans="1:5" x14ac:dyDescent="0.25">
      <c r="A7890" s="1">
        <v>43678</v>
      </c>
      <c r="B7890">
        <v>123644</v>
      </c>
      <c r="C7890" t="s">
        <v>4925</v>
      </c>
      <c r="D7890" t="s">
        <v>6926</v>
      </c>
      <c r="E7890" s="2">
        <v>11053</v>
      </c>
    </row>
    <row r="7891" spans="1:5" x14ac:dyDescent="0.25">
      <c r="A7891" s="1">
        <v>43678</v>
      </c>
      <c r="B7891">
        <v>123645</v>
      </c>
      <c r="C7891" t="s">
        <v>50</v>
      </c>
      <c r="D7891" t="s">
        <v>6927</v>
      </c>
      <c r="E7891" s="2">
        <v>8900</v>
      </c>
    </row>
    <row r="7892" spans="1:5" x14ac:dyDescent="0.25">
      <c r="A7892" s="1">
        <v>43678</v>
      </c>
      <c r="B7892">
        <v>123646</v>
      </c>
      <c r="C7892" t="s">
        <v>6928</v>
      </c>
      <c r="D7892" t="s">
        <v>6699</v>
      </c>
      <c r="E7892" s="2">
        <v>39.049999999999997</v>
      </c>
    </row>
    <row r="7893" spans="1:5" x14ac:dyDescent="0.25">
      <c r="A7893" s="1">
        <v>43678</v>
      </c>
      <c r="B7893">
        <v>123647</v>
      </c>
      <c r="C7893" t="s">
        <v>6929</v>
      </c>
      <c r="D7893" t="s">
        <v>7370</v>
      </c>
      <c r="E7893" s="2">
        <v>350</v>
      </c>
    </row>
    <row r="7894" spans="1:5" x14ac:dyDescent="0.25">
      <c r="A7894" s="1">
        <v>43678</v>
      </c>
      <c r="B7894">
        <v>123648</v>
      </c>
      <c r="C7894" t="s">
        <v>6930</v>
      </c>
      <c r="D7894" t="s">
        <v>7358</v>
      </c>
      <c r="E7894" s="2">
        <v>70</v>
      </c>
    </row>
    <row r="7895" spans="1:5" x14ac:dyDescent="0.25">
      <c r="A7895" s="1">
        <v>43678</v>
      </c>
      <c r="B7895">
        <v>123649</v>
      </c>
      <c r="C7895" t="s">
        <v>3840</v>
      </c>
      <c r="D7895" t="s">
        <v>7371</v>
      </c>
      <c r="E7895" s="2">
        <v>1500</v>
      </c>
    </row>
    <row r="7896" spans="1:5" x14ac:dyDescent="0.25">
      <c r="A7896" s="1">
        <v>43678</v>
      </c>
      <c r="B7896">
        <v>123649</v>
      </c>
      <c r="C7896" t="s">
        <v>3840</v>
      </c>
      <c r="D7896" t="s">
        <v>7372</v>
      </c>
      <c r="E7896" s="2">
        <v>11750</v>
      </c>
    </row>
    <row r="7897" spans="1:5" x14ac:dyDescent="0.25">
      <c r="A7897" s="1">
        <v>43678</v>
      </c>
      <c r="B7897">
        <v>123650</v>
      </c>
      <c r="C7897" t="s">
        <v>631</v>
      </c>
      <c r="D7897" t="s">
        <v>5682</v>
      </c>
      <c r="E7897" s="2">
        <v>183.5</v>
      </c>
    </row>
    <row r="7898" spans="1:5" x14ac:dyDescent="0.25">
      <c r="A7898" s="1">
        <v>43678</v>
      </c>
      <c r="B7898">
        <v>123651</v>
      </c>
      <c r="C7898" t="s">
        <v>6931</v>
      </c>
      <c r="D7898" t="s">
        <v>6699</v>
      </c>
      <c r="E7898" s="2">
        <v>39.049999999999997</v>
      </c>
    </row>
    <row r="7899" spans="1:5" x14ac:dyDescent="0.25">
      <c r="A7899" s="1">
        <v>43678</v>
      </c>
      <c r="B7899">
        <v>123652</v>
      </c>
      <c r="C7899" t="s">
        <v>6712</v>
      </c>
      <c r="D7899" t="s">
        <v>6932</v>
      </c>
      <c r="E7899" s="2">
        <v>40</v>
      </c>
    </row>
    <row r="7900" spans="1:5" x14ac:dyDescent="0.25">
      <c r="A7900" s="1">
        <v>43678</v>
      </c>
      <c r="B7900">
        <v>123653</v>
      </c>
      <c r="C7900" t="s">
        <v>55</v>
      </c>
      <c r="D7900" t="s">
        <v>6933</v>
      </c>
      <c r="E7900" s="2">
        <v>501.86</v>
      </c>
    </row>
    <row r="7901" spans="1:5" x14ac:dyDescent="0.25">
      <c r="A7901" s="1">
        <v>43678</v>
      </c>
      <c r="B7901">
        <v>123654</v>
      </c>
      <c r="C7901" t="s">
        <v>6934</v>
      </c>
      <c r="D7901" t="s">
        <v>6699</v>
      </c>
      <c r="E7901" s="2">
        <v>39.049999999999997</v>
      </c>
    </row>
    <row r="7902" spans="1:5" x14ac:dyDescent="0.25">
      <c r="A7902" s="1">
        <v>43678</v>
      </c>
      <c r="B7902">
        <v>123655</v>
      </c>
      <c r="C7902" t="s">
        <v>1116</v>
      </c>
      <c r="D7902" t="s">
        <v>7373</v>
      </c>
      <c r="E7902" s="2">
        <v>410</v>
      </c>
    </row>
    <row r="7903" spans="1:5" x14ac:dyDescent="0.25">
      <c r="A7903" s="1">
        <v>43678</v>
      </c>
      <c r="B7903">
        <v>123656</v>
      </c>
      <c r="C7903" t="s">
        <v>1729</v>
      </c>
      <c r="D7903" t="s">
        <v>4551</v>
      </c>
      <c r="E7903" s="2">
        <v>4.13</v>
      </c>
    </row>
    <row r="7904" spans="1:5" x14ac:dyDescent="0.25">
      <c r="A7904" s="1">
        <v>43678</v>
      </c>
      <c r="B7904">
        <v>123657</v>
      </c>
      <c r="C7904" t="s">
        <v>597</v>
      </c>
      <c r="D7904" t="s">
        <v>598</v>
      </c>
      <c r="E7904" s="2">
        <v>0</v>
      </c>
    </row>
    <row r="7905" spans="1:5" x14ac:dyDescent="0.25">
      <c r="A7905" s="1">
        <v>43678</v>
      </c>
      <c r="B7905">
        <v>123658</v>
      </c>
      <c r="C7905" t="s">
        <v>184</v>
      </c>
      <c r="D7905" t="s">
        <v>6935</v>
      </c>
      <c r="E7905" s="2">
        <v>703.88</v>
      </c>
    </row>
    <row r="7906" spans="1:5" x14ac:dyDescent="0.25">
      <c r="A7906" s="1">
        <v>43678</v>
      </c>
      <c r="B7906">
        <v>123659</v>
      </c>
      <c r="C7906" t="s">
        <v>61</v>
      </c>
      <c r="D7906" t="s">
        <v>7358</v>
      </c>
      <c r="E7906" s="2">
        <v>70</v>
      </c>
    </row>
    <row r="7907" spans="1:5" x14ac:dyDescent="0.25">
      <c r="A7907" s="1">
        <v>43678</v>
      </c>
      <c r="B7907">
        <v>123660</v>
      </c>
      <c r="C7907" t="s">
        <v>3704</v>
      </c>
      <c r="D7907" t="s">
        <v>6936</v>
      </c>
      <c r="E7907" s="2">
        <v>2.5299999999999998</v>
      </c>
    </row>
    <row r="7908" spans="1:5" x14ac:dyDescent="0.25">
      <c r="A7908" s="1">
        <v>43680</v>
      </c>
      <c r="B7908">
        <v>123661</v>
      </c>
      <c r="C7908" t="s">
        <v>631</v>
      </c>
      <c r="D7908" t="s">
        <v>7374</v>
      </c>
      <c r="E7908" s="2">
        <v>194.68</v>
      </c>
    </row>
    <row r="7909" spans="1:5" x14ac:dyDescent="0.25">
      <c r="A7909" s="1">
        <v>43683</v>
      </c>
      <c r="B7909">
        <v>123662</v>
      </c>
      <c r="C7909" t="s">
        <v>631</v>
      </c>
      <c r="D7909" t="s">
        <v>6937</v>
      </c>
      <c r="E7909" s="2">
        <v>334.1</v>
      </c>
    </row>
    <row r="7910" spans="1:5" x14ac:dyDescent="0.25">
      <c r="A7910" s="1">
        <v>43683</v>
      </c>
      <c r="B7910">
        <v>123662</v>
      </c>
      <c r="C7910" t="s">
        <v>631</v>
      </c>
      <c r="D7910" t="s">
        <v>6938</v>
      </c>
      <c r="E7910" s="2">
        <v>189.01</v>
      </c>
    </row>
    <row r="7911" spans="1:5" x14ac:dyDescent="0.25">
      <c r="A7911" s="1">
        <v>43683</v>
      </c>
      <c r="B7911">
        <v>123662</v>
      </c>
      <c r="C7911" t="s">
        <v>631</v>
      </c>
      <c r="D7911" t="s">
        <v>7375</v>
      </c>
      <c r="E7911" s="2">
        <v>97.06</v>
      </c>
    </row>
    <row r="7912" spans="1:5" x14ac:dyDescent="0.25">
      <c r="A7912" s="1">
        <v>43683</v>
      </c>
      <c r="B7912">
        <v>123662</v>
      </c>
      <c r="C7912" t="s">
        <v>631</v>
      </c>
      <c r="D7912" t="s">
        <v>6231</v>
      </c>
      <c r="E7912" s="2">
        <v>234.48</v>
      </c>
    </row>
    <row r="7913" spans="1:5" x14ac:dyDescent="0.25">
      <c r="A7913" s="1">
        <v>43683</v>
      </c>
      <c r="B7913">
        <v>123662</v>
      </c>
      <c r="C7913" t="s">
        <v>631</v>
      </c>
      <c r="D7913" t="s">
        <v>6939</v>
      </c>
      <c r="E7913" s="2">
        <v>100.2</v>
      </c>
    </row>
    <row r="7914" spans="1:5" x14ac:dyDescent="0.25">
      <c r="A7914" s="1">
        <v>43683</v>
      </c>
      <c r="B7914">
        <v>123663</v>
      </c>
      <c r="C7914" t="s">
        <v>631</v>
      </c>
      <c r="D7914" t="s">
        <v>7376</v>
      </c>
      <c r="E7914" s="2">
        <v>140.02000000000001</v>
      </c>
    </row>
    <row r="7915" spans="1:5" x14ac:dyDescent="0.25">
      <c r="A7915" s="1">
        <v>43684</v>
      </c>
      <c r="B7915">
        <v>123665</v>
      </c>
      <c r="C7915" t="s">
        <v>64</v>
      </c>
      <c r="D7915" t="s">
        <v>7377</v>
      </c>
      <c r="E7915" s="2">
        <v>175</v>
      </c>
    </row>
    <row r="7916" spans="1:5" x14ac:dyDescent="0.25">
      <c r="A7916" s="1">
        <v>43684</v>
      </c>
      <c r="B7916">
        <v>123665</v>
      </c>
      <c r="C7916" t="s">
        <v>64</v>
      </c>
      <c r="D7916" t="s">
        <v>6940</v>
      </c>
      <c r="E7916" s="2">
        <f>895+2325+354</f>
        <v>3574</v>
      </c>
    </row>
    <row r="7917" spans="1:5" x14ac:dyDescent="0.25">
      <c r="A7917" s="1">
        <v>43684</v>
      </c>
      <c r="B7917">
        <v>123665</v>
      </c>
      <c r="C7917" t="s">
        <v>64</v>
      </c>
      <c r="D7917" t="s">
        <v>6941</v>
      </c>
      <c r="E7917" s="2">
        <v>723</v>
      </c>
    </row>
    <row r="7918" spans="1:5" x14ac:dyDescent="0.25">
      <c r="A7918" s="1">
        <v>43684</v>
      </c>
      <c r="B7918">
        <v>123666</v>
      </c>
      <c r="C7918" t="s">
        <v>6942</v>
      </c>
      <c r="D7918" t="s">
        <v>6943</v>
      </c>
      <c r="E7918" s="2">
        <v>115</v>
      </c>
    </row>
    <row r="7919" spans="1:5" x14ac:dyDescent="0.25">
      <c r="A7919" s="1">
        <v>43684</v>
      </c>
      <c r="B7919">
        <v>123667</v>
      </c>
      <c r="C7919" t="s">
        <v>1941</v>
      </c>
      <c r="D7919" t="s">
        <v>6944</v>
      </c>
      <c r="E7919" s="2">
        <v>4451.7</v>
      </c>
    </row>
    <row r="7920" spans="1:5" x14ac:dyDescent="0.25">
      <c r="A7920" s="1">
        <v>43684</v>
      </c>
      <c r="B7920">
        <v>123668</v>
      </c>
      <c r="C7920" t="s">
        <v>272</v>
      </c>
      <c r="D7920" t="s">
        <v>6945</v>
      </c>
      <c r="E7920" s="2">
        <v>520</v>
      </c>
    </row>
    <row r="7921" spans="1:5" x14ac:dyDescent="0.25">
      <c r="A7921" s="1">
        <v>43684</v>
      </c>
      <c r="B7921">
        <v>123669</v>
      </c>
      <c r="C7921" t="s">
        <v>5895</v>
      </c>
      <c r="D7921" t="s">
        <v>7378</v>
      </c>
      <c r="E7921" s="2">
        <v>1056</v>
      </c>
    </row>
    <row r="7922" spans="1:5" x14ac:dyDescent="0.25">
      <c r="A7922" s="1">
        <v>43684</v>
      </c>
      <c r="B7922">
        <v>123670</v>
      </c>
      <c r="C7922" t="s">
        <v>6413</v>
      </c>
      <c r="D7922" t="s">
        <v>7379</v>
      </c>
      <c r="E7922" s="2">
        <v>270</v>
      </c>
    </row>
    <row r="7923" spans="1:5" x14ac:dyDescent="0.25">
      <c r="A7923" s="1">
        <v>43684</v>
      </c>
      <c r="B7923">
        <v>123671</v>
      </c>
      <c r="C7923" t="s">
        <v>74</v>
      </c>
      <c r="D7923" t="s">
        <v>6946</v>
      </c>
      <c r="E7923" s="2">
        <v>73.58</v>
      </c>
    </row>
    <row r="7924" spans="1:5" x14ac:dyDescent="0.25">
      <c r="A7924" s="1">
        <v>43684</v>
      </c>
      <c r="B7924">
        <v>123672</v>
      </c>
      <c r="C7924" t="s">
        <v>336</v>
      </c>
      <c r="D7924" t="s">
        <v>7380</v>
      </c>
      <c r="E7924" s="2">
        <v>457.5</v>
      </c>
    </row>
    <row r="7925" spans="1:5" x14ac:dyDescent="0.25">
      <c r="A7925" s="1">
        <v>43684</v>
      </c>
      <c r="B7925">
        <v>123672</v>
      </c>
      <c r="C7925" t="s">
        <v>336</v>
      </c>
      <c r="D7925" t="s">
        <v>7381</v>
      </c>
      <c r="E7925" s="2">
        <v>195</v>
      </c>
    </row>
    <row r="7926" spans="1:5" x14ac:dyDescent="0.25">
      <c r="A7926" s="1">
        <v>43684</v>
      </c>
      <c r="B7926">
        <v>123673</v>
      </c>
      <c r="C7926" t="s">
        <v>1767</v>
      </c>
      <c r="D7926" t="s">
        <v>7382</v>
      </c>
      <c r="E7926" s="2">
        <v>58</v>
      </c>
    </row>
    <row r="7927" spans="1:5" x14ac:dyDescent="0.25">
      <c r="A7927" s="1">
        <v>43684</v>
      </c>
      <c r="B7927">
        <v>123674</v>
      </c>
      <c r="C7927" t="s">
        <v>77</v>
      </c>
      <c r="D7927" t="s">
        <v>6947</v>
      </c>
      <c r="E7927" s="2">
        <v>100</v>
      </c>
    </row>
    <row r="7928" spans="1:5" x14ac:dyDescent="0.25">
      <c r="A7928" s="1">
        <v>43684</v>
      </c>
      <c r="B7928">
        <v>123675</v>
      </c>
      <c r="C7928" t="s">
        <v>51</v>
      </c>
      <c r="D7928" t="s">
        <v>7383</v>
      </c>
      <c r="E7928" s="2">
        <v>26.7</v>
      </c>
    </row>
    <row r="7929" spans="1:5" x14ac:dyDescent="0.25">
      <c r="A7929" s="1">
        <v>43684</v>
      </c>
      <c r="B7929">
        <v>123675</v>
      </c>
      <c r="C7929" t="s">
        <v>51</v>
      </c>
      <c r="D7929" t="s">
        <v>6948</v>
      </c>
      <c r="E7929" s="2">
        <v>12.16</v>
      </c>
    </row>
    <row r="7930" spans="1:5" x14ac:dyDescent="0.25">
      <c r="A7930" s="1">
        <v>43684</v>
      </c>
      <c r="B7930">
        <v>123676</v>
      </c>
      <c r="C7930" t="s">
        <v>80</v>
      </c>
      <c r="D7930" t="s">
        <v>7384</v>
      </c>
      <c r="E7930" s="2">
        <v>31.96</v>
      </c>
    </row>
    <row r="7931" spans="1:5" x14ac:dyDescent="0.25">
      <c r="A7931" s="1">
        <v>43684</v>
      </c>
      <c r="B7931">
        <v>123677</v>
      </c>
      <c r="C7931" t="s">
        <v>14</v>
      </c>
      <c r="D7931" t="s">
        <v>748</v>
      </c>
      <c r="E7931" s="2">
        <v>470.4</v>
      </c>
    </row>
    <row r="7932" spans="1:5" x14ac:dyDescent="0.25">
      <c r="A7932" s="1">
        <v>43684</v>
      </c>
      <c r="B7932">
        <v>123678</v>
      </c>
      <c r="C7932" t="s">
        <v>3680</v>
      </c>
      <c r="D7932" t="s">
        <v>6949</v>
      </c>
      <c r="E7932" s="2">
        <v>515</v>
      </c>
    </row>
    <row r="7933" spans="1:5" x14ac:dyDescent="0.25">
      <c r="A7933" s="1">
        <v>43684</v>
      </c>
      <c r="B7933">
        <v>123679</v>
      </c>
      <c r="C7933" t="s">
        <v>219</v>
      </c>
      <c r="D7933" t="s">
        <v>6950</v>
      </c>
      <c r="E7933" s="2">
        <v>186.85</v>
      </c>
    </row>
    <row r="7934" spans="1:5" x14ac:dyDescent="0.25">
      <c r="A7934" s="1">
        <v>43684</v>
      </c>
      <c r="B7934">
        <v>123679</v>
      </c>
      <c r="C7934" t="s">
        <v>219</v>
      </c>
      <c r="D7934" t="s">
        <v>6951</v>
      </c>
      <c r="E7934" s="2">
        <v>47.65</v>
      </c>
    </row>
    <row r="7935" spans="1:5" x14ac:dyDescent="0.25">
      <c r="A7935" s="1">
        <v>43685</v>
      </c>
      <c r="B7935">
        <v>123680</v>
      </c>
      <c r="C7935" t="s">
        <v>597</v>
      </c>
      <c r="D7935" t="s">
        <v>598</v>
      </c>
      <c r="E7935" s="2">
        <v>0</v>
      </c>
    </row>
    <row r="7936" spans="1:5" x14ac:dyDescent="0.25">
      <c r="A7936" s="1">
        <v>43685</v>
      </c>
      <c r="B7936">
        <v>123681</v>
      </c>
      <c r="C7936" t="s">
        <v>6952</v>
      </c>
      <c r="D7936" t="s">
        <v>2067</v>
      </c>
      <c r="E7936" s="2">
        <v>1910</v>
      </c>
    </row>
    <row r="7937" spans="1:5" x14ac:dyDescent="0.25">
      <c r="A7937" s="1">
        <v>43685</v>
      </c>
      <c r="B7937">
        <v>123683</v>
      </c>
      <c r="C7937" t="s">
        <v>597</v>
      </c>
      <c r="D7937" t="s">
        <v>598</v>
      </c>
      <c r="E7937" s="2">
        <v>0</v>
      </c>
    </row>
    <row r="7938" spans="1:5" x14ac:dyDescent="0.25">
      <c r="A7938" s="1">
        <v>43685</v>
      </c>
      <c r="B7938">
        <v>123686</v>
      </c>
      <c r="C7938" t="s">
        <v>238</v>
      </c>
      <c r="D7938" t="s">
        <v>437</v>
      </c>
      <c r="E7938" s="2">
        <v>1287.78</v>
      </c>
    </row>
    <row r="7939" spans="1:5" x14ac:dyDescent="0.25">
      <c r="A7939" s="1">
        <v>43685</v>
      </c>
      <c r="B7939">
        <v>123687</v>
      </c>
      <c r="C7939" t="s">
        <v>6953</v>
      </c>
      <c r="D7939" t="s">
        <v>6954</v>
      </c>
      <c r="E7939" s="2">
        <v>8146.03</v>
      </c>
    </row>
    <row r="7940" spans="1:5" x14ac:dyDescent="0.25">
      <c r="A7940" s="1">
        <v>43685</v>
      </c>
      <c r="B7940">
        <v>123688</v>
      </c>
      <c r="C7940" t="s">
        <v>6955</v>
      </c>
      <c r="D7940" t="s">
        <v>6956</v>
      </c>
      <c r="E7940" s="2">
        <v>54.55</v>
      </c>
    </row>
    <row r="7941" spans="1:5" x14ac:dyDescent="0.25">
      <c r="A7941" s="1">
        <v>43685</v>
      </c>
      <c r="B7941">
        <v>123689</v>
      </c>
      <c r="C7941" t="s">
        <v>6957</v>
      </c>
      <c r="D7941" t="s">
        <v>6956</v>
      </c>
      <c r="E7941" s="2">
        <v>51.57</v>
      </c>
    </row>
    <row r="7942" spans="1:5" x14ac:dyDescent="0.25">
      <c r="A7942" s="1">
        <v>43685</v>
      </c>
      <c r="B7942">
        <v>123690</v>
      </c>
      <c r="C7942" t="s">
        <v>6958</v>
      </c>
      <c r="D7942" t="s">
        <v>6956</v>
      </c>
      <c r="E7942" s="2">
        <v>11</v>
      </c>
    </row>
    <row r="7943" spans="1:5" x14ac:dyDescent="0.25">
      <c r="A7943" s="1">
        <v>43685</v>
      </c>
      <c r="B7943">
        <v>123691</v>
      </c>
      <c r="C7943" t="s">
        <v>1156</v>
      </c>
      <c r="D7943" t="s">
        <v>5481</v>
      </c>
      <c r="E7943" s="2">
        <v>15</v>
      </c>
    </row>
    <row r="7944" spans="1:5" x14ac:dyDescent="0.25">
      <c r="A7944" s="1">
        <v>43685</v>
      </c>
      <c r="B7944">
        <v>123692</v>
      </c>
      <c r="C7944" t="s">
        <v>243</v>
      </c>
      <c r="D7944" t="s">
        <v>6959</v>
      </c>
      <c r="E7944" s="2">
        <v>96</v>
      </c>
    </row>
    <row r="7945" spans="1:5" x14ac:dyDescent="0.25">
      <c r="A7945" s="1">
        <v>43685</v>
      </c>
      <c r="B7945">
        <v>123696</v>
      </c>
      <c r="C7945" t="s">
        <v>106</v>
      </c>
      <c r="D7945" t="s">
        <v>424</v>
      </c>
      <c r="E7945" s="2">
        <v>10496.61</v>
      </c>
    </row>
    <row r="7946" spans="1:5" x14ac:dyDescent="0.25">
      <c r="A7946" s="1">
        <v>43685</v>
      </c>
      <c r="B7946">
        <v>123697</v>
      </c>
      <c r="C7946" t="s">
        <v>6960</v>
      </c>
      <c r="D7946" t="s">
        <v>6956</v>
      </c>
      <c r="E7946" s="2">
        <v>31.67</v>
      </c>
    </row>
    <row r="7947" spans="1:5" x14ac:dyDescent="0.25">
      <c r="A7947" s="1">
        <v>43685</v>
      </c>
      <c r="B7947">
        <v>123698</v>
      </c>
      <c r="C7947" t="s">
        <v>6961</v>
      </c>
      <c r="D7947" t="s">
        <v>6956</v>
      </c>
      <c r="E7947" s="2">
        <v>5.8</v>
      </c>
    </row>
    <row r="7948" spans="1:5" x14ac:dyDescent="0.25">
      <c r="A7948" s="1">
        <v>43685</v>
      </c>
      <c r="B7948">
        <v>123699</v>
      </c>
      <c r="C7948" t="s">
        <v>6962</v>
      </c>
      <c r="D7948" t="s">
        <v>6956</v>
      </c>
      <c r="E7948" s="2">
        <v>5.76</v>
      </c>
    </row>
    <row r="7949" spans="1:5" x14ac:dyDescent="0.25">
      <c r="A7949" s="1">
        <v>43685</v>
      </c>
      <c r="B7949">
        <v>123700</v>
      </c>
      <c r="C7949" t="s">
        <v>350</v>
      </c>
      <c r="D7949" t="s">
        <v>6963</v>
      </c>
      <c r="E7949" s="2">
        <v>1100</v>
      </c>
    </row>
    <row r="7950" spans="1:5" x14ac:dyDescent="0.25">
      <c r="A7950" s="1">
        <v>43685</v>
      </c>
      <c r="B7950">
        <v>123701</v>
      </c>
      <c r="C7950" t="s">
        <v>6964</v>
      </c>
      <c r="D7950" t="s">
        <v>6956</v>
      </c>
      <c r="E7950" s="2">
        <v>19.22</v>
      </c>
    </row>
    <row r="7951" spans="1:5" x14ac:dyDescent="0.25">
      <c r="A7951" s="1">
        <v>43685</v>
      </c>
      <c r="B7951">
        <v>123702</v>
      </c>
      <c r="C7951" t="s">
        <v>681</v>
      </c>
      <c r="D7951" t="s">
        <v>6965</v>
      </c>
      <c r="E7951" s="2">
        <v>45</v>
      </c>
    </row>
    <row r="7952" spans="1:5" x14ac:dyDescent="0.25">
      <c r="A7952" s="1">
        <v>43685</v>
      </c>
      <c r="B7952">
        <v>123703</v>
      </c>
      <c r="C7952" t="s">
        <v>597</v>
      </c>
      <c r="D7952" t="s">
        <v>598</v>
      </c>
      <c r="E7952" s="2">
        <v>0</v>
      </c>
    </row>
    <row r="7953" spans="1:5" x14ac:dyDescent="0.25">
      <c r="A7953" s="1">
        <v>43685</v>
      </c>
      <c r="B7953">
        <v>123709</v>
      </c>
      <c r="C7953" t="s">
        <v>2550</v>
      </c>
      <c r="D7953" t="s">
        <v>6966</v>
      </c>
      <c r="E7953" s="2">
        <v>60</v>
      </c>
    </row>
    <row r="7954" spans="1:5" x14ac:dyDescent="0.25">
      <c r="A7954" s="1">
        <v>43685</v>
      </c>
      <c r="B7954">
        <v>123709</v>
      </c>
      <c r="C7954" t="s">
        <v>2550</v>
      </c>
      <c r="D7954" t="s">
        <v>6967</v>
      </c>
      <c r="E7954" s="2">
        <v>540</v>
      </c>
    </row>
    <row r="7955" spans="1:5" x14ac:dyDescent="0.25">
      <c r="A7955" s="1">
        <v>43685</v>
      </c>
      <c r="B7955">
        <v>123713</v>
      </c>
      <c r="C7955" t="s">
        <v>114</v>
      </c>
      <c r="D7955" t="s">
        <v>6968</v>
      </c>
      <c r="E7955" s="2">
        <v>1400</v>
      </c>
    </row>
    <row r="7956" spans="1:5" x14ac:dyDescent="0.25">
      <c r="A7956" s="1">
        <v>43685</v>
      </c>
      <c r="B7956">
        <v>123714</v>
      </c>
      <c r="C7956" t="s">
        <v>6969</v>
      </c>
      <c r="D7956" t="s">
        <v>6956</v>
      </c>
      <c r="E7956" s="2">
        <v>9.81</v>
      </c>
    </row>
    <row r="7957" spans="1:5" x14ac:dyDescent="0.25">
      <c r="A7957" s="1">
        <v>43685</v>
      </c>
      <c r="B7957">
        <v>123715</v>
      </c>
      <c r="C7957" t="s">
        <v>1452</v>
      </c>
      <c r="D7957" t="s">
        <v>6970</v>
      </c>
      <c r="E7957" s="2">
        <v>8.68</v>
      </c>
    </row>
    <row r="7958" spans="1:5" x14ac:dyDescent="0.25">
      <c r="A7958" s="1">
        <v>43685</v>
      </c>
      <c r="B7958">
        <v>123716</v>
      </c>
      <c r="C7958" t="s">
        <v>6971</v>
      </c>
      <c r="D7958" t="s">
        <v>6956</v>
      </c>
      <c r="E7958" s="2">
        <v>10.75</v>
      </c>
    </row>
    <row r="7959" spans="1:5" x14ac:dyDescent="0.25">
      <c r="A7959" s="1">
        <v>43685</v>
      </c>
      <c r="B7959">
        <v>123717</v>
      </c>
      <c r="C7959" t="s">
        <v>6972</v>
      </c>
      <c r="D7959" t="s">
        <v>6956</v>
      </c>
      <c r="E7959" s="2">
        <v>9.5</v>
      </c>
    </row>
    <row r="7960" spans="1:5" x14ac:dyDescent="0.25">
      <c r="A7960" s="1">
        <v>43685</v>
      </c>
      <c r="B7960">
        <v>123719</v>
      </c>
      <c r="C7960" t="s">
        <v>123</v>
      </c>
      <c r="D7960" t="s">
        <v>6973</v>
      </c>
      <c r="E7960" s="2">
        <v>6631.71</v>
      </c>
    </row>
    <row r="7961" spans="1:5" x14ac:dyDescent="0.25">
      <c r="A7961" s="1">
        <v>43685</v>
      </c>
      <c r="B7961">
        <v>123719</v>
      </c>
      <c r="C7961" t="s">
        <v>123</v>
      </c>
      <c r="D7961" t="s">
        <v>6974</v>
      </c>
      <c r="E7961" s="2">
        <v>2196.2600000000002</v>
      </c>
    </row>
    <row r="7962" spans="1:5" x14ac:dyDescent="0.25">
      <c r="A7962" s="1">
        <v>43685</v>
      </c>
      <c r="B7962">
        <v>123719</v>
      </c>
      <c r="C7962" t="s">
        <v>123</v>
      </c>
      <c r="D7962" t="s">
        <v>6975</v>
      </c>
      <c r="E7962" s="2">
        <v>40.840000000000003</v>
      </c>
    </row>
    <row r="7963" spans="1:5" x14ac:dyDescent="0.25">
      <c r="A7963" s="1">
        <v>43685</v>
      </c>
      <c r="B7963">
        <v>123719</v>
      </c>
      <c r="C7963" t="s">
        <v>123</v>
      </c>
      <c r="D7963" t="s">
        <v>6976</v>
      </c>
      <c r="E7963" s="2">
        <v>367.56</v>
      </c>
    </row>
    <row r="7964" spans="1:5" x14ac:dyDescent="0.25">
      <c r="A7964" s="1">
        <v>43685</v>
      </c>
      <c r="B7964">
        <v>123720</v>
      </c>
      <c r="C7964" t="s">
        <v>259</v>
      </c>
      <c r="D7964" t="s">
        <v>6977</v>
      </c>
      <c r="E7964" s="2">
        <v>255.5</v>
      </c>
    </row>
    <row r="7965" spans="1:5" x14ac:dyDescent="0.25">
      <c r="A7965" s="1">
        <v>43685</v>
      </c>
      <c r="B7965">
        <v>123721</v>
      </c>
      <c r="C7965" t="s">
        <v>6978</v>
      </c>
      <c r="D7965" t="s">
        <v>6956</v>
      </c>
      <c r="E7965" s="2">
        <v>9.3000000000000007</v>
      </c>
    </row>
    <row r="7966" spans="1:5" x14ac:dyDescent="0.25">
      <c r="A7966" s="1">
        <v>43685</v>
      </c>
      <c r="B7966">
        <v>123722</v>
      </c>
      <c r="C7966" t="s">
        <v>264</v>
      </c>
      <c r="D7966" t="s">
        <v>6979</v>
      </c>
      <c r="E7966" s="2">
        <v>1145.02</v>
      </c>
    </row>
    <row r="7967" spans="1:5" x14ac:dyDescent="0.25">
      <c r="A7967" s="1">
        <v>43685</v>
      </c>
      <c r="B7967">
        <v>123731</v>
      </c>
      <c r="C7967" t="s">
        <v>597</v>
      </c>
      <c r="D7967" t="s">
        <v>598</v>
      </c>
      <c r="E7967" s="2">
        <v>0</v>
      </c>
    </row>
    <row r="7968" spans="1:5" x14ac:dyDescent="0.25">
      <c r="A7968" s="1">
        <v>43685</v>
      </c>
      <c r="B7968">
        <v>123740</v>
      </c>
      <c r="C7968" t="s">
        <v>1196</v>
      </c>
      <c r="D7968" t="s">
        <v>6980</v>
      </c>
      <c r="E7968" s="2">
        <v>4500</v>
      </c>
    </row>
    <row r="7969" spans="1:5" x14ac:dyDescent="0.25">
      <c r="A7969" s="1">
        <v>43685</v>
      </c>
      <c r="B7969">
        <v>123740</v>
      </c>
      <c r="C7969" t="s">
        <v>1196</v>
      </c>
      <c r="D7969" t="s">
        <v>6981</v>
      </c>
      <c r="E7969" s="2">
        <v>4115</v>
      </c>
    </row>
    <row r="7970" spans="1:5" x14ac:dyDescent="0.25">
      <c r="A7970" s="1">
        <v>43685</v>
      </c>
      <c r="B7970">
        <v>123740</v>
      </c>
      <c r="C7970" t="s">
        <v>1196</v>
      </c>
      <c r="D7970" t="s">
        <v>6982</v>
      </c>
      <c r="E7970" s="2">
        <v>10995</v>
      </c>
    </row>
    <row r="7971" spans="1:5" x14ac:dyDescent="0.25">
      <c r="A7971" s="1">
        <v>43685</v>
      </c>
      <c r="B7971">
        <v>123741</v>
      </c>
      <c r="C7971" t="s">
        <v>269</v>
      </c>
      <c r="D7971" t="s">
        <v>270</v>
      </c>
      <c r="E7971" s="2">
        <v>40</v>
      </c>
    </row>
    <row r="7972" spans="1:5" x14ac:dyDescent="0.25">
      <c r="A7972" s="1">
        <v>43685</v>
      </c>
      <c r="B7972">
        <v>123741</v>
      </c>
      <c r="C7972" t="s">
        <v>269</v>
      </c>
      <c r="D7972" t="s">
        <v>6467</v>
      </c>
      <c r="E7972" s="2">
        <v>731</v>
      </c>
    </row>
    <row r="7973" spans="1:5" x14ac:dyDescent="0.25">
      <c r="A7973" s="1">
        <v>43685</v>
      </c>
      <c r="B7973">
        <v>123741</v>
      </c>
      <c r="C7973" t="s">
        <v>269</v>
      </c>
      <c r="D7973" t="s">
        <v>1016</v>
      </c>
      <c r="E7973" s="3">
        <v>-60</v>
      </c>
    </row>
    <row r="7974" spans="1:5" x14ac:dyDescent="0.25">
      <c r="A7974" s="1">
        <v>43685</v>
      </c>
      <c r="B7974">
        <v>123742</v>
      </c>
      <c r="C7974" t="s">
        <v>6983</v>
      </c>
      <c r="D7974" t="s">
        <v>6984</v>
      </c>
      <c r="E7974" s="2">
        <v>100</v>
      </c>
    </row>
    <row r="7975" spans="1:5" x14ac:dyDescent="0.25">
      <c r="A7975" s="1">
        <v>43685</v>
      </c>
      <c r="B7975">
        <v>123743</v>
      </c>
      <c r="C7975" t="s">
        <v>6985</v>
      </c>
      <c r="D7975" t="s">
        <v>6956</v>
      </c>
      <c r="E7975" s="2">
        <v>29.61</v>
      </c>
    </row>
    <row r="7976" spans="1:5" x14ac:dyDescent="0.25">
      <c r="A7976" s="1">
        <v>43685</v>
      </c>
      <c r="B7976">
        <v>123744</v>
      </c>
      <c r="C7976" t="s">
        <v>6986</v>
      </c>
      <c r="D7976" t="s">
        <v>6956</v>
      </c>
      <c r="E7976" s="2">
        <v>18.57</v>
      </c>
    </row>
    <row r="7977" spans="1:5" x14ac:dyDescent="0.25">
      <c r="A7977" s="1">
        <v>43685</v>
      </c>
      <c r="B7977">
        <v>123745</v>
      </c>
      <c r="C7977" t="s">
        <v>6987</v>
      </c>
      <c r="D7977" t="s">
        <v>6956</v>
      </c>
      <c r="E7977" s="2">
        <v>23.84</v>
      </c>
    </row>
    <row r="7978" spans="1:5" x14ac:dyDescent="0.25">
      <c r="A7978" s="1">
        <v>43685</v>
      </c>
      <c r="B7978">
        <v>123746</v>
      </c>
      <c r="C7978" t="s">
        <v>708</v>
      </c>
      <c r="D7978" t="s">
        <v>6988</v>
      </c>
      <c r="E7978" s="2">
        <v>584.45000000000005</v>
      </c>
    </row>
    <row r="7979" spans="1:5" x14ac:dyDescent="0.25">
      <c r="A7979" s="1">
        <v>43685</v>
      </c>
      <c r="B7979">
        <v>123747</v>
      </c>
      <c r="C7979" t="s">
        <v>6989</v>
      </c>
      <c r="D7979" t="s">
        <v>6956</v>
      </c>
      <c r="E7979" s="2">
        <v>14.35</v>
      </c>
    </row>
    <row r="7980" spans="1:5" x14ac:dyDescent="0.25">
      <c r="A7980" s="1">
        <v>43685</v>
      </c>
      <c r="B7980">
        <v>123748</v>
      </c>
      <c r="C7980" t="s">
        <v>6990</v>
      </c>
      <c r="D7980" t="s">
        <v>6956</v>
      </c>
      <c r="E7980" s="2">
        <v>5.0999999999999996</v>
      </c>
    </row>
    <row r="7981" spans="1:5" x14ac:dyDescent="0.25">
      <c r="A7981" s="1">
        <v>43685</v>
      </c>
      <c r="B7981">
        <v>123749</v>
      </c>
      <c r="C7981" t="s">
        <v>6991</v>
      </c>
      <c r="D7981" t="s">
        <v>6956</v>
      </c>
      <c r="E7981" s="2">
        <v>5.15</v>
      </c>
    </row>
    <row r="7982" spans="1:5" x14ac:dyDescent="0.25">
      <c r="A7982" s="1">
        <v>43685</v>
      </c>
      <c r="B7982">
        <v>123750</v>
      </c>
      <c r="C7982" t="s">
        <v>2019</v>
      </c>
      <c r="D7982" t="s">
        <v>6992</v>
      </c>
      <c r="E7982" s="2">
        <v>5500</v>
      </c>
    </row>
    <row r="7983" spans="1:5" x14ac:dyDescent="0.25">
      <c r="A7983" s="1">
        <v>43685</v>
      </c>
      <c r="B7983">
        <v>123752</v>
      </c>
      <c r="C7983" t="s">
        <v>869</v>
      </c>
      <c r="D7983" t="s">
        <v>6993</v>
      </c>
      <c r="E7983" s="2">
        <v>3394.92</v>
      </c>
    </row>
    <row r="7984" spans="1:5" x14ac:dyDescent="0.25">
      <c r="A7984" s="1">
        <v>43685</v>
      </c>
      <c r="B7984">
        <v>123752</v>
      </c>
      <c r="C7984" t="s">
        <v>869</v>
      </c>
      <c r="D7984" t="s">
        <v>464</v>
      </c>
      <c r="E7984" s="2">
        <f>1960.67+39.5</f>
        <v>2000.17</v>
      </c>
    </row>
    <row r="7985" spans="1:5" x14ac:dyDescent="0.25">
      <c r="A7985" s="1">
        <v>43685</v>
      </c>
      <c r="B7985">
        <v>123752</v>
      </c>
      <c r="C7985" t="s">
        <v>869</v>
      </c>
      <c r="D7985" t="s">
        <v>6994</v>
      </c>
      <c r="E7985" s="2">
        <v>62.34</v>
      </c>
    </row>
    <row r="7986" spans="1:5" x14ac:dyDescent="0.25">
      <c r="A7986" s="1">
        <v>43685</v>
      </c>
      <c r="B7986">
        <v>123752</v>
      </c>
      <c r="C7986" t="s">
        <v>869</v>
      </c>
      <c r="D7986" t="s">
        <v>6995</v>
      </c>
      <c r="E7986" s="2">
        <v>245.66</v>
      </c>
    </row>
    <row r="7987" spans="1:5" x14ac:dyDescent="0.25">
      <c r="A7987" s="1">
        <v>43685</v>
      </c>
      <c r="B7987">
        <v>123752</v>
      </c>
      <c r="C7987" t="s">
        <v>869</v>
      </c>
      <c r="D7987" t="s">
        <v>6996</v>
      </c>
      <c r="E7987" s="2">
        <v>12.75</v>
      </c>
    </row>
    <row r="7988" spans="1:5" x14ac:dyDescent="0.25">
      <c r="A7988" s="1">
        <v>43685</v>
      </c>
      <c r="B7988">
        <v>123753</v>
      </c>
      <c r="C7988" t="s">
        <v>74</v>
      </c>
      <c r="D7988" t="s">
        <v>1680</v>
      </c>
      <c r="E7988" s="2">
        <v>837.2</v>
      </c>
    </row>
    <row r="7989" spans="1:5" x14ac:dyDescent="0.25">
      <c r="A7989" s="1">
        <v>43685</v>
      </c>
      <c r="B7989">
        <v>123757</v>
      </c>
      <c r="C7989" t="s">
        <v>283</v>
      </c>
      <c r="D7989" t="s">
        <v>441</v>
      </c>
      <c r="E7989" s="2">
        <v>1051.08</v>
      </c>
    </row>
    <row r="7990" spans="1:5" x14ac:dyDescent="0.25">
      <c r="A7990" s="1">
        <v>43685</v>
      </c>
      <c r="B7990">
        <v>123758</v>
      </c>
      <c r="C7990" t="s">
        <v>6997</v>
      </c>
      <c r="D7990" t="s">
        <v>6956</v>
      </c>
      <c r="E7990" s="2">
        <v>5.0999999999999996</v>
      </c>
    </row>
    <row r="7991" spans="1:5" x14ac:dyDescent="0.25">
      <c r="A7991" s="1">
        <v>43685</v>
      </c>
      <c r="B7991">
        <v>123760</v>
      </c>
      <c r="C7991" t="s">
        <v>6211</v>
      </c>
      <c r="D7991" t="s">
        <v>4492</v>
      </c>
      <c r="E7991" s="2">
        <v>83.5</v>
      </c>
    </row>
    <row r="7992" spans="1:5" x14ac:dyDescent="0.25">
      <c r="A7992" s="1">
        <v>43685</v>
      </c>
      <c r="B7992">
        <v>123761</v>
      </c>
      <c r="C7992" t="s">
        <v>6998</v>
      </c>
      <c r="D7992" t="s">
        <v>598</v>
      </c>
      <c r="E7992" s="2">
        <v>0</v>
      </c>
    </row>
    <row r="7993" spans="1:5" x14ac:dyDescent="0.25">
      <c r="A7993" s="1">
        <v>43685</v>
      </c>
      <c r="B7993">
        <v>123762</v>
      </c>
      <c r="C7993" t="s">
        <v>6999</v>
      </c>
      <c r="D7993" t="s">
        <v>6956</v>
      </c>
      <c r="E7993" s="2">
        <v>5.55</v>
      </c>
    </row>
    <row r="7994" spans="1:5" x14ac:dyDescent="0.25">
      <c r="A7994" s="1">
        <v>43685</v>
      </c>
      <c r="B7994">
        <v>123763</v>
      </c>
      <c r="C7994" t="s">
        <v>75</v>
      </c>
      <c r="D7994" t="s">
        <v>7000</v>
      </c>
      <c r="E7994" s="2">
        <v>10.52</v>
      </c>
    </row>
    <row r="7995" spans="1:5" x14ac:dyDescent="0.25">
      <c r="A7995" s="1">
        <v>43685</v>
      </c>
      <c r="B7995">
        <v>123764</v>
      </c>
      <c r="C7995" t="s">
        <v>739</v>
      </c>
      <c r="D7995" t="s">
        <v>7001</v>
      </c>
      <c r="E7995" s="2">
        <v>1416.46</v>
      </c>
    </row>
    <row r="7996" spans="1:5" x14ac:dyDescent="0.25">
      <c r="A7996" s="1">
        <v>43685</v>
      </c>
      <c r="B7996">
        <v>123765</v>
      </c>
      <c r="C7996" t="s">
        <v>7002</v>
      </c>
      <c r="D7996" t="s">
        <v>6956</v>
      </c>
      <c r="E7996" s="2">
        <v>11.97</v>
      </c>
    </row>
    <row r="7997" spans="1:5" x14ac:dyDescent="0.25">
      <c r="A7997" s="1">
        <v>43685</v>
      </c>
      <c r="B7997">
        <v>123766</v>
      </c>
      <c r="C7997" t="s">
        <v>7003</v>
      </c>
      <c r="D7997" t="s">
        <v>6956</v>
      </c>
      <c r="E7997" s="2">
        <v>5.15</v>
      </c>
    </row>
    <row r="7998" spans="1:5" x14ac:dyDescent="0.25">
      <c r="A7998" s="1">
        <v>43685</v>
      </c>
      <c r="B7998">
        <v>123767</v>
      </c>
      <c r="C7998" t="s">
        <v>7004</v>
      </c>
      <c r="D7998" t="s">
        <v>6956</v>
      </c>
      <c r="E7998" s="2">
        <v>9.35</v>
      </c>
    </row>
    <row r="7999" spans="1:5" x14ac:dyDescent="0.25">
      <c r="A7999" s="1">
        <v>43685</v>
      </c>
      <c r="B7999">
        <v>123769</v>
      </c>
      <c r="C7999" t="s">
        <v>3497</v>
      </c>
      <c r="D7999" t="s">
        <v>7005</v>
      </c>
      <c r="E7999" s="2">
        <v>1263</v>
      </c>
    </row>
    <row r="8000" spans="1:5" x14ac:dyDescent="0.25">
      <c r="A8000" s="1">
        <v>43685</v>
      </c>
      <c r="B8000">
        <v>123770</v>
      </c>
      <c r="C8000" t="s">
        <v>7006</v>
      </c>
      <c r="D8000" t="s">
        <v>6956</v>
      </c>
      <c r="E8000" s="2">
        <v>9.4</v>
      </c>
    </row>
    <row r="8001" spans="1:5" x14ac:dyDescent="0.25">
      <c r="A8001" s="1">
        <v>43685</v>
      </c>
      <c r="B8001">
        <v>123771</v>
      </c>
      <c r="C8001" t="s">
        <v>7007</v>
      </c>
      <c r="D8001" t="s">
        <v>6956</v>
      </c>
      <c r="E8001" s="2">
        <v>19.899999999999999</v>
      </c>
    </row>
    <row r="8002" spans="1:5" x14ac:dyDescent="0.25">
      <c r="A8002" s="1">
        <v>43685</v>
      </c>
      <c r="B8002">
        <v>123772</v>
      </c>
      <c r="C8002" t="s">
        <v>50</v>
      </c>
      <c r="D8002" t="s">
        <v>6927</v>
      </c>
      <c r="E8002" s="2">
        <v>3650</v>
      </c>
    </row>
    <row r="8003" spans="1:5" x14ac:dyDescent="0.25">
      <c r="A8003" s="1">
        <v>43685</v>
      </c>
      <c r="B8003">
        <v>123773</v>
      </c>
      <c r="C8003" t="s">
        <v>149</v>
      </c>
      <c r="D8003" t="s">
        <v>7008</v>
      </c>
      <c r="E8003" s="2">
        <v>19000</v>
      </c>
    </row>
    <row r="8004" spans="1:5" x14ac:dyDescent="0.25">
      <c r="A8004" s="1">
        <v>43685</v>
      </c>
      <c r="B8004">
        <v>123774</v>
      </c>
      <c r="C8004" t="s">
        <v>51</v>
      </c>
      <c r="D8004" t="s">
        <v>7009</v>
      </c>
      <c r="E8004" s="2">
        <v>30.52</v>
      </c>
    </row>
    <row r="8005" spans="1:5" x14ac:dyDescent="0.25">
      <c r="A8005" s="1">
        <v>43685</v>
      </c>
      <c r="B8005">
        <v>123774</v>
      </c>
      <c r="C8005" t="s">
        <v>51</v>
      </c>
      <c r="D8005" t="s">
        <v>52</v>
      </c>
      <c r="E8005" s="2">
        <v>40.43</v>
      </c>
    </row>
    <row r="8006" spans="1:5" x14ac:dyDescent="0.25">
      <c r="A8006" s="1">
        <v>43685</v>
      </c>
      <c r="B8006">
        <v>123774</v>
      </c>
      <c r="C8006" t="s">
        <v>51</v>
      </c>
      <c r="D8006" t="s">
        <v>7010</v>
      </c>
      <c r="E8006" s="2">
        <v>42.68</v>
      </c>
    </row>
    <row r="8007" spans="1:5" x14ac:dyDescent="0.25">
      <c r="A8007" s="1">
        <v>43685</v>
      </c>
      <c r="B8007">
        <v>123775</v>
      </c>
      <c r="C8007" t="s">
        <v>80</v>
      </c>
      <c r="D8007" t="s">
        <v>153</v>
      </c>
      <c r="E8007" s="2">
        <v>66.89</v>
      </c>
    </row>
    <row r="8008" spans="1:5" x14ac:dyDescent="0.25">
      <c r="A8008" s="1">
        <v>43685</v>
      </c>
      <c r="B8008">
        <v>123776</v>
      </c>
      <c r="C8008" t="s">
        <v>154</v>
      </c>
      <c r="D8008" t="s">
        <v>7011</v>
      </c>
      <c r="E8008" s="2">
        <v>3200</v>
      </c>
    </row>
    <row r="8009" spans="1:5" x14ac:dyDescent="0.25">
      <c r="A8009" s="1">
        <v>43685</v>
      </c>
      <c r="B8009">
        <v>123777</v>
      </c>
      <c r="C8009" t="s">
        <v>7012</v>
      </c>
      <c r="D8009" t="s">
        <v>6956</v>
      </c>
      <c r="E8009" s="2">
        <v>11</v>
      </c>
    </row>
    <row r="8010" spans="1:5" x14ac:dyDescent="0.25">
      <c r="A8010" s="1">
        <v>43685</v>
      </c>
      <c r="B8010">
        <v>123778</v>
      </c>
      <c r="C8010" t="s">
        <v>7013</v>
      </c>
      <c r="D8010" t="s">
        <v>6956</v>
      </c>
      <c r="E8010" s="2">
        <v>20.2</v>
      </c>
    </row>
    <row r="8011" spans="1:5" x14ac:dyDescent="0.25">
      <c r="A8011" s="1">
        <v>43685</v>
      </c>
      <c r="B8011">
        <v>123779</v>
      </c>
      <c r="C8011" t="s">
        <v>7014</v>
      </c>
      <c r="D8011" t="s">
        <v>6956</v>
      </c>
      <c r="E8011" s="2">
        <v>7.61</v>
      </c>
    </row>
    <row r="8012" spans="1:5" x14ac:dyDescent="0.25">
      <c r="A8012" s="1">
        <v>43685</v>
      </c>
      <c r="B8012">
        <v>123780</v>
      </c>
      <c r="C8012" t="s">
        <v>308</v>
      </c>
      <c r="D8012" t="s">
        <v>7015</v>
      </c>
      <c r="E8012" s="2">
        <v>3127.45</v>
      </c>
    </row>
    <row r="8013" spans="1:5" x14ac:dyDescent="0.25">
      <c r="A8013" s="1">
        <v>43685</v>
      </c>
      <c r="B8013">
        <v>123781</v>
      </c>
      <c r="C8013" t="s">
        <v>213</v>
      </c>
      <c r="D8013" t="s">
        <v>7016</v>
      </c>
      <c r="E8013" s="2">
        <v>101.94</v>
      </c>
    </row>
    <row r="8014" spans="1:5" x14ac:dyDescent="0.25">
      <c r="A8014" s="1">
        <v>43685</v>
      </c>
      <c r="B8014">
        <v>123782</v>
      </c>
      <c r="C8014" t="s">
        <v>7017</v>
      </c>
      <c r="D8014" t="s">
        <v>6956</v>
      </c>
      <c r="E8014" s="2">
        <v>9.9</v>
      </c>
    </row>
    <row r="8015" spans="1:5" x14ac:dyDescent="0.25">
      <c r="A8015" s="1">
        <v>43685</v>
      </c>
      <c r="B8015">
        <v>123783</v>
      </c>
      <c r="C8015" t="s">
        <v>1516</v>
      </c>
      <c r="D8015" t="s">
        <v>7018</v>
      </c>
      <c r="E8015" s="2">
        <v>422</v>
      </c>
    </row>
    <row r="8016" spans="1:5" x14ac:dyDescent="0.25">
      <c r="A8016" s="1">
        <v>43685</v>
      </c>
      <c r="B8016">
        <v>123784</v>
      </c>
      <c r="C8016" t="s">
        <v>317</v>
      </c>
      <c r="D8016" t="s">
        <v>7019</v>
      </c>
      <c r="E8016" s="2">
        <v>3500</v>
      </c>
    </row>
    <row r="8017" spans="1:5" x14ac:dyDescent="0.25">
      <c r="A8017" s="1">
        <v>43685</v>
      </c>
      <c r="B8017">
        <v>123785</v>
      </c>
      <c r="C8017" t="s">
        <v>597</v>
      </c>
      <c r="D8017" t="s">
        <v>598</v>
      </c>
      <c r="E8017" s="2">
        <v>0</v>
      </c>
    </row>
    <row r="8018" spans="1:5" x14ac:dyDescent="0.25">
      <c r="A8018" s="1">
        <v>43685</v>
      </c>
      <c r="B8018">
        <v>123786</v>
      </c>
      <c r="C8018" t="s">
        <v>166</v>
      </c>
      <c r="D8018" t="s">
        <v>7020</v>
      </c>
      <c r="E8018" s="2">
        <v>300</v>
      </c>
    </row>
    <row r="8019" spans="1:5" x14ac:dyDescent="0.25">
      <c r="A8019" s="1">
        <v>43685</v>
      </c>
      <c r="B8019">
        <v>123787</v>
      </c>
      <c r="C8019" t="s">
        <v>6328</v>
      </c>
      <c r="D8019" t="s">
        <v>7021</v>
      </c>
      <c r="E8019" s="2">
        <v>1190</v>
      </c>
    </row>
    <row r="8020" spans="1:5" x14ac:dyDescent="0.25">
      <c r="A8020" s="1">
        <v>43685</v>
      </c>
      <c r="B8020">
        <v>123788</v>
      </c>
      <c r="C8020" t="s">
        <v>179</v>
      </c>
      <c r="D8020" t="s">
        <v>7022</v>
      </c>
      <c r="E8020" s="2">
        <v>328.71</v>
      </c>
    </row>
    <row r="8021" spans="1:5" x14ac:dyDescent="0.25">
      <c r="A8021" s="1">
        <v>43685</v>
      </c>
      <c r="B8021">
        <v>123789</v>
      </c>
      <c r="C8021" t="s">
        <v>7023</v>
      </c>
      <c r="D8021" t="s">
        <v>6956</v>
      </c>
      <c r="E8021" s="2">
        <v>6.08</v>
      </c>
    </row>
    <row r="8022" spans="1:5" x14ac:dyDescent="0.25">
      <c r="A8022" s="1">
        <v>43685</v>
      </c>
      <c r="B8022">
        <v>123790</v>
      </c>
      <c r="C8022" t="s">
        <v>327</v>
      </c>
      <c r="D8022" t="s">
        <v>328</v>
      </c>
      <c r="E8022" s="2">
        <v>1427</v>
      </c>
    </row>
    <row r="8023" spans="1:5" x14ac:dyDescent="0.25">
      <c r="A8023" s="1">
        <v>43685</v>
      </c>
      <c r="B8023">
        <v>123791</v>
      </c>
      <c r="C8023" t="s">
        <v>7024</v>
      </c>
      <c r="D8023" t="s">
        <v>6956</v>
      </c>
      <c r="E8023" s="2">
        <v>53.76</v>
      </c>
    </row>
    <row r="8024" spans="1:5" x14ac:dyDescent="0.25">
      <c r="A8024" s="1">
        <v>43685</v>
      </c>
      <c r="B8024">
        <v>123792</v>
      </c>
      <c r="C8024" t="s">
        <v>780</v>
      </c>
      <c r="D8024" t="s">
        <v>3387</v>
      </c>
      <c r="E8024" s="2">
        <v>1501.9</v>
      </c>
    </row>
    <row r="8025" spans="1:5" x14ac:dyDescent="0.25">
      <c r="A8025" s="1">
        <v>43685</v>
      </c>
      <c r="B8025">
        <v>123793</v>
      </c>
      <c r="C8025" t="s">
        <v>7025</v>
      </c>
      <c r="D8025" t="s">
        <v>6956</v>
      </c>
      <c r="E8025" s="2">
        <v>22.45</v>
      </c>
    </row>
    <row r="8026" spans="1:5" x14ac:dyDescent="0.25">
      <c r="A8026" s="1">
        <v>43685</v>
      </c>
      <c r="B8026">
        <v>123794</v>
      </c>
      <c r="C8026" t="s">
        <v>392</v>
      </c>
      <c r="D8026" t="s">
        <v>2458</v>
      </c>
      <c r="E8026" s="2">
        <v>15628.41</v>
      </c>
    </row>
    <row r="8027" spans="1:5" x14ac:dyDescent="0.25">
      <c r="A8027" s="1">
        <v>43685</v>
      </c>
      <c r="B8027">
        <v>123795</v>
      </c>
      <c r="C8027" t="s">
        <v>5346</v>
      </c>
      <c r="D8027" t="s">
        <v>7026</v>
      </c>
      <c r="E8027" s="2">
        <v>49778.84</v>
      </c>
    </row>
    <row r="8028" spans="1:5" x14ac:dyDescent="0.25">
      <c r="A8028" s="1">
        <v>43689</v>
      </c>
      <c r="B8028">
        <v>123797</v>
      </c>
      <c r="C8028" t="s">
        <v>22</v>
      </c>
      <c r="D8028" t="s">
        <v>24</v>
      </c>
      <c r="E8028" s="2">
        <v>4174.25</v>
      </c>
    </row>
    <row r="8029" spans="1:5" x14ac:dyDescent="0.25">
      <c r="A8029" s="1">
        <v>43689</v>
      </c>
      <c r="B8029">
        <v>123797</v>
      </c>
      <c r="C8029" t="s">
        <v>22</v>
      </c>
      <c r="D8029" t="s">
        <v>23</v>
      </c>
      <c r="E8029" s="2">
        <v>1652.33</v>
      </c>
    </row>
    <row r="8030" spans="1:5" x14ac:dyDescent="0.25">
      <c r="A8030" s="1">
        <v>43689</v>
      </c>
      <c r="B8030">
        <v>123798</v>
      </c>
      <c r="C8030" t="s">
        <v>644</v>
      </c>
      <c r="D8030" t="s">
        <v>7027</v>
      </c>
      <c r="E8030" s="2">
        <v>70.39</v>
      </c>
    </row>
    <row r="8031" spans="1:5" x14ac:dyDescent="0.25">
      <c r="A8031" s="1">
        <v>43689</v>
      </c>
      <c r="B8031">
        <v>123807</v>
      </c>
      <c r="C8031" t="s">
        <v>125</v>
      </c>
      <c r="D8031" t="s">
        <v>7385</v>
      </c>
      <c r="E8031" s="2">
        <f>42.64+75+30.11</f>
        <v>147.75</v>
      </c>
    </row>
    <row r="8032" spans="1:5" x14ac:dyDescent="0.25">
      <c r="A8032" s="1">
        <v>43689</v>
      </c>
      <c r="B8032">
        <v>123807</v>
      </c>
      <c r="C8032" t="s">
        <v>125</v>
      </c>
      <c r="D8032" t="s">
        <v>7386</v>
      </c>
      <c r="E8032" s="2">
        <f>3.32+106.31+54.54+216.3+24.53</f>
        <v>405</v>
      </c>
    </row>
    <row r="8033" spans="1:5" x14ac:dyDescent="0.25">
      <c r="A8033" s="1">
        <v>43689</v>
      </c>
      <c r="B8033">
        <v>123807</v>
      </c>
      <c r="C8033" t="s">
        <v>125</v>
      </c>
      <c r="D8033" t="s">
        <v>7387</v>
      </c>
      <c r="E8033" s="2">
        <v>60.51</v>
      </c>
    </row>
    <row r="8034" spans="1:5" x14ac:dyDescent="0.25">
      <c r="A8034" s="1">
        <v>43689</v>
      </c>
      <c r="B8034">
        <v>123807</v>
      </c>
      <c r="C8034" t="s">
        <v>125</v>
      </c>
      <c r="D8034" t="s">
        <v>7388</v>
      </c>
      <c r="E8034" s="2">
        <v>122.92</v>
      </c>
    </row>
    <row r="8035" spans="1:5" x14ac:dyDescent="0.25">
      <c r="A8035" s="1">
        <v>43689</v>
      </c>
      <c r="B8035">
        <v>123807</v>
      </c>
      <c r="C8035" t="s">
        <v>125</v>
      </c>
      <c r="D8035" t="s">
        <v>7389</v>
      </c>
      <c r="E8035" s="2">
        <f>11.69+43.49+185+105.52+216.91</f>
        <v>562.61</v>
      </c>
    </row>
    <row r="8036" spans="1:5" x14ac:dyDescent="0.25">
      <c r="A8036" s="1">
        <v>43689</v>
      </c>
      <c r="B8036">
        <v>123807</v>
      </c>
      <c r="C8036" t="s">
        <v>125</v>
      </c>
      <c r="D8036" t="s">
        <v>7390</v>
      </c>
      <c r="E8036" s="2">
        <v>551.01</v>
      </c>
    </row>
    <row r="8037" spans="1:5" x14ac:dyDescent="0.25">
      <c r="A8037" s="1">
        <v>43689</v>
      </c>
      <c r="B8037">
        <v>123807</v>
      </c>
      <c r="C8037" t="s">
        <v>125</v>
      </c>
      <c r="D8037" t="s">
        <v>1016</v>
      </c>
      <c r="E8037" s="3">
        <v>-19.36</v>
      </c>
    </row>
    <row r="8038" spans="1:5" x14ac:dyDescent="0.25">
      <c r="A8038" s="1">
        <v>43689</v>
      </c>
      <c r="B8038">
        <v>123807</v>
      </c>
      <c r="C8038" t="s">
        <v>125</v>
      </c>
      <c r="D8038" t="s">
        <v>7391</v>
      </c>
      <c r="E8038" s="2">
        <v>111.96</v>
      </c>
    </row>
    <row r="8039" spans="1:5" x14ac:dyDescent="0.25">
      <c r="A8039" s="1">
        <v>43689</v>
      </c>
      <c r="B8039">
        <v>123807</v>
      </c>
      <c r="C8039" t="s">
        <v>125</v>
      </c>
      <c r="D8039" t="s">
        <v>7392</v>
      </c>
      <c r="E8039" s="2">
        <v>252.59</v>
      </c>
    </row>
    <row r="8040" spans="1:5" x14ac:dyDescent="0.25">
      <c r="A8040" s="1">
        <v>43689</v>
      </c>
      <c r="B8040">
        <v>123807</v>
      </c>
      <c r="C8040" t="s">
        <v>125</v>
      </c>
      <c r="D8040" t="s">
        <v>7393</v>
      </c>
      <c r="E8040" s="2">
        <f>475.56*2</f>
        <v>951.12</v>
      </c>
    </row>
    <row r="8041" spans="1:5" x14ac:dyDescent="0.25">
      <c r="A8041" s="1">
        <v>43689</v>
      </c>
      <c r="B8041">
        <v>123807</v>
      </c>
      <c r="C8041" t="s">
        <v>125</v>
      </c>
      <c r="D8041" t="s">
        <v>7394</v>
      </c>
      <c r="E8041" s="2">
        <f>184.22+16.65</f>
        <v>200.87</v>
      </c>
    </row>
    <row r="8042" spans="1:5" x14ac:dyDescent="0.25">
      <c r="A8042" s="1">
        <v>43689</v>
      </c>
      <c r="B8042">
        <v>123807</v>
      </c>
      <c r="C8042" t="s">
        <v>125</v>
      </c>
      <c r="D8042" t="s">
        <v>7392</v>
      </c>
      <c r="E8042" s="2">
        <v>5.64</v>
      </c>
    </row>
    <row r="8043" spans="1:5" x14ac:dyDescent="0.25">
      <c r="A8043" s="1">
        <v>43690</v>
      </c>
      <c r="B8043">
        <v>123808</v>
      </c>
      <c r="C8043" t="s">
        <v>5767</v>
      </c>
      <c r="D8043" t="s">
        <v>7028</v>
      </c>
      <c r="E8043" s="2">
        <v>788</v>
      </c>
    </row>
    <row r="8044" spans="1:5" x14ac:dyDescent="0.25">
      <c r="A8044" s="1">
        <v>43691</v>
      </c>
      <c r="B8044">
        <v>123809</v>
      </c>
      <c r="C8044" t="s">
        <v>64</v>
      </c>
      <c r="D8044" t="s">
        <v>7029</v>
      </c>
      <c r="E8044" s="2">
        <f>625+1016</f>
        <v>1641</v>
      </c>
    </row>
    <row r="8045" spans="1:5" x14ac:dyDescent="0.25">
      <c r="A8045" s="1">
        <v>43691</v>
      </c>
      <c r="B8045">
        <v>123809</v>
      </c>
      <c r="C8045" t="s">
        <v>64</v>
      </c>
      <c r="D8045" t="s">
        <v>7395</v>
      </c>
      <c r="E8045" s="2">
        <v>350</v>
      </c>
    </row>
    <row r="8046" spans="1:5" x14ac:dyDescent="0.25">
      <c r="A8046" s="1">
        <v>43691</v>
      </c>
      <c r="B8046">
        <v>123810</v>
      </c>
      <c r="C8046" t="s">
        <v>7030</v>
      </c>
      <c r="D8046" t="s">
        <v>7031</v>
      </c>
      <c r="E8046" s="2">
        <v>100</v>
      </c>
    </row>
    <row r="8047" spans="1:5" x14ac:dyDescent="0.25">
      <c r="A8047" s="1">
        <v>43691</v>
      </c>
      <c r="B8047">
        <v>123811</v>
      </c>
      <c r="C8047" t="s">
        <v>7032</v>
      </c>
      <c r="D8047" t="s">
        <v>7033</v>
      </c>
      <c r="E8047" s="2">
        <v>1054.7</v>
      </c>
    </row>
    <row r="8048" spans="1:5" x14ac:dyDescent="0.25">
      <c r="A8048" s="1">
        <v>43691</v>
      </c>
      <c r="B8048">
        <v>123812</v>
      </c>
      <c r="C8048" t="s">
        <v>1570</v>
      </c>
      <c r="D8048" t="s">
        <v>7034</v>
      </c>
      <c r="E8048" s="2">
        <v>57.5</v>
      </c>
    </row>
    <row r="8049" spans="1:5" x14ac:dyDescent="0.25">
      <c r="A8049" s="1">
        <v>43691</v>
      </c>
      <c r="B8049">
        <v>123813</v>
      </c>
      <c r="C8049" t="s">
        <v>405</v>
      </c>
      <c r="D8049" t="s">
        <v>7396</v>
      </c>
      <c r="E8049" s="2">
        <v>257.25</v>
      </c>
    </row>
    <row r="8050" spans="1:5" x14ac:dyDescent="0.25">
      <c r="A8050" s="1">
        <v>43691</v>
      </c>
      <c r="B8050">
        <v>123813</v>
      </c>
      <c r="C8050" t="s">
        <v>405</v>
      </c>
      <c r="D8050" t="s">
        <v>7397</v>
      </c>
      <c r="E8050" s="2">
        <v>33</v>
      </c>
    </row>
    <row r="8051" spans="1:5" x14ac:dyDescent="0.25">
      <c r="A8051" s="1">
        <v>43691</v>
      </c>
      <c r="B8051">
        <v>123814</v>
      </c>
      <c r="C8051" t="s">
        <v>7</v>
      </c>
      <c r="D8051" t="s">
        <v>7035</v>
      </c>
      <c r="E8051" s="2">
        <v>300</v>
      </c>
    </row>
    <row r="8052" spans="1:5" x14ac:dyDescent="0.25">
      <c r="A8052" s="1">
        <v>43691</v>
      </c>
      <c r="B8052">
        <v>123815</v>
      </c>
      <c r="C8052" t="s">
        <v>1574</v>
      </c>
      <c r="D8052" t="s">
        <v>7036</v>
      </c>
      <c r="E8052" s="2">
        <v>2790</v>
      </c>
    </row>
    <row r="8053" spans="1:5" x14ac:dyDescent="0.25">
      <c r="A8053" s="1">
        <v>43691</v>
      </c>
      <c r="B8053">
        <v>123816</v>
      </c>
      <c r="C8053" t="s">
        <v>68</v>
      </c>
      <c r="D8053" t="s">
        <v>7037</v>
      </c>
      <c r="E8053" s="2">
        <v>136.79</v>
      </c>
    </row>
    <row r="8054" spans="1:5" x14ac:dyDescent="0.25">
      <c r="A8054" s="1">
        <v>43691</v>
      </c>
      <c r="B8054">
        <v>123817</v>
      </c>
      <c r="C8054" t="s">
        <v>114</v>
      </c>
      <c r="D8054" t="s">
        <v>7038</v>
      </c>
      <c r="E8054" s="2">
        <v>950</v>
      </c>
    </row>
    <row r="8055" spans="1:5" x14ac:dyDescent="0.25">
      <c r="A8055" s="1">
        <v>43691</v>
      </c>
      <c r="B8055">
        <v>123818</v>
      </c>
      <c r="C8055" t="s">
        <v>1809</v>
      </c>
      <c r="D8055" t="s">
        <v>7039</v>
      </c>
      <c r="E8055" s="2">
        <v>2042.6</v>
      </c>
    </row>
    <row r="8056" spans="1:5" x14ac:dyDescent="0.25">
      <c r="A8056" s="1">
        <v>43691</v>
      </c>
      <c r="B8056">
        <v>123819</v>
      </c>
      <c r="C8056" t="s">
        <v>124</v>
      </c>
      <c r="D8056" t="s">
        <v>7398</v>
      </c>
      <c r="E8056" s="2">
        <v>50</v>
      </c>
    </row>
    <row r="8057" spans="1:5" x14ac:dyDescent="0.25">
      <c r="A8057" s="1">
        <v>43691</v>
      </c>
      <c r="B8057">
        <v>123820</v>
      </c>
      <c r="C8057" t="s">
        <v>365</v>
      </c>
      <c r="D8057" t="s">
        <v>7040</v>
      </c>
      <c r="E8057" s="2">
        <v>90.4</v>
      </c>
    </row>
    <row r="8058" spans="1:5" x14ac:dyDescent="0.25">
      <c r="A8058" s="1">
        <v>43691</v>
      </c>
      <c r="B8058">
        <v>123821</v>
      </c>
      <c r="C8058" t="s">
        <v>125</v>
      </c>
      <c r="D8058" t="s">
        <v>690</v>
      </c>
      <c r="E8058" s="2">
        <v>320.8</v>
      </c>
    </row>
    <row r="8059" spans="1:5" x14ac:dyDescent="0.25">
      <c r="A8059" s="1">
        <v>43691</v>
      </c>
      <c r="B8059">
        <v>123821</v>
      </c>
      <c r="C8059" t="s">
        <v>125</v>
      </c>
      <c r="D8059" t="s">
        <v>7041</v>
      </c>
      <c r="E8059" s="2">
        <v>282.26</v>
      </c>
    </row>
    <row r="8060" spans="1:5" x14ac:dyDescent="0.25">
      <c r="A8060" s="1">
        <v>43691</v>
      </c>
      <c r="B8060">
        <v>123822</v>
      </c>
      <c r="C8060" t="s">
        <v>10</v>
      </c>
      <c r="D8060" t="s">
        <v>7042</v>
      </c>
      <c r="E8060" s="2">
        <v>100</v>
      </c>
    </row>
    <row r="8061" spans="1:5" x14ac:dyDescent="0.25">
      <c r="A8061" s="1">
        <v>43691</v>
      </c>
      <c r="B8061">
        <v>123823</v>
      </c>
      <c r="C8061" t="s">
        <v>44</v>
      </c>
      <c r="D8061" t="s">
        <v>7043</v>
      </c>
      <c r="E8061" s="2">
        <v>452.25</v>
      </c>
    </row>
    <row r="8062" spans="1:5" x14ac:dyDescent="0.25">
      <c r="A8062" s="1">
        <v>43691</v>
      </c>
      <c r="B8062">
        <v>123824</v>
      </c>
      <c r="C8062" t="s">
        <v>74</v>
      </c>
      <c r="D8062" t="s">
        <v>7044</v>
      </c>
      <c r="E8062" s="2">
        <v>115.4</v>
      </c>
    </row>
    <row r="8063" spans="1:5" x14ac:dyDescent="0.25">
      <c r="A8063" s="1">
        <v>43691</v>
      </c>
      <c r="B8063">
        <v>123824</v>
      </c>
      <c r="C8063" t="s">
        <v>74</v>
      </c>
      <c r="D8063" t="s">
        <v>7045</v>
      </c>
      <c r="E8063" s="2">
        <v>209.7</v>
      </c>
    </row>
    <row r="8064" spans="1:5" x14ac:dyDescent="0.25">
      <c r="A8064" s="1">
        <v>43691</v>
      </c>
      <c r="B8064">
        <v>123824</v>
      </c>
      <c r="C8064" t="s">
        <v>74</v>
      </c>
      <c r="D8064" t="s">
        <v>7046</v>
      </c>
      <c r="E8064" s="2">
        <v>59.8</v>
      </c>
    </row>
    <row r="8065" spans="1:5" x14ac:dyDescent="0.25">
      <c r="A8065" s="1">
        <v>43691</v>
      </c>
      <c r="B8065">
        <v>123824</v>
      </c>
      <c r="C8065" t="s">
        <v>74</v>
      </c>
      <c r="D8065" t="s">
        <v>7047</v>
      </c>
      <c r="E8065" s="2">
        <v>41.58</v>
      </c>
    </row>
    <row r="8066" spans="1:5" x14ac:dyDescent="0.25">
      <c r="A8066" s="1">
        <v>43691</v>
      </c>
      <c r="B8066">
        <v>123825</v>
      </c>
      <c r="C8066" t="s">
        <v>11</v>
      </c>
      <c r="D8066" t="s">
        <v>1242</v>
      </c>
      <c r="E8066" s="2">
        <v>148.71</v>
      </c>
    </row>
    <row r="8067" spans="1:5" x14ac:dyDescent="0.25">
      <c r="A8067" s="1">
        <v>43691</v>
      </c>
      <c r="B8067">
        <v>123826</v>
      </c>
      <c r="C8067" t="s">
        <v>7048</v>
      </c>
      <c r="D8067" t="s">
        <v>6544</v>
      </c>
      <c r="E8067" s="2">
        <v>970.11</v>
      </c>
    </row>
    <row r="8068" spans="1:5" x14ac:dyDescent="0.25">
      <c r="A8068" s="1">
        <v>43691</v>
      </c>
      <c r="B8068">
        <v>123827</v>
      </c>
      <c r="C8068" t="s">
        <v>7049</v>
      </c>
      <c r="D8068" t="s">
        <v>7399</v>
      </c>
      <c r="E8068" s="2">
        <v>805</v>
      </c>
    </row>
    <row r="8069" spans="1:5" x14ac:dyDescent="0.25">
      <c r="A8069" s="1">
        <v>43691</v>
      </c>
      <c r="B8069">
        <v>123828</v>
      </c>
      <c r="C8069" t="s">
        <v>77</v>
      </c>
      <c r="D8069" t="s">
        <v>4625</v>
      </c>
      <c r="E8069" s="2">
        <v>17</v>
      </c>
    </row>
    <row r="8070" spans="1:5" x14ac:dyDescent="0.25">
      <c r="A8070" s="1">
        <v>43691</v>
      </c>
      <c r="B8070">
        <v>123829</v>
      </c>
      <c r="C8070" t="s">
        <v>13</v>
      </c>
      <c r="D8070" t="s">
        <v>7050</v>
      </c>
      <c r="E8070" s="2">
        <v>162.16</v>
      </c>
    </row>
    <row r="8071" spans="1:5" x14ac:dyDescent="0.25">
      <c r="A8071" s="1">
        <v>43691</v>
      </c>
      <c r="B8071">
        <v>123830</v>
      </c>
      <c r="C8071" t="s">
        <v>14</v>
      </c>
      <c r="D8071" t="s">
        <v>7400</v>
      </c>
      <c r="E8071" s="2">
        <v>280</v>
      </c>
    </row>
    <row r="8072" spans="1:5" x14ac:dyDescent="0.25">
      <c r="A8072" s="1">
        <v>43691</v>
      </c>
      <c r="B8072">
        <v>123831</v>
      </c>
      <c r="C8072" t="s">
        <v>7051</v>
      </c>
      <c r="D8072" t="s">
        <v>7052</v>
      </c>
      <c r="E8072" s="2">
        <v>200</v>
      </c>
    </row>
    <row r="8073" spans="1:5" x14ac:dyDescent="0.25">
      <c r="A8073" s="1">
        <v>43691</v>
      </c>
      <c r="B8073">
        <v>123832</v>
      </c>
      <c r="C8073" t="s">
        <v>5859</v>
      </c>
      <c r="D8073" t="s">
        <v>7053</v>
      </c>
      <c r="E8073" s="2">
        <v>400</v>
      </c>
    </row>
    <row r="8074" spans="1:5" x14ac:dyDescent="0.25">
      <c r="A8074" s="1">
        <v>43691</v>
      </c>
      <c r="B8074">
        <v>123833</v>
      </c>
      <c r="C8074" t="s">
        <v>2724</v>
      </c>
      <c r="D8074" t="s">
        <v>7401</v>
      </c>
      <c r="E8074" s="2">
        <v>269</v>
      </c>
    </row>
    <row r="8075" spans="1:5" x14ac:dyDescent="0.25">
      <c r="A8075" s="1">
        <v>43691</v>
      </c>
      <c r="B8075">
        <v>123834</v>
      </c>
      <c r="C8075" t="s">
        <v>19</v>
      </c>
      <c r="D8075" t="s">
        <v>7054</v>
      </c>
      <c r="E8075" s="2">
        <v>252</v>
      </c>
    </row>
    <row r="8076" spans="1:5" x14ac:dyDescent="0.25">
      <c r="A8076" s="1">
        <v>43691</v>
      </c>
      <c r="B8076">
        <v>123834</v>
      </c>
      <c r="C8076" t="s">
        <v>19</v>
      </c>
      <c r="D8076" t="s">
        <v>7055</v>
      </c>
      <c r="E8076" s="2">
        <v>475</v>
      </c>
    </row>
    <row r="8077" spans="1:5" x14ac:dyDescent="0.25">
      <c r="A8077" s="1">
        <v>43691</v>
      </c>
      <c r="B8077">
        <v>123834</v>
      </c>
      <c r="C8077" t="s">
        <v>19</v>
      </c>
      <c r="D8077" t="s">
        <v>7056</v>
      </c>
      <c r="E8077" s="2">
        <v>1620</v>
      </c>
    </row>
    <row r="8078" spans="1:5" x14ac:dyDescent="0.25">
      <c r="A8078" s="1">
        <v>43692</v>
      </c>
      <c r="B8078">
        <v>123835</v>
      </c>
      <c r="C8078" t="s">
        <v>988</v>
      </c>
      <c r="D8078" t="s">
        <v>7402</v>
      </c>
      <c r="E8078" s="2">
        <v>121.52</v>
      </c>
    </row>
    <row r="8079" spans="1:5" x14ac:dyDescent="0.25">
      <c r="A8079" s="1">
        <v>43692</v>
      </c>
      <c r="B8079">
        <v>123836</v>
      </c>
      <c r="C8079" t="s">
        <v>7057</v>
      </c>
      <c r="D8079" t="s">
        <v>7403</v>
      </c>
      <c r="E8079" s="2">
        <v>150</v>
      </c>
    </row>
    <row r="8080" spans="1:5" x14ac:dyDescent="0.25">
      <c r="A8080" s="1">
        <v>43692</v>
      </c>
      <c r="B8080">
        <v>123837</v>
      </c>
      <c r="C8080" t="s">
        <v>1156</v>
      </c>
      <c r="D8080" t="s">
        <v>7058</v>
      </c>
      <c r="E8080" s="2">
        <v>174.8</v>
      </c>
    </row>
    <row r="8081" spans="1:5" x14ac:dyDescent="0.25">
      <c r="A8081" s="1">
        <v>43692</v>
      </c>
      <c r="B8081">
        <v>123838</v>
      </c>
      <c r="C8081" t="s">
        <v>662</v>
      </c>
      <c r="D8081" t="s">
        <v>6687</v>
      </c>
      <c r="E8081" s="2">
        <v>35988.21</v>
      </c>
    </row>
    <row r="8082" spans="1:5" x14ac:dyDescent="0.25">
      <c r="A8082" s="1">
        <v>43692</v>
      </c>
      <c r="B8082">
        <v>123839</v>
      </c>
      <c r="C8082" t="s">
        <v>405</v>
      </c>
      <c r="D8082" t="s">
        <v>5607</v>
      </c>
      <c r="E8082" s="2">
        <v>293</v>
      </c>
    </row>
    <row r="8083" spans="1:5" x14ac:dyDescent="0.25">
      <c r="A8083" s="1">
        <v>43692</v>
      </c>
      <c r="B8083">
        <v>123840</v>
      </c>
      <c r="C8083" t="s">
        <v>1087</v>
      </c>
      <c r="D8083" t="s">
        <v>7059</v>
      </c>
      <c r="E8083" s="2">
        <v>179.1</v>
      </c>
    </row>
    <row r="8084" spans="1:5" x14ac:dyDescent="0.25">
      <c r="A8084" s="1">
        <v>43692</v>
      </c>
      <c r="B8084">
        <v>123841</v>
      </c>
      <c r="C8084" t="s">
        <v>352</v>
      </c>
      <c r="D8084" t="s">
        <v>7404</v>
      </c>
      <c r="E8084" s="2">
        <v>1880</v>
      </c>
    </row>
    <row r="8085" spans="1:5" x14ac:dyDescent="0.25">
      <c r="A8085" s="1">
        <v>43692</v>
      </c>
      <c r="B8085">
        <v>123842</v>
      </c>
      <c r="C8085" t="s">
        <v>2173</v>
      </c>
      <c r="D8085" t="s">
        <v>6912</v>
      </c>
      <c r="E8085" s="2">
        <v>70</v>
      </c>
    </row>
    <row r="8086" spans="1:5" x14ac:dyDescent="0.25">
      <c r="A8086" s="1">
        <v>43692</v>
      </c>
      <c r="B8086">
        <v>123852</v>
      </c>
      <c r="C8086" t="s">
        <v>110</v>
      </c>
      <c r="D8086" t="s">
        <v>6692</v>
      </c>
      <c r="E8086" s="2">
        <v>56044.91</v>
      </c>
    </row>
    <row r="8087" spans="1:5" x14ac:dyDescent="0.25">
      <c r="A8087" s="1">
        <v>43692</v>
      </c>
      <c r="B8087">
        <v>123853</v>
      </c>
      <c r="C8087" t="s">
        <v>2550</v>
      </c>
      <c r="D8087" t="s">
        <v>7405</v>
      </c>
      <c r="E8087" s="2">
        <v>60</v>
      </c>
    </row>
    <row r="8088" spans="1:5" x14ac:dyDescent="0.25">
      <c r="A8088" s="1">
        <v>43692</v>
      </c>
      <c r="B8088">
        <v>123854</v>
      </c>
      <c r="C8088" t="s">
        <v>2378</v>
      </c>
      <c r="D8088" t="s">
        <v>7406</v>
      </c>
      <c r="E8088" s="2">
        <v>324</v>
      </c>
    </row>
    <row r="8089" spans="1:5" x14ac:dyDescent="0.25">
      <c r="A8089" s="1">
        <v>43692</v>
      </c>
      <c r="B8089">
        <v>123855</v>
      </c>
      <c r="C8089" t="s">
        <v>114</v>
      </c>
      <c r="D8089" t="s">
        <v>7060</v>
      </c>
      <c r="E8089" s="2">
        <v>520</v>
      </c>
    </row>
    <row r="8090" spans="1:5" x14ac:dyDescent="0.25">
      <c r="A8090" s="1">
        <v>43692</v>
      </c>
      <c r="B8090">
        <v>123856</v>
      </c>
      <c r="C8090" t="s">
        <v>1452</v>
      </c>
      <c r="D8090" t="s">
        <v>7061</v>
      </c>
      <c r="E8090" s="2">
        <v>419.25</v>
      </c>
    </row>
    <row r="8091" spans="1:5" x14ac:dyDescent="0.25">
      <c r="A8091" s="1">
        <v>43692</v>
      </c>
      <c r="B8091">
        <v>123857</v>
      </c>
      <c r="C8091" t="s">
        <v>7062</v>
      </c>
      <c r="D8091" t="s">
        <v>5896</v>
      </c>
      <c r="E8091" s="2">
        <v>38.25</v>
      </c>
    </row>
    <row r="8092" spans="1:5" x14ac:dyDescent="0.25">
      <c r="A8092" s="1">
        <v>43692</v>
      </c>
      <c r="B8092">
        <v>123859</v>
      </c>
      <c r="C8092" t="s">
        <v>259</v>
      </c>
      <c r="D8092" t="s">
        <v>7063</v>
      </c>
      <c r="E8092" s="2">
        <v>2501.87</v>
      </c>
    </row>
    <row r="8093" spans="1:5" x14ac:dyDescent="0.25">
      <c r="A8093" s="1">
        <v>43692</v>
      </c>
      <c r="B8093">
        <v>123860</v>
      </c>
      <c r="C8093" t="s">
        <v>6056</v>
      </c>
      <c r="D8093" t="s">
        <v>6057</v>
      </c>
      <c r="E8093" s="2">
        <v>65</v>
      </c>
    </row>
    <row r="8094" spans="1:5" x14ac:dyDescent="0.25">
      <c r="A8094" s="1">
        <v>43692</v>
      </c>
      <c r="B8094">
        <v>123861</v>
      </c>
      <c r="C8094" t="s">
        <v>365</v>
      </c>
      <c r="D8094" t="s">
        <v>481</v>
      </c>
      <c r="E8094" s="2">
        <v>228.59</v>
      </c>
    </row>
    <row r="8095" spans="1:5" x14ac:dyDescent="0.25">
      <c r="A8095" s="1">
        <v>43692</v>
      </c>
      <c r="B8095">
        <v>123867</v>
      </c>
      <c r="C8095" t="s">
        <v>265</v>
      </c>
      <c r="D8095" t="s">
        <v>6775</v>
      </c>
      <c r="E8095" s="2">
        <v>502608.38</v>
      </c>
    </row>
    <row r="8096" spans="1:5" x14ac:dyDescent="0.25">
      <c r="A8096" s="1">
        <v>43692</v>
      </c>
      <c r="B8096">
        <v>123868</v>
      </c>
      <c r="C8096" t="s">
        <v>1670</v>
      </c>
      <c r="D8096" t="s">
        <v>7407</v>
      </c>
      <c r="E8096" s="2">
        <v>1189.1600000000001</v>
      </c>
    </row>
    <row r="8097" spans="1:5" x14ac:dyDescent="0.25">
      <c r="A8097" s="1">
        <v>43692</v>
      </c>
      <c r="B8097">
        <v>123869</v>
      </c>
      <c r="C8097" t="s">
        <v>269</v>
      </c>
      <c r="D8097" t="s">
        <v>4453</v>
      </c>
      <c r="E8097" s="2">
        <v>32</v>
      </c>
    </row>
    <row r="8098" spans="1:5" x14ac:dyDescent="0.25">
      <c r="A8098" s="1">
        <v>43692</v>
      </c>
      <c r="B8098">
        <v>123870</v>
      </c>
      <c r="C8098" t="s">
        <v>5184</v>
      </c>
      <c r="D8098" t="s">
        <v>7065</v>
      </c>
      <c r="E8098" s="2">
        <v>7000</v>
      </c>
    </row>
    <row r="8099" spans="1:5" x14ac:dyDescent="0.25">
      <c r="A8099" s="1">
        <v>43692</v>
      </c>
      <c r="B8099">
        <v>123871</v>
      </c>
      <c r="C8099" t="s">
        <v>1208</v>
      </c>
      <c r="D8099" t="s">
        <v>7408</v>
      </c>
      <c r="E8099" s="2">
        <v>13178.4</v>
      </c>
    </row>
    <row r="8100" spans="1:5" x14ac:dyDescent="0.25">
      <c r="A8100" s="1">
        <v>43692</v>
      </c>
      <c r="B8100">
        <v>123872</v>
      </c>
      <c r="C8100" t="s">
        <v>7066</v>
      </c>
      <c r="D8100" t="s">
        <v>6778</v>
      </c>
      <c r="E8100" s="2">
        <v>39.049999999999997</v>
      </c>
    </row>
    <row r="8101" spans="1:5" x14ac:dyDescent="0.25">
      <c r="A8101" s="1">
        <v>43692</v>
      </c>
      <c r="B8101">
        <v>123873</v>
      </c>
      <c r="C8101" t="s">
        <v>6211</v>
      </c>
      <c r="D8101" t="s">
        <v>7067</v>
      </c>
      <c r="E8101" s="2">
        <v>1059.47</v>
      </c>
    </row>
    <row r="8102" spans="1:5" x14ac:dyDescent="0.25">
      <c r="A8102" s="1">
        <v>43692</v>
      </c>
      <c r="B8102">
        <v>123873</v>
      </c>
      <c r="C8102" t="s">
        <v>6211</v>
      </c>
      <c r="D8102" t="s">
        <v>4492</v>
      </c>
      <c r="E8102" s="2">
        <v>25.5</v>
      </c>
    </row>
    <row r="8103" spans="1:5" x14ac:dyDescent="0.25">
      <c r="A8103" s="1">
        <v>43692</v>
      </c>
      <c r="B8103">
        <v>123874</v>
      </c>
      <c r="C8103" t="s">
        <v>146</v>
      </c>
      <c r="D8103" t="s">
        <v>7068</v>
      </c>
      <c r="E8103" s="2">
        <v>180.67</v>
      </c>
    </row>
    <row r="8104" spans="1:5" x14ac:dyDescent="0.25">
      <c r="A8104" s="1">
        <v>43692</v>
      </c>
      <c r="B8104">
        <v>123874</v>
      </c>
      <c r="C8104" t="s">
        <v>146</v>
      </c>
      <c r="D8104" t="s">
        <v>7385</v>
      </c>
      <c r="E8104" s="2">
        <v>930</v>
      </c>
    </row>
    <row r="8105" spans="1:5" x14ac:dyDescent="0.25">
      <c r="A8105" s="1">
        <v>43692</v>
      </c>
      <c r="B8105">
        <v>123875</v>
      </c>
      <c r="C8105" t="s">
        <v>734</v>
      </c>
      <c r="D8105" t="s">
        <v>2763</v>
      </c>
      <c r="E8105" s="2">
        <v>127.2</v>
      </c>
    </row>
    <row r="8106" spans="1:5" x14ac:dyDescent="0.25">
      <c r="A8106" s="1">
        <v>43692</v>
      </c>
      <c r="B8106">
        <v>123876</v>
      </c>
      <c r="C8106" t="s">
        <v>5346</v>
      </c>
      <c r="D8106" t="s">
        <v>7069</v>
      </c>
      <c r="E8106" s="2">
        <v>3787.4</v>
      </c>
    </row>
    <row r="8107" spans="1:5" x14ac:dyDescent="0.25">
      <c r="A8107" s="1">
        <v>43692</v>
      </c>
      <c r="B8107">
        <v>123877</v>
      </c>
      <c r="C8107" t="s">
        <v>75</v>
      </c>
      <c r="D8107" t="s">
        <v>7070</v>
      </c>
      <c r="E8107" s="2">
        <v>66.709999999999994</v>
      </c>
    </row>
    <row r="8108" spans="1:5" x14ac:dyDescent="0.25">
      <c r="A8108" s="1">
        <v>43692</v>
      </c>
      <c r="B8108">
        <v>123878</v>
      </c>
      <c r="C8108" t="s">
        <v>11</v>
      </c>
      <c r="D8108" t="s">
        <v>7071</v>
      </c>
      <c r="E8108" s="2">
        <v>1483.56</v>
      </c>
    </row>
    <row r="8109" spans="1:5" x14ac:dyDescent="0.25">
      <c r="A8109" s="1">
        <v>43692</v>
      </c>
      <c r="B8109">
        <v>123879</v>
      </c>
      <c r="C8109" t="s">
        <v>3497</v>
      </c>
      <c r="D8109" t="s">
        <v>7409</v>
      </c>
      <c r="E8109" s="2">
        <v>80.150000000000006</v>
      </c>
    </row>
    <row r="8110" spans="1:5" x14ac:dyDescent="0.25">
      <c r="A8110" s="1">
        <v>43692</v>
      </c>
      <c r="B8110">
        <v>123880</v>
      </c>
      <c r="C8110" t="s">
        <v>49</v>
      </c>
      <c r="D8110" t="s">
        <v>7072</v>
      </c>
      <c r="E8110" s="2">
        <v>199</v>
      </c>
    </row>
    <row r="8111" spans="1:5" x14ac:dyDescent="0.25">
      <c r="A8111" s="1">
        <v>43692</v>
      </c>
      <c r="B8111">
        <v>123881</v>
      </c>
      <c r="C8111" t="s">
        <v>50</v>
      </c>
      <c r="D8111" t="s">
        <v>6927</v>
      </c>
      <c r="E8111" s="2">
        <v>3650</v>
      </c>
    </row>
    <row r="8112" spans="1:5" x14ac:dyDescent="0.25">
      <c r="A8112" s="1">
        <v>43692</v>
      </c>
      <c r="B8112">
        <v>123882</v>
      </c>
      <c r="C8112" t="s">
        <v>80</v>
      </c>
      <c r="D8112" t="s">
        <v>3754</v>
      </c>
      <c r="E8112" s="2">
        <v>80.69</v>
      </c>
    </row>
    <row r="8113" spans="1:5" x14ac:dyDescent="0.25">
      <c r="A8113" s="1">
        <v>43692</v>
      </c>
      <c r="B8113">
        <v>123883</v>
      </c>
      <c r="C8113" t="s">
        <v>154</v>
      </c>
      <c r="D8113" t="s">
        <v>7011</v>
      </c>
      <c r="E8113" s="2">
        <v>2070</v>
      </c>
    </row>
    <row r="8114" spans="1:5" x14ac:dyDescent="0.25">
      <c r="A8114" s="1">
        <v>43692</v>
      </c>
      <c r="B8114">
        <v>123884</v>
      </c>
      <c r="C8114" t="s">
        <v>14</v>
      </c>
      <c r="D8114" t="s">
        <v>7410</v>
      </c>
      <c r="E8114" s="2">
        <v>1145</v>
      </c>
    </row>
    <row r="8115" spans="1:5" x14ac:dyDescent="0.25">
      <c r="A8115" s="1">
        <v>43692</v>
      </c>
      <c r="B8115">
        <v>123884</v>
      </c>
      <c r="C8115" t="s">
        <v>14</v>
      </c>
      <c r="D8115" t="s">
        <v>7073</v>
      </c>
      <c r="E8115" s="2">
        <v>304</v>
      </c>
    </row>
    <row r="8116" spans="1:5" x14ac:dyDescent="0.25">
      <c r="A8116" s="1">
        <v>43692</v>
      </c>
      <c r="B8116">
        <v>123884</v>
      </c>
      <c r="C8116" t="s">
        <v>14</v>
      </c>
      <c r="D8116" t="s">
        <v>7074</v>
      </c>
      <c r="E8116" s="2">
        <v>4921.63</v>
      </c>
    </row>
    <row r="8117" spans="1:5" x14ac:dyDescent="0.25">
      <c r="A8117" s="1">
        <v>43692</v>
      </c>
      <c r="B8117">
        <v>123886</v>
      </c>
      <c r="C8117" t="s">
        <v>158</v>
      </c>
      <c r="D8117" t="s">
        <v>6711</v>
      </c>
      <c r="E8117" s="2">
        <f>47.46+47.46</f>
        <v>94.92</v>
      </c>
    </row>
    <row r="8118" spans="1:5" x14ac:dyDescent="0.25">
      <c r="A8118" s="1">
        <v>43692</v>
      </c>
      <c r="B8118">
        <v>123886</v>
      </c>
      <c r="C8118" t="s">
        <v>158</v>
      </c>
      <c r="D8118" t="s">
        <v>7411</v>
      </c>
      <c r="E8118" s="2">
        <v>36.479999999999997</v>
      </c>
    </row>
    <row r="8119" spans="1:5" x14ac:dyDescent="0.25">
      <c r="A8119" s="1">
        <v>43692</v>
      </c>
      <c r="B8119">
        <v>123886</v>
      </c>
      <c r="C8119" t="s">
        <v>158</v>
      </c>
      <c r="D8119" t="s">
        <v>763</v>
      </c>
      <c r="E8119" s="2">
        <v>209.1</v>
      </c>
    </row>
    <row r="8120" spans="1:5" x14ac:dyDescent="0.25">
      <c r="A8120" s="1">
        <v>43692</v>
      </c>
      <c r="B8120">
        <v>123887</v>
      </c>
      <c r="C8120" t="s">
        <v>7075</v>
      </c>
      <c r="D8120" t="s">
        <v>7076</v>
      </c>
      <c r="E8120" s="2">
        <v>4395.6499999999996</v>
      </c>
    </row>
    <row r="8121" spans="1:5" x14ac:dyDescent="0.25">
      <c r="A8121" s="1">
        <v>43692</v>
      </c>
      <c r="B8121">
        <v>123888</v>
      </c>
      <c r="C8121" t="s">
        <v>161</v>
      </c>
      <c r="D8121" t="s">
        <v>7077</v>
      </c>
      <c r="E8121" s="2">
        <v>5200</v>
      </c>
    </row>
    <row r="8122" spans="1:5" x14ac:dyDescent="0.25">
      <c r="A8122" s="1">
        <v>43692</v>
      </c>
      <c r="B8122">
        <v>123889</v>
      </c>
      <c r="C8122" t="s">
        <v>597</v>
      </c>
      <c r="D8122" t="s">
        <v>598</v>
      </c>
      <c r="E8122" s="2">
        <v>0</v>
      </c>
    </row>
    <row r="8123" spans="1:5" x14ac:dyDescent="0.25">
      <c r="A8123" s="1">
        <v>43692</v>
      </c>
      <c r="B8123">
        <v>123890</v>
      </c>
      <c r="C8123" t="s">
        <v>597</v>
      </c>
      <c r="D8123" t="s">
        <v>598</v>
      </c>
      <c r="E8123" s="2">
        <v>0</v>
      </c>
    </row>
    <row r="8124" spans="1:5" x14ac:dyDescent="0.25">
      <c r="A8124" s="1">
        <v>43692</v>
      </c>
      <c r="B8124">
        <v>123891</v>
      </c>
      <c r="C8124" t="s">
        <v>7078</v>
      </c>
      <c r="D8124" t="s">
        <v>7079</v>
      </c>
      <c r="E8124" s="2">
        <v>400</v>
      </c>
    </row>
    <row r="8125" spans="1:5" x14ac:dyDescent="0.25">
      <c r="A8125" s="1">
        <v>43692</v>
      </c>
      <c r="B8125">
        <v>123892</v>
      </c>
      <c r="C8125" t="s">
        <v>1516</v>
      </c>
      <c r="D8125" t="s">
        <v>7080</v>
      </c>
      <c r="E8125" s="2">
        <v>324</v>
      </c>
    </row>
    <row r="8126" spans="1:5" x14ac:dyDescent="0.25">
      <c r="A8126" s="1">
        <v>43692</v>
      </c>
      <c r="B8126">
        <v>123893</v>
      </c>
      <c r="C8126" t="s">
        <v>164</v>
      </c>
      <c r="D8126" t="s">
        <v>7081</v>
      </c>
      <c r="E8126" s="2">
        <v>123.12</v>
      </c>
    </row>
    <row r="8127" spans="1:5" x14ac:dyDescent="0.25">
      <c r="A8127" s="1">
        <v>43692</v>
      </c>
      <c r="B8127">
        <v>123894</v>
      </c>
      <c r="C8127" t="s">
        <v>7082</v>
      </c>
      <c r="D8127" t="s">
        <v>7083</v>
      </c>
      <c r="E8127" s="2">
        <f>550+620</f>
        <v>1170</v>
      </c>
    </row>
    <row r="8128" spans="1:5" x14ac:dyDescent="0.25">
      <c r="A8128" s="1">
        <v>43692</v>
      </c>
      <c r="B8128">
        <v>123895</v>
      </c>
      <c r="C8128" t="s">
        <v>7084</v>
      </c>
      <c r="D8128" t="s">
        <v>7085</v>
      </c>
      <c r="E8128" s="2">
        <v>300</v>
      </c>
    </row>
    <row r="8129" spans="1:5" x14ac:dyDescent="0.25">
      <c r="A8129" s="1">
        <v>43692</v>
      </c>
      <c r="B8129">
        <v>123896</v>
      </c>
      <c r="C8129" t="s">
        <v>6797</v>
      </c>
      <c r="D8129" t="s">
        <v>7086</v>
      </c>
      <c r="E8129" s="2">
        <v>1025</v>
      </c>
    </row>
    <row r="8130" spans="1:5" x14ac:dyDescent="0.25">
      <c r="A8130" s="1">
        <v>43692</v>
      </c>
      <c r="B8130">
        <v>123897</v>
      </c>
      <c r="C8130" t="s">
        <v>88</v>
      </c>
      <c r="D8130" t="s">
        <v>7087</v>
      </c>
      <c r="E8130" s="2">
        <v>402.5</v>
      </c>
    </row>
    <row r="8131" spans="1:5" x14ac:dyDescent="0.25">
      <c r="A8131" s="1">
        <v>43692</v>
      </c>
      <c r="B8131">
        <v>123898</v>
      </c>
      <c r="C8131" t="s">
        <v>7088</v>
      </c>
      <c r="D8131" t="s">
        <v>7412</v>
      </c>
      <c r="E8131" s="2">
        <v>21801</v>
      </c>
    </row>
    <row r="8132" spans="1:5" x14ac:dyDescent="0.25">
      <c r="A8132" s="1">
        <v>43692</v>
      </c>
      <c r="B8132">
        <v>123899</v>
      </c>
      <c r="C8132" t="s">
        <v>3539</v>
      </c>
      <c r="D8132" t="s">
        <v>7089</v>
      </c>
      <c r="E8132" s="2">
        <f>55+55</f>
        <v>110</v>
      </c>
    </row>
    <row r="8133" spans="1:5" x14ac:dyDescent="0.25">
      <c r="A8133" s="1">
        <v>43692</v>
      </c>
      <c r="B8133">
        <v>123900</v>
      </c>
      <c r="C8133" t="s">
        <v>6328</v>
      </c>
      <c r="D8133" t="s">
        <v>7413</v>
      </c>
      <c r="E8133" s="2">
        <v>7200</v>
      </c>
    </row>
    <row r="8134" spans="1:5" x14ac:dyDescent="0.25">
      <c r="A8134" s="1">
        <v>43692</v>
      </c>
      <c r="B8134">
        <v>123901</v>
      </c>
      <c r="C8134" t="s">
        <v>179</v>
      </c>
      <c r="D8134" t="s">
        <v>7414</v>
      </c>
      <c r="E8134" s="2">
        <f>476.57+143.45-7.46</f>
        <v>612.55999999999995</v>
      </c>
    </row>
    <row r="8135" spans="1:5" x14ac:dyDescent="0.25">
      <c r="A8135" s="1">
        <v>43692</v>
      </c>
      <c r="B8135">
        <v>123902</v>
      </c>
      <c r="C8135" t="s">
        <v>4135</v>
      </c>
      <c r="D8135" t="s">
        <v>7415</v>
      </c>
      <c r="E8135" s="2">
        <v>1066.5</v>
      </c>
    </row>
    <row r="8136" spans="1:5" x14ac:dyDescent="0.25">
      <c r="A8136" s="1">
        <v>43692</v>
      </c>
      <c r="B8136">
        <v>123903</v>
      </c>
      <c r="C8136" t="s">
        <v>181</v>
      </c>
      <c r="D8136" t="s">
        <v>182</v>
      </c>
      <c r="E8136" s="2">
        <v>1709.55</v>
      </c>
    </row>
    <row r="8137" spans="1:5" x14ac:dyDescent="0.25">
      <c r="A8137" s="1">
        <v>43692</v>
      </c>
      <c r="B8137">
        <v>123904</v>
      </c>
      <c r="C8137" t="s">
        <v>387</v>
      </c>
      <c r="D8137" t="s">
        <v>899</v>
      </c>
      <c r="E8137" s="2">
        <v>190.9</v>
      </c>
    </row>
    <row r="8138" spans="1:5" x14ac:dyDescent="0.25">
      <c r="A8138" s="1">
        <v>43692</v>
      </c>
      <c r="B8138">
        <v>123909</v>
      </c>
      <c r="C8138" t="s">
        <v>597</v>
      </c>
      <c r="D8138" t="s">
        <v>598</v>
      </c>
      <c r="E8138" s="2">
        <v>0</v>
      </c>
    </row>
    <row r="8139" spans="1:5" x14ac:dyDescent="0.25">
      <c r="A8139" s="1">
        <v>43692</v>
      </c>
      <c r="B8139">
        <v>123910</v>
      </c>
      <c r="C8139" t="s">
        <v>780</v>
      </c>
      <c r="D8139" t="s">
        <v>7416</v>
      </c>
      <c r="E8139" s="2">
        <v>108.8</v>
      </c>
    </row>
    <row r="8140" spans="1:5" x14ac:dyDescent="0.25">
      <c r="A8140" s="1">
        <v>43692</v>
      </c>
      <c r="B8140">
        <v>123911</v>
      </c>
      <c r="C8140" t="s">
        <v>5705</v>
      </c>
      <c r="D8140" t="s">
        <v>7091</v>
      </c>
      <c r="E8140" s="2">
        <v>2035.88</v>
      </c>
    </row>
    <row r="8141" spans="1:5" x14ac:dyDescent="0.25">
      <c r="A8141" s="1">
        <v>43698</v>
      </c>
      <c r="B8141">
        <v>123912</v>
      </c>
      <c r="C8141" t="s">
        <v>64</v>
      </c>
      <c r="D8141" t="s">
        <v>7417</v>
      </c>
      <c r="E8141" s="2">
        <v>900</v>
      </c>
    </row>
    <row r="8142" spans="1:5" x14ac:dyDescent="0.25">
      <c r="A8142" s="1">
        <v>43698</v>
      </c>
      <c r="B8142">
        <v>123913</v>
      </c>
      <c r="C8142" t="s">
        <v>7092</v>
      </c>
      <c r="D8142" t="s">
        <v>7418</v>
      </c>
      <c r="E8142" s="2">
        <v>40.58</v>
      </c>
    </row>
    <row r="8143" spans="1:5" x14ac:dyDescent="0.25">
      <c r="A8143" s="1">
        <v>43698</v>
      </c>
      <c r="B8143">
        <v>123917</v>
      </c>
      <c r="C8143" t="s">
        <v>189</v>
      </c>
      <c r="D8143" t="s">
        <v>416</v>
      </c>
      <c r="E8143" s="3">
        <v>-15.98</v>
      </c>
    </row>
    <row r="8144" spans="1:5" x14ac:dyDescent="0.25">
      <c r="A8144" s="1">
        <v>43698</v>
      </c>
      <c r="B8144">
        <v>123917</v>
      </c>
      <c r="C8144" t="s">
        <v>189</v>
      </c>
      <c r="D8144" t="s">
        <v>7094</v>
      </c>
      <c r="E8144" s="2">
        <v>47.95</v>
      </c>
    </row>
    <row r="8145" spans="1:5" x14ac:dyDescent="0.25">
      <c r="A8145" s="1">
        <v>43698</v>
      </c>
      <c r="B8145">
        <v>123917</v>
      </c>
      <c r="C8145" t="s">
        <v>189</v>
      </c>
      <c r="D8145" t="s">
        <v>7095</v>
      </c>
      <c r="E8145" s="2">
        <v>325.95</v>
      </c>
    </row>
    <row r="8146" spans="1:5" x14ac:dyDescent="0.25">
      <c r="A8146" s="1">
        <v>43698</v>
      </c>
      <c r="B8146">
        <v>123917</v>
      </c>
      <c r="C8146" t="s">
        <v>189</v>
      </c>
      <c r="D8146" t="s">
        <v>7419</v>
      </c>
      <c r="E8146" s="2">
        <f>26.47+26.47</f>
        <v>52.94</v>
      </c>
    </row>
    <row r="8147" spans="1:5" x14ac:dyDescent="0.25">
      <c r="A8147" s="1">
        <v>43698</v>
      </c>
      <c r="B8147">
        <v>123917</v>
      </c>
      <c r="C8147" t="s">
        <v>189</v>
      </c>
      <c r="D8147" t="s">
        <v>7096</v>
      </c>
      <c r="E8147" s="2">
        <v>39.99</v>
      </c>
    </row>
    <row r="8148" spans="1:5" x14ac:dyDescent="0.25">
      <c r="A8148" s="1">
        <v>43698</v>
      </c>
      <c r="B8148">
        <v>123917</v>
      </c>
      <c r="C8148" t="s">
        <v>189</v>
      </c>
      <c r="D8148" t="s">
        <v>7097</v>
      </c>
      <c r="E8148" s="2">
        <f>87.24+28.97</f>
        <v>116.21</v>
      </c>
    </row>
    <row r="8149" spans="1:5" x14ac:dyDescent="0.25">
      <c r="A8149" s="1">
        <v>43698</v>
      </c>
      <c r="B8149">
        <v>123917</v>
      </c>
      <c r="C8149" t="s">
        <v>189</v>
      </c>
      <c r="D8149" t="s">
        <v>7098</v>
      </c>
      <c r="E8149" s="2">
        <v>26.07</v>
      </c>
    </row>
    <row r="8150" spans="1:5" x14ac:dyDescent="0.25">
      <c r="A8150" s="1">
        <v>43698</v>
      </c>
      <c r="B8150">
        <v>123917</v>
      </c>
      <c r="C8150" t="s">
        <v>189</v>
      </c>
      <c r="D8150" t="s">
        <v>7099</v>
      </c>
      <c r="E8150" s="2">
        <v>53.29</v>
      </c>
    </row>
    <row r="8151" spans="1:5" x14ac:dyDescent="0.25">
      <c r="A8151" s="1">
        <v>43698</v>
      </c>
      <c r="B8151">
        <v>123917</v>
      </c>
      <c r="C8151" t="s">
        <v>189</v>
      </c>
      <c r="D8151" t="s">
        <v>7100</v>
      </c>
      <c r="E8151" s="2">
        <v>439</v>
      </c>
    </row>
    <row r="8152" spans="1:5" x14ac:dyDescent="0.25">
      <c r="A8152" s="1">
        <v>43698</v>
      </c>
      <c r="B8152">
        <v>123917</v>
      </c>
      <c r="C8152" t="s">
        <v>189</v>
      </c>
      <c r="D8152" t="s">
        <v>7101</v>
      </c>
      <c r="E8152" s="2">
        <v>198.35</v>
      </c>
    </row>
    <row r="8153" spans="1:5" x14ac:dyDescent="0.25">
      <c r="A8153" s="1">
        <v>43698</v>
      </c>
      <c r="B8153">
        <v>123917</v>
      </c>
      <c r="C8153" t="s">
        <v>189</v>
      </c>
      <c r="D8153" t="s">
        <v>481</v>
      </c>
      <c r="E8153" s="2">
        <f>67.84+177</f>
        <v>244.84</v>
      </c>
    </row>
    <row r="8154" spans="1:5" x14ac:dyDescent="0.25">
      <c r="A8154" s="1">
        <v>43698</v>
      </c>
      <c r="B8154">
        <v>123917</v>
      </c>
      <c r="C8154" t="s">
        <v>189</v>
      </c>
      <c r="D8154" t="s">
        <v>7102</v>
      </c>
      <c r="E8154" s="2">
        <v>179.14</v>
      </c>
    </row>
    <row r="8155" spans="1:5" x14ac:dyDescent="0.25">
      <c r="A8155" s="1">
        <v>43698</v>
      </c>
      <c r="B8155">
        <v>123918</v>
      </c>
      <c r="C8155" t="s">
        <v>7103</v>
      </c>
      <c r="D8155" t="s">
        <v>7093</v>
      </c>
      <c r="E8155" s="2">
        <v>40.58</v>
      </c>
    </row>
    <row r="8156" spans="1:5" x14ac:dyDescent="0.25">
      <c r="A8156" s="1">
        <v>43698</v>
      </c>
      <c r="B8156">
        <v>123919</v>
      </c>
      <c r="C8156" t="s">
        <v>1930</v>
      </c>
      <c r="D8156" t="s">
        <v>7104</v>
      </c>
      <c r="E8156" s="2">
        <v>505</v>
      </c>
    </row>
    <row r="8157" spans="1:5" x14ac:dyDescent="0.25">
      <c r="A8157" s="1">
        <v>43698</v>
      </c>
      <c r="B8157">
        <v>123920</v>
      </c>
      <c r="C8157" t="s">
        <v>6398</v>
      </c>
      <c r="D8157" t="s">
        <v>7105</v>
      </c>
      <c r="E8157" s="2">
        <v>28.5</v>
      </c>
    </row>
    <row r="8158" spans="1:5" x14ac:dyDescent="0.25">
      <c r="A8158" s="1">
        <v>43698</v>
      </c>
      <c r="B8158">
        <v>123921</v>
      </c>
      <c r="C8158" t="s">
        <v>67</v>
      </c>
      <c r="D8158" t="s">
        <v>7106</v>
      </c>
      <c r="E8158" s="2">
        <v>2268</v>
      </c>
    </row>
    <row r="8159" spans="1:5" x14ac:dyDescent="0.25">
      <c r="A8159" s="1">
        <v>43698</v>
      </c>
      <c r="B8159">
        <v>123921</v>
      </c>
      <c r="C8159" t="s">
        <v>67</v>
      </c>
      <c r="D8159" t="s">
        <v>7107</v>
      </c>
      <c r="E8159" s="2">
        <v>2380</v>
      </c>
    </row>
    <row r="8160" spans="1:5" x14ac:dyDescent="0.25">
      <c r="A8160" s="1">
        <v>43698</v>
      </c>
      <c r="B8160">
        <v>123921</v>
      </c>
      <c r="C8160" t="s">
        <v>67</v>
      </c>
      <c r="D8160" t="s">
        <v>7108</v>
      </c>
      <c r="E8160" s="2">
        <v>433.13</v>
      </c>
    </row>
    <row r="8161" spans="1:5" x14ac:dyDescent="0.25">
      <c r="A8161" s="1">
        <v>43698</v>
      </c>
      <c r="B8161">
        <v>123922</v>
      </c>
      <c r="C8161" t="s">
        <v>7109</v>
      </c>
      <c r="D8161" t="s">
        <v>6362</v>
      </c>
      <c r="E8161" s="2">
        <v>40.58</v>
      </c>
    </row>
    <row r="8162" spans="1:5" x14ac:dyDescent="0.25">
      <c r="A8162" s="1">
        <v>43698</v>
      </c>
      <c r="B8162">
        <v>123923</v>
      </c>
      <c r="C8162" t="s">
        <v>2362</v>
      </c>
      <c r="D8162" t="s">
        <v>7110</v>
      </c>
      <c r="E8162" s="2">
        <v>812</v>
      </c>
    </row>
    <row r="8163" spans="1:5" x14ac:dyDescent="0.25">
      <c r="A8163" s="1">
        <v>43698</v>
      </c>
      <c r="B8163">
        <v>123924</v>
      </c>
      <c r="C8163" t="s">
        <v>7</v>
      </c>
      <c r="D8163" t="s">
        <v>7111</v>
      </c>
      <c r="E8163" s="2">
        <v>60</v>
      </c>
    </row>
    <row r="8164" spans="1:5" x14ac:dyDescent="0.25">
      <c r="A8164" s="1">
        <v>43698</v>
      </c>
      <c r="B8164">
        <v>123925</v>
      </c>
      <c r="C8164" t="s">
        <v>7112</v>
      </c>
      <c r="D8164" t="s">
        <v>7420</v>
      </c>
      <c r="E8164" s="2">
        <v>40.58</v>
      </c>
    </row>
    <row r="8165" spans="1:5" x14ac:dyDescent="0.25">
      <c r="A8165" s="1">
        <v>43698</v>
      </c>
      <c r="B8165">
        <v>123926</v>
      </c>
      <c r="C8165" t="s">
        <v>1177</v>
      </c>
      <c r="D8165" t="s">
        <v>7113</v>
      </c>
      <c r="E8165" s="2">
        <v>54</v>
      </c>
    </row>
    <row r="8166" spans="1:5" x14ac:dyDescent="0.25">
      <c r="A8166" s="1">
        <v>43698</v>
      </c>
      <c r="B8166">
        <v>123927</v>
      </c>
      <c r="C8166" t="s">
        <v>7114</v>
      </c>
      <c r="D8166" t="s">
        <v>7185</v>
      </c>
      <c r="E8166" s="2">
        <v>150</v>
      </c>
    </row>
    <row r="8167" spans="1:5" x14ac:dyDescent="0.25">
      <c r="A8167" s="1">
        <v>43698</v>
      </c>
      <c r="B8167">
        <v>123928</v>
      </c>
      <c r="C8167" t="s">
        <v>7115</v>
      </c>
      <c r="D8167" t="s">
        <v>6362</v>
      </c>
      <c r="E8167" s="2">
        <v>40.58</v>
      </c>
    </row>
    <row r="8168" spans="1:5" x14ac:dyDescent="0.25">
      <c r="A8168" s="1">
        <v>43698</v>
      </c>
      <c r="B8168">
        <v>123929</v>
      </c>
      <c r="C8168" t="s">
        <v>199</v>
      </c>
      <c r="D8168" t="s">
        <v>7116</v>
      </c>
      <c r="E8168" s="2">
        <v>1155</v>
      </c>
    </row>
    <row r="8169" spans="1:5" x14ac:dyDescent="0.25">
      <c r="A8169" s="1">
        <v>43698</v>
      </c>
      <c r="B8169">
        <v>123929</v>
      </c>
      <c r="C8169" t="s">
        <v>199</v>
      </c>
      <c r="D8169" t="s">
        <v>7117</v>
      </c>
      <c r="E8169" s="2">
        <v>312</v>
      </c>
    </row>
    <row r="8170" spans="1:5" x14ac:dyDescent="0.25">
      <c r="A8170" s="1">
        <v>43698</v>
      </c>
      <c r="B8170">
        <v>123929</v>
      </c>
      <c r="C8170" t="s">
        <v>199</v>
      </c>
      <c r="D8170" t="s">
        <v>7118</v>
      </c>
      <c r="E8170" s="2">
        <v>420</v>
      </c>
    </row>
    <row r="8171" spans="1:5" x14ac:dyDescent="0.25">
      <c r="A8171" s="1">
        <v>43698</v>
      </c>
      <c r="B8171">
        <v>123929</v>
      </c>
      <c r="C8171" t="s">
        <v>199</v>
      </c>
      <c r="D8171" t="s">
        <v>7421</v>
      </c>
      <c r="E8171" s="2">
        <v>858</v>
      </c>
    </row>
    <row r="8172" spans="1:5" x14ac:dyDescent="0.25">
      <c r="A8172" s="1">
        <v>43698</v>
      </c>
      <c r="B8172">
        <v>123930</v>
      </c>
      <c r="C8172" t="s">
        <v>365</v>
      </c>
      <c r="D8172" t="s">
        <v>7422</v>
      </c>
      <c r="E8172" s="2">
        <v>143.38</v>
      </c>
    </row>
    <row r="8173" spans="1:5" x14ac:dyDescent="0.25">
      <c r="A8173" s="1">
        <v>43698</v>
      </c>
      <c r="B8173">
        <v>123931</v>
      </c>
      <c r="C8173" t="s">
        <v>7119</v>
      </c>
      <c r="D8173" t="s">
        <v>7423</v>
      </c>
      <c r="E8173" s="2">
        <v>12750</v>
      </c>
    </row>
    <row r="8174" spans="1:5" x14ac:dyDescent="0.25">
      <c r="A8174" s="1">
        <v>43698</v>
      </c>
      <c r="B8174">
        <v>123932</v>
      </c>
      <c r="C8174" t="s">
        <v>44</v>
      </c>
      <c r="D8174" t="s">
        <v>7120</v>
      </c>
      <c r="E8174" s="2">
        <v>94.44</v>
      </c>
    </row>
    <row r="8175" spans="1:5" x14ac:dyDescent="0.25">
      <c r="A8175" s="1">
        <v>43698</v>
      </c>
      <c r="B8175">
        <v>123932</v>
      </c>
      <c r="C8175" t="s">
        <v>44</v>
      </c>
      <c r="D8175" t="s">
        <v>7121</v>
      </c>
      <c r="E8175" s="2">
        <v>164.42</v>
      </c>
    </row>
    <row r="8176" spans="1:5" x14ac:dyDescent="0.25">
      <c r="A8176" s="1">
        <v>43698</v>
      </c>
      <c r="B8176">
        <v>123933</v>
      </c>
      <c r="C8176" t="s">
        <v>5895</v>
      </c>
      <c r="D8176" t="s">
        <v>7122</v>
      </c>
      <c r="E8176" s="2">
        <v>30</v>
      </c>
    </row>
    <row r="8177" spans="1:5" x14ac:dyDescent="0.25">
      <c r="A8177" s="1">
        <v>43698</v>
      </c>
      <c r="B8177">
        <v>123934</v>
      </c>
      <c r="C8177" t="s">
        <v>5107</v>
      </c>
      <c r="D8177" t="s">
        <v>7424</v>
      </c>
      <c r="E8177" s="2">
        <v>150.6</v>
      </c>
    </row>
    <row r="8178" spans="1:5" x14ac:dyDescent="0.25">
      <c r="A8178" s="1">
        <v>43698</v>
      </c>
      <c r="B8178">
        <v>123935</v>
      </c>
      <c r="C8178" t="s">
        <v>7123</v>
      </c>
      <c r="D8178" t="s">
        <v>6362</v>
      </c>
      <c r="E8178" s="2">
        <v>40.58</v>
      </c>
    </row>
    <row r="8179" spans="1:5" x14ac:dyDescent="0.25">
      <c r="A8179" s="1">
        <v>43698</v>
      </c>
      <c r="B8179">
        <v>123936</v>
      </c>
      <c r="C8179" t="s">
        <v>74</v>
      </c>
      <c r="D8179" t="s">
        <v>7124</v>
      </c>
      <c r="E8179" s="2">
        <v>166.8</v>
      </c>
    </row>
    <row r="8180" spans="1:5" x14ac:dyDescent="0.25">
      <c r="A8180" s="1">
        <v>43698</v>
      </c>
      <c r="B8180">
        <v>123936</v>
      </c>
      <c r="C8180" t="s">
        <v>74</v>
      </c>
      <c r="D8180" t="s">
        <v>7125</v>
      </c>
      <c r="E8180" s="2">
        <v>747.5</v>
      </c>
    </row>
    <row r="8181" spans="1:5" x14ac:dyDescent="0.25">
      <c r="A8181" s="1">
        <v>43698</v>
      </c>
      <c r="B8181">
        <v>123936</v>
      </c>
      <c r="C8181" t="s">
        <v>74</v>
      </c>
      <c r="D8181" t="s">
        <v>3604</v>
      </c>
      <c r="E8181" s="2">
        <v>67.650000000000006</v>
      </c>
    </row>
    <row r="8182" spans="1:5" x14ac:dyDescent="0.25">
      <c r="A8182" s="1">
        <v>43698</v>
      </c>
      <c r="B8182">
        <v>123936</v>
      </c>
      <c r="C8182" t="s">
        <v>74</v>
      </c>
      <c r="D8182" t="s">
        <v>7425</v>
      </c>
      <c r="E8182" s="2">
        <v>2499.9899999999998</v>
      </c>
    </row>
    <row r="8183" spans="1:5" x14ac:dyDescent="0.25">
      <c r="A8183" s="1">
        <v>43698</v>
      </c>
      <c r="B8183">
        <v>123936</v>
      </c>
      <c r="C8183" t="s">
        <v>74</v>
      </c>
      <c r="D8183" t="s">
        <v>7426</v>
      </c>
      <c r="E8183" s="2">
        <f>167.37+652.69</f>
        <v>820.06000000000006</v>
      </c>
    </row>
    <row r="8184" spans="1:5" x14ac:dyDescent="0.25">
      <c r="A8184" s="1">
        <v>43698</v>
      </c>
      <c r="B8184">
        <v>123938</v>
      </c>
      <c r="C8184" t="s">
        <v>77</v>
      </c>
      <c r="D8184" t="s">
        <v>1769</v>
      </c>
      <c r="E8184" s="2">
        <v>62.49</v>
      </c>
    </row>
    <row r="8185" spans="1:5" x14ac:dyDescent="0.25">
      <c r="A8185" s="1">
        <v>43698</v>
      </c>
      <c r="B8185">
        <v>123939</v>
      </c>
      <c r="C8185" t="s">
        <v>14</v>
      </c>
      <c r="D8185" t="s">
        <v>7126</v>
      </c>
      <c r="E8185" s="2">
        <v>96.71</v>
      </c>
    </row>
    <row r="8186" spans="1:5" x14ac:dyDescent="0.25">
      <c r="A8186" s="1">
        <v>43698</v>
      </c>
      <c r="B8186">
        <v>123939</v>
      </c>
      <c r="C8186" t="s">
        <v>14</v>
      </c>
      <c r="D8186" t="s">
        <v>7127</v>
      </c>
      <c r="E8186" s="2">
        <v>1530.1</v>
      </c>
    </row>
    <row r="8187" spans="1:5" x14ac:dyDescent="0.25">
      <c r="A8187" s="1">
        <v>43698</v>
      </c>
      <c r="B8187">
        <v>123939</v>
      </c>
      <c r="C8187" t="s">
        <v>14</v>
      </c>
      <c r="D8187" t="s">
        <v>7427</v>
      </c>
      <c r="E8187" s="2">
        <v>188.5</v>
      </c>
    </row>
    <row r="8188" spans="1:5" x14ac:dyDescent="0.25">
      <c r="A8188" s="1">
        <v>43698</v>
      </c>
      <c r="B8188">
        <v>123940</v>
      </c>
      <c r="C8188" t="s">
        <v>7128</v>
      </c>
      <c r="D8188" t="s">
        <v>6362</v>
      </c>
      <c r="E8188" s="2">
        <f>40.58+40.58</f>
        <v>81.16</v>
      </c>
    </row>
    <row r="8189" spans="1:5" x14ac:dyDescent="0.25">
      <c r="A8189" s="1">
        <v>43698</v>
      </c>
      <c r="B8189">
        <v>123942</v>
      </c>
      <c r="C8189" t="s">
        <v>6931</v>
      </c>
      <c r="D8189" t="s">
        <v>7428</v>
      </c>
      <c r="E8189" s="2">
        <v>41.46</v>
      </c>
    </row>
    <row r="8190" spans="1:5" x14ac:dyDescent="0.25">
      <c r="A8190" s="1">
        <v>43698</v>
      </c>
      <c r="B8190">
        <v>123945</v>
      </c>
      <c r="C8190" t="s">
        <v>222</v>
      </c>
      <c r="D8190" t="s">
        <v>7129</v>
      </c>
      <c r="E8190" s="2">
        <v>92.58</v>
      </c>
    </row>
    <row r="8191" spans="1:5" x14ac:dyDescent="0.25">
      <c r="A8191" s="1">
        <v>43698</v>
      </c>
      <c r="B8191">
        <v>123945</v>
      </c>
      <c r="C8191" t="s">
        <v>222</v>
      </c>
      <c r="D8191" t="s">
        <v>7130</v>
      </c>
      <c r="E8191" s="2">
        <f>64+44.05+53.24</f>
        <v>161.29</v>
      </c>
    </row>
    <row r="8192" spans="1:5" x14ac:dyDescent="0.25">
      <c r="A8192" s="1">
        <v>43698</v>
      </c>
      <c r="B8192">
        <v>123945</v>
      </c>
      <c r="C8192" t="s">
        <v>222</v>
      </c>
      <c r="D8192" t="s">
        <v>7131</v>
      </c>
      <c r="E8192" s="2">
        <v>79.72</v>
      </c>
    </row>
    <row r="8193" spans="1:5" x14ac:dyDescent="0.25">
      <c r="A8193" s="1">
        <v>43698</v>
      </c>
      <c r="B8193">
        <v>123945</v>
      </c>
      <c r="C8193" t="s">
        <v>222</v>
      </c>
      <c r="D8193" t="s">
        <v>7132</v>
      </c>
      <c r="E8193" s="2">
        <v>303.13</v>
      </c>
    </row>
    <row r="8194" spans="1:5" x14ac:dyDescent="0.25">
      <c r="A8194" s="1">
        <v>43698</v>
      </c>
      <c r="B8194">
        <v>123945</v>
      </c>
      <c r="C8194" t="s">
        <v>222</v>
      </c>
      <c r="D8194" t="s">
        <v>7133</v>
      </c>
      <c r="E8194" s="2">
        <v>29.98</v>
      </c>
    </row>
    <row r="8195" spans="1:5" x14ac:dyDescent="0.25">
      <c r="A8195" s="1">
        <v>43698</v>
      </c>
      <c r="B8195">
        <v>123945</v>
      </c>
      <c r="C8195" t="s">
        <v>222</v>
      </c>
      <c r="D8195" t="s">
        <v>7327</v>
      </c>
      <c r="E8195" s="2">
        <v>236.1</v>
      </c>
    </row>
    <row r="8196" spans="1:5" x14ac:dyDescent="0.25">
      <c r="A8196" s="1">
        <v>43698</v>
      </c>
      <c r="B8196">
        <v>123945</v>
      </c>
      <c r="C8196" t="s">
        <v>222</v>
      </c>
      <c r="D8196" t="s">
        <v>7134</v>
      </c>
      <c r="E8196" s="2">
        <v>79.959999999999994</v>
      </c>
    </row>
    <row r="8197" spans="1:5" x14ac:dyDescent="0.25">
      <c r="A8197" s="1">
        <v>43698</v>
      </c>
      <c r="B8197">
        <v>123945</v>
      </c>
      <c r="C8197" t="s">
        <v>222</v>
      </c>
      <c r="D8197" t="s">
        <v>7135</v>
      </c>
      <c r="E8197" s="2">
        <v>244.54</v>
      </c>
    </row>
    <row r="8198" spans="1:5" x14ac:dyDescent="0.25">
      <c r="A8198" s="1">
        <v>43698</v>
      </c>
      <c r="B8198">
        <v>123945</v>
      </c>
      <c r="C8198" t="s">
        <v>222</v>
      </c>
      <c r="D8198" t="s">
        <v>7136</v>
      </c>
      <c r="E8198" s="2">
        <v>130.15</v>
      </c>
    </row>
    <row r="8199" spans="1:5" x14ac:dyDescent="0.25">
      <c r="A8199" s="1">
        <v>43698</v>
      </c>
      <c r="B8199">
        <v>123946</v>
      </c>
      <c r="C8199" t="s">
        <v>19</v>
      </c>
      <c r="D8199" t="s">
        <v>4288</v>
      </c>
      <c r="E8199" s="2">
        <v>840.25</v>
      </c>
    </row>
    <row r="8200" spans="1:5" x14ac:dyDescent="0.25">
      <c r="A8200" s="1">
        <v>43698</v>
      </c>
      <c r="B8200">
        <v>123946</v>
      </c>
      <c r="C8200" t="s">
        <v>19</v>
      </c>
      <c r="D8200" t="s">
        <v>7137</v>
      </c>
      <c r="E8200" s="2">
        <v>810</v>
      </c>
    </row>
    <row r="8201" spans="1:5" x14ac:dyDescent="0.25">
      <c r="A8201" s="1">
        <v>43698</v>
      </c>
      <c r="B8201">
        <v>123946</v>
      </c>
      <c r="C8201" t="s">
        <v>19</v>
      </c>
      <c r="D8201" t="s">
        <v>7138</v>
      </c>
      <c r="E8201" s="2">
        <v>887</v>
      </c>
    </row>
    <row r="8202" spans="1:5" x14ac:dyDescent="0.25">
      <c r="A8202" s="1">
        <v>43698</v>
      </c>
      <c r="B8202">
        <v>123946</v>
      </c>
      <c r="C8202" t="s">
        <v>19</v>
      </c>
      <c r="D8202" t="s">
        <v>7139</v>
      </c>
      <c r="E8202" s="2">
        <v>1175</v>
      </c>
    </row>
    <row r="8203" spans="1:5" x14ac:dyDescent="0.25">
      <c r="A8203" s="1">
        <v>43699</v>
      </c>
      <c r="B8203">
        <v>123948</v>
      </c>
      <c r="C8203" t="s">
        <v>654</v>
      </c>
      <c r="D8203" t="s">
        <v>7429</v>
      </c>
      <c r="E8203" s="2">
        <v>3291.1</v>
      </c>
    </row>
    <row r="8204" spans="1:5" x14ac:dyDescent="0.25">
      <c r="A8204" s="1">
        <v>43699</v>
      </c>
      <c r="B8204">
        <v>123949</v>
      </c>
      <c r="C8204" t="s">
        <v>189</v>
      </c>
      <c r="D8204" t="s">
        <v>7430</v>
      </c>
      <c r="E8204" s="2">
        <v>23.56</v>
      </c>
    </row>
    <row r="8205" spans="1:5" x14ac:dyDescent="0.25">
      <c r="A8205" s="1">
        <v>43699</v>
      </c>
      <c r="B8205">
        <v>123949</v>
      </c>
      <c r="C8205" t="s">
        <v>189</v>
      </c>
      <c r="D8205" t="s">
        <v>7431</v>
      </c>
      <c r="E8205" s="2">
        <v>299.93</v>
      </c>
    </row>
    <row r="8206" spans="1:5" x14ac:dyDescent="0.25">
      <c r="A8206" s="1">
        <v>43699</v>
      </c>
      <c r="B8206">
        <v>123949</v>
      </c>
      <c r="C8206" t="s">
        <v>189</v>
      </c>
      <c r="D8206" t="s">
        <v>7432</v>
      </c>
      <c r="E8206" s="2">
        <v>74.95</v>
      </c>
    </row>
    <row r="8207" spans="1:5" x14ac:dyDescent="0.25">
      <c r="A8207" s="1">
        <v>43699</v>
      </c>
      <c r="B8207">
        <v>123950</v>
      </c>
      <c r="C8207" t="s">
        <v>235</v>
      </c>
      <c r="D8207" t="s">
        <v>7433</v>
      </c>
      <c r="E8207" s="2">
        <v>7715.5</v>
      </c>
    </row>
    <row r="8208" spans="1:5" x14ac:dyDescent="0.25">
      <c r="A8208" s="1">
        <v>43699</v>
      </c>
      <c r="B8208">
        <v>123951</v>
      </c>
      <c r="C8208" t="s">
        <v>66</v>
      </c>
      <c r="D8208" t="s">
        <v>7140</v>
      </c>
      <c r="E8208" s="2">
        <v>259</v>
      </c>
    </row>
    <row r="8209" spans="1:5" x14ac:dyDescent="0.25">
      <c r="A8209" s="1">
        <v>43699</v>
      </c>
      <c r="B8209">
        <v>123952</v>
      </c>
      <c r="C8209" t="s">
        <v>22</v>
      </c>
      <c r="D8209" t="s">
        <v>5998</v>
      </c>
      <c r="E8209" s="2">
        <v>38.79</v>
      </c>
    </row>
    <row r="8210" spans="1:5" x14ac:dyDescent="0.25">
      <c r="A8210" s="1">
        <v>43699</v>
      </c>
      <c r="B8210">
        <v>123953</v>
      </c>
      <c r="C8210" t="s">
        <v>942</v>
      </c>
      <c r="D8210" t="s">
        <v>7434</v>
      </c>
      <c r="E8210" s="2">
        <v>198</v>
      </c>
    </row>
    <row r="8211" spans="1:5" x14ac:dyDescent="0.25">
      <c r="A8211" s="1">
        <v>43699</v>
      </c>
      <c r="B8211">
        <v>123954</v>
      </c>
      <c r="C8211" t="s">
        <v>67</v>
      </c>
      <c r="D8211" t="s">
        <v>7106</v>
      </c>
      <c r="E8211" s="2">
        <v>2268</v>
      </c>
    </row>
    <row r="8212" spans="1:5" x14ac:dyDescent="0.25">
      <c r="A8212" s="1">
        <v>43699</v>
      </c>
      <c r="B8212">
        <v>123954</v>
      </c>
      <c r="C8212" t="s">
        <v>67</v>
      </c>
      <c r="D8212" t="s">
        <v>7141</v>
      </c>
      <c r="E8212" s="2">
        <v>2356</v>
      </c>
    </row>
    <row r="8213" spans="1:5" x14ac:dyDescent="0.25">
      <c r="A8213" s="1">
        <v>43699</v>
      </c>
      <c r="B8213">
        <v>123955</v>
      </c>
      <c r="C8213" t="s">
        <v>662</v>
      </c>
      <c r="D8213" t="s">
        <v>7142</v>
      </c>
      <c r="E8213" s="2">
        <v>74.849999999999994</v>
      </c>
    </row>
    <row r="8214" spans="1:5" x14ac:dyDescent="0.25">
      <c r="A8214" s="1">
        <v>43699</v>
      </c>
      <c r="B8214">
        <v>123956</v>
      </c>
      <c r="C8214" t="s">
        <v>673</v>
      </c>
      <c r="D8214" t="s">
        <v>674</v>
      </c>
      <c r="E8214" s="2">
        <v>28.16</v>
      </c>
    </row>
    <row r="8215" spans="1:5" x14ac:dyDescent="0.25">
      <c r="A8215" s="1">
        <v>43699</v>
      </c>
      <c r="B8215">
        <v>123957</v>
      </c>
      <c r="C8215" t="s">
        <v>247</v>
      </c>
      <c r="D8215" t="s">
        <v>424</v>
      </c>
      <c r="E8215" s="2">
        <v>6093.73</v>
      </c>
    </row>
    <row r="8216" spans="1:5" x14ac:dyDescent="0.25">
      <c r="A8216" s="1">
        <v>43699</v>
      </c>
      <c r="B8216">
        <v>123960</v>
      </c>
      <c r="C8216" t="s">
        <v>4977</v>
      </c>
      <c r="D8216" t="s">
        <v>7143</v>
      </c>
      <c r="E8216" s="2">
        <v>105</v>
      </c>
    </row>
    <row r="8217" spans="1:5" x14ac:dyDescent="0.25">
      <c r="A8217" s="1">
        <v>43699</v>
      </c>
      <c r="B8217">
        <v>123961</v>
      </c>
      <c r="C8217" t="s">
        <v>597</v>
      </c>
      <c r="D8217" t="s">
        <v>598</v>
      </c>
      <c r="E8217" s="2">
        <v>0</v>
      </c>
    </row>
    <row r="8218" spans="1:5" x14ac:dyDescent="0.25">
      <c r="A8218" s="1">
        <v>43699</v>
      </c>
      <c r="B8218">
        <v>123962</v>
      </c>
      <c r="C8218" t="s">
        <v>6171</v>
      </c>
      <c r="D8218" t="s">
        <v>7435</v>
      </c>
      <c r="E8218" s="2">
        <v>500</v>
      </c>
    </row>
    <row r="8219" spans="1:5" x14ac:dyDescent="0.25">
      <c r="A8219" s="1">
        <v>43699</v>
      </c>
      <c r="B8219">
        <v>123963</v>
      </c>
      <c r="C8219" t="s">
        <v>7144</v>
      </c>
      <c r="D8219" t="s">
        <v>7145</v>
      </c>
      <c r="E8219" s="2">
        <f>885+90+225</f>
        <v>1200</v>
      </c>
    </row>
    <row r="8220" spans="1:5" x14ac:dyDescent="0.25">
      <c r="A8220" s="1">
        <v>43699</v>
      </c>
      <c r="B8220">
        <v>123964</v>
      </c>
      <c r="C8220" t="s">
        <v>681</v>
      </c>
      <c r="D8220" t="s">
        <v>6917</v>
      </c>
      <c r="E8220" s="2">
        <v>36.08</v>
      </c>
    </row>
    <row r="8221" spans="1:5" x14ac:dyDescent="0.25">
      <c r="A8221" s="1">
        <v>43699</v>
      </c>
      <c r="B8221">
        <v>123965</v>
      </c>
      <c r="C8221" t="s">
        <v>7146</v>
      </c>
      <c r="D8221" t="s">
        <v>7147</v>
      </c>
      <c r="E8221" s="2">
        <v>1834.14</v>
      </c>
    </row>
    <row r="8222" spans="1:5" x14ac:dyDescent="0.25">
      <c r="A8222" s="1">
        <v>43699</v>
      </c>
      <c r="B8222">
        <v>123966</v>
      </c>
      <c r="C8222" t="s">
        <v>7114</v>
      </c>
      <c r="D8222" t="s">
        <v>7148</v>
      </c>
      <c r="E8222" s="2">
        <v>45350</v>
      </c>
    </row>
    <row r="8223" spans="1:5" x14ac:dyDescent="0.25">
      <c r="A8223" s="1">
        <v>43699</v>
      </c>
      <c r="B8223">
        <v>123967</v>
      </c>
      <c r="C8223" t="s">
        <v>685</v>
      </c>
      <c r="D8223" t="s">
        <v>686</v>
      </c>
      <c r="E8223" s="2">
        <v>4614.22</v>
      </c>
    </row>
    <row r="8224" spans="1:5" x14ac:dyDescent="0.25">
      <c r="A8224" s="1">
        <v>43699</v>
      </c>
      <c r="B8224">
        <v>123968</v>
      </c>
      <c r="C8224" t="s">
        <v>2378</v>
      </c>
      <c r="D8224" t="s">
        <v>7436</v>
      </c>
      <c r="E8224" s="2">
        <v>378</v>
      </c>
    </row>
    <row r="8225" spans="1:5" x14ac:dyDescent="0.25">
      <c r="A8225" s="1">
        <v>43699</v>
      </c>
      <c r="B8225">
        <v>123972</v>
      </c>
      <c r="C8225" t="s">
        <v>114</v>
      </c>
      <c r="D8225" t="s">
        <v>7060</v>
      </c>
      <c r="E8225" s="2">
        <v>2080</v>
      </c>
    </row>
    <row r="8226" spans="1:5" x14ac:dyDescent="0.25">
      <c r="A8226" s="1">
        <v>43699</v>
      </c>
      <c r="B8226">
        <v>123976</v>
      </c>
      <c r="C8226" t="s">
        <v>1452</v>
      </c>
      <c r="D8226" t="s">
        <v>7149</v>
      </c>
      <c r="E8226" s="2">
        <v>161.63</v>
      </c>
    </row>
    <row r="8227" spans="1:5" x14ac:dyDescent="0.25">
      <c r="A8227" s="1">
        <v>43699</v>
      </c>
      <c r="B8227">
        <v>123976</v>
      </c>
      <c r="C8227" t="s">
        <v>1452</v>
      </c>
      <c r="D8227" t="s">
        <v>7150</v>
      </c>
      <c r="E8227" s="2">
        <v>44.87</v>
      </c>
    </row>
    <row r="8228" spans="1:5" x14ac:dyDescent="0.25">
      <c r="A8228" s="1">
        <v>43699</v>
      </c>
      <c r="B8228">
        <v>123976</v>
      </c>
      <c r="C8228" t="s">
        <v>1452</v>
      </c>
      <c r="D8228" t="s">
        <v>7151</v>
      </c>
      <c r="E8228" s="2">
        <v>555.51</v>
      </c>
    </row>
    <row r="8229" spans="1:5" x14ac:dyDescent="0.25">
      <c r="A8229" s="1">
        <v>43699</v>
      </c>
      <c r="B8229">
        <v>123976</v>
      </c>
      <c r="C8229" t="s">
        <v>1452</v>
      </c>
      <c r="D8229" t="s">
        <v>7152</v>
      </c>
      <c r="E8229" s="2">
        <v>157.08000000000001</v>
      </c>
    </row>
    <row r="8230" spans="1:5" x14ac:dyDescent="0.25">
      <c r="A8230" s="1">
        <v>43699</v>
      </c>
      <c r="B8230">
        <v>123976</v>
      </c>
      <c r="C8230" t="s">
        <v>1452</v>
      </c>
      <c r="D8230" t="s">
        <v>7153</v>
      </c>
      <c r="E8230" s="2">
        <v>1228.8</v>
      </c>
    </row>
    <row r="8231" spans="1:5" x14ac:dyDescent="0.25">
      <c r="A8231" s="1">
        <v>43699</v>
      </c>
      <c r="B8231">
        <v>123976</v>
      </c>
      <c r="C8231" t="s">
        <v>1452</v>
      </c>
      <c r="D8231" t="s">
        <v>7154</v>
      </c>
      <c r="E8231" s="2">
        <v>199.48</v>
      </c>
    </row>
    <row r="8232" spans="1:5" x14ac:dyDescent="0.25">
      <c r="A8232" s="1">
        <v>43699</v>
      </c>
      <c r="B8232">
        <v>123976</v>
      </c>
      <c r="C8232" t="s">
        <v>1452</v>
      </c>
      <c r="D8232" t="s">
        <v>7155</v>
      </c>
      <c r="E8232" s="2">
        <v>94.93</v>
      </c>
    </row>
    <row r="8233" spans="1:5" x14ac:dyDescent="0.25">
      <c r="A8233" s="1">
        <v>43699</v>
      </c>
      <c r="B8233">
        <v>123976</v>
      </c>
      <c r="C8233" t="s">
        <v>1452</v>
      </c>
      <c r="D8233" t="s">
        <v>7156</v>
      </c>
      <c r="E8233" s="2">
        <v>176.68</v>
      </c>
    </row>
    <row r="8234" spans="1:5" x14ac:dyDescent="0.25">
      <c r="A8234" s="1">
        <v>43699</v>
      </c>
      <c r="B8234">
        <v>123976</v>
      </c>
      <c r="C8234" t="s">
        <v>1452</v>
      </c>
      <c r="D8234" t="s">
        <v>7157</v>
      </c>
      <c r="E8234" s="2">
        <v>147.41999999999999</v>
      </c>
    </row>
    <row r="8235" spans="1:5" x14ac:dyDescent="0.25">
      <c r="A8235" s="1">
        <v>43699</v>
      </c>
      <c r="B8235">
        <v>123977</v>
      </c>
      <c r="C8235" t="s">
        <v>692</v>
      </c>
      <c r="D8235" t="s">
        <v>3124</v>
      </c>
      <c r="E8235" s="2">
        <v>80.22</v>
      </c>
    </row>
    <row r="8236" spans="1:5" x14ac:dyDescent="0.25">
      <c r="A8236" s="1">
        <v>43699</v>
      </c>
      <c r="B8236">
        <v>123978</v>
      </c>
      <c r="C8236" t="s">
        <v>694</v>
      </c>
      <c r="D8236" t="s">
        <v>7158</v>
      </c>
      <c r="E8236" s="2">
        <v>93.21</v>
      </c>
    </row>
    <row r="8237" spans="1:5" x14ac:dyDescent="0.25">
      <c r="A8237" s="1">
        <v>43699</v>
      </c>
      <c r="B8237">
        <v>123979</v>
      </c>
      <c r="C8237" t="s">
        <v>264</v>
      </c>
      <c r="D8237" t="s">
        <v>7159</v>
      </c>
      <c r="E8237" s="2">
        <v>297.19</v>
      </c>
    </row>
    <row r="8238" spans="1:5" x14ac:dyDescent="0.25">
      <c r="A8238" s="1">
        <v>43699</v>
      </c>
      <c r="B8238">
        <v>123979</v>
      </c>
      <c r="C8238" t="s">
        <v>264</v>
      </c>
      <c r="D8238" t="s">
        <v>6979</v>
      </c>
      <c r="E8238" s="2">
        <v>1144.8</v>
      </c>
    </row>
    <row r="8239" spans="1:5" x14ac:dyDescent="0.25">
      <c r="A8239" s="1">
        <v>43699</v>
      </c>
      <c r="B8239">
        <v>123980</v>
      </c>
      <c r="C8239" t="s">
        <v>2396</v>
      </c>
      <c r="D8239" t="s">
        <v>7437</v>
      </c>
      <c r="E8239" s="2">
        <v>642.5</v>
      </c>
    </row>
    <row r="8240" spans="1:5" x14ac:dyDescent="0.25">
      <c r="A8240" s="1">
        <v>43699</v>
      </c>
      <c r="B8240">
        <v>123981</v>
      </c>
      <c r="C8240" t="s">
        <v>269</v>
      </c>
      <c r="D8240" t="s">
        <v>4453</v>
      </c>
      <c r="E8240" s="2">
        <v>308.5</v>
      </c>
    </row>
    <row r="8241" spans="1:5" x14ac:dyDescent="0.25">
      <c r="A8241" s="1">
        <v>43699</v>
      </c>
      <c r="B8241">
        <v>123983</v>
      </c>
      <c r="C8241" t="s">
        <v>44</v>
      </c>
      <c r="D8241" t="s">
        <v>7160</v>
      </c>
      <c r="E8241" s="2">
        <v>648.89</v>
      </c>
    </row>
    <row r="8242" spans="1:5" x14ac:dyDescent="0.25">
      <c r="A8242" s="1">
        <v>43699</v>
      </c>
      <c r="B8242">
        <v>123984</v>
      </c>
      <c r="C8242" t="s">
        <v>7161</v>
      </c>
      <c r="D8242" t="s">
        <v>7162</v>
      </c>
      <c r="E8242" s="2">
        <v>25</v>
      </c>
    </row>
    <row r="8243" spans="1:5" x14ac:dyDescent="0.25">
      <c r="A8243" s="1">
        <v>43699</v>
      </c>
      <c r="B8243">
        <v>123985</v>
      </c>
      <c r="C8243" t="s">
        <v>7163</v>
      </c>
      <c r="D8243" t="s">
        <v>7164</v>
      </c>
      <c r="E8243" s="2">
        <v>1309.27</v>
      </c>
    </row>
    <row r="8244" spans="1:5" x14ac:dyDescent="0.25">
      <c r="A8244" s="1">
        <v>43699</v>
      </c>
      <c r="B8244">
        <v>123987</v>
      </c>
      <c r="C8244" t="s">
        <v>2406</v>
      </c>
      <c r="D8244" t="s">
        <v>7438</v>
      </c>
      <c r="E8244" s="2">
        <v>5000</v>
      </c>
    </row>
    <row r="8245" spans="1:5" x14ac:dyDescent="0.25">
      <c r="A8245" s="1">
        <v>43699</v>
      </c>
      <c r="B8245">
        <v>123988</v>
      </c>
      <c r="C8245" t="s">
        <v>7165</v>
      </c>
      <c r="D8245" t="s">
        <v>1262</v>
      </c>
      <c r="E8245" s="2">
        <v>6198</v>
      </c>
    </row>
    <row r="8246" spans="1:5" x14ac:dyDescent="0.25">
      <c r="A8246" s="1">
        <v>43699</v>
      </c>
      <c r="B8246">
        <v>123989</v>
      </c>
      <c r="C8246" t="s">
        <v>7166</v>
      </c>
      <c r="D8246" t="s">
        <v>7439</v>
      </c>
      <c r="E8246" s="2">
        <v>300</v>
      </c>
    </row>
    <row r="8247" spans="1:5" x14ac:dyDescent="0.25">
      <c r="A8247" s="1">
        <v>43699</v>
      </c>
      <c r="B8247">
        <v>123990</v>
      </c>
      <c r="C8247" t="s">
        <v>597</v>
      </c>
      <c r="D8247" t="s">
        <v>598</v>
      </c>
      <c r="E8247" s="2">
        <v>0</v>
      </c>
    </row>
    <row r="8248" spans="1:5" x14ac:dyDescent="0.25">
      <c r="A8248" s="1">
        <v>43699</v>
      </c>
      <c r="B8248">
        <v>123991</v>
      </c>
      <c r="C8248" t="s">
        <v>284</v>
      </c>
      <c r="D8248" t="s">
        <v>7440</v>
      </c>
      <c r="E8248" s="2">
        <v>243.65</v>
      </c>
    </row>
    <row r="8249" spans="1:5" x14ac:dyDescent="0.25">
      <c r="A8249" s="1">
        <v>43699</v>
      </c>
      <c r="B8249">
        <v>123992</v>
      </c>
      <c r="C8249" t="s">
        <v>205</v>
      </c>
      <c r="D8249" t="s">
        <v>481</v>
      </c>
      <c r="E8249" s="2">
        <v>204.47</v>
      </c>
    </row>
    <row r="8250" spans="1:5" x14ac:dyDescent="0.25">
      <c r="A8250" s="1">
        <v>43699</v>
      </c>
      <c r="B8250">
        <v>123993</v>
      </c>
      <c r="C8250" t="s">
        <v>1491</v>
      </c>
      <c r="D8250" t="s">
        <v>7168</v>
      </c>
      <c r="E8250" s="2">
        <v>1859</v>
      </c>
    </row>
    <row r="8251" spans="1:5" x14ac:dyDescent="0.25">
      <c r="A8251" s="1">
        <v>43699</v>
      </c>
      <c r="B8251">
        <v>123994</v>
      </c>
      <c r="C8251" t="s">
        <v>50</v>
      </c>
      <c r="D8251" t="s">
        <v>6927</v>
      </c>
      <c r="E8251" s="2">
        <v>3650</v>
      </c>
    </row>
    <row r="8252" spans="1:5" x14ac:dyDescent="0.25">
      <c r="A8252" s="1">
        <v>43699</v>
      </c>
      <c r="B8252">
        <v>123995</v>
      </c>
      <c r="C8252" t="s">
        <v>7169</v>
      </c>
      <c r="D8252" t="s">
        <v>7170</v>
      </c>
      <c r="E8252" s="2">
        <v>3745</v>
      </c>
    </row>
    <row r="8253" spans="1:5" x14ac:dyDescent="0.25">
      <c r="A8253" s="1">
        <v>43699</v>
      </c>
      <c r="B8253">
        <v>123996</v>
      </c>
      <c r="C8253" t="s">
        <v>14</v>
      </c>
      <c r="D8253" t="s">
        <v>7441</v>
      </c>
      <c r="E8253" s="2">
        <v>304</v>
      </c>
    </row>
    <row r="8254" spans="1:5" x14ac:dyDescent="0.25">
      <c r="A8254" s="1">
        <v>43699</v>
      </c>
      <c r="B8254">
        <v>123996</v>
      </c>
      <c r="C8254" t="s">
        <v>14</v>
      </c>
      <c r="D8254" t="s">
        <v>7442</v>
      </c>
      <c r="E8254" s="2">
        <v>500</v>
      </c>
    </row>
    <row r="8255" spans="1:5" x14ac:dyDescent="0.25">
      <c r="A8255" s="1">
        <v>43699</v>
      </c>
      <c r="B8255">
        <v>123996</v>
      </c>
      <c r="C8255" t="s">
        <v>14</v>
      </c>
      <c r="D8255" t="s">
        <v>7443</v>
      </c>
      <c r="E8255" s="2">
        <v>40</v>
      </c>
    </row>
    <row r="8256" spans="1:5" x14ac:dyDescent="0.25">
      <c r="A8256" s="1">
        <v>43699</v>
      </c>
      <c r="B8256">
        <v>123997</v>
      </c>
      <c r="C8256" t="s">
        <v>158</v>
      </c>
      <c r="D8256" t="s">
        <v>763</v>
      </c>
      <c r="E8256" s="2">
        <v>79.94</v>
      </c>
    </row>
    <row r="8257" spans="1:5" x14ac:dyDescent="0.25">
      <c r="A8257" s="1">
        <v>43699</v>
      </c>
      <c r="B8257">
        <v>123997</v>
      </c>
      <c r="C8257" t="s">
        <v>158</v>
      </c>
      <c r="D8257" t="s">
        <v>7444</v>
      </c>
      <c r="E8257" s="2">
        <v>126.02</v>
      </c>
    </row>
    <row r="8258" spans="1:5" x14ac:dyDescent="0.25">
      <c r="A8258" s="1">
        <v>43699</v>
      </c>
      <c r="B8258">
        <v>123998</v>
      </c>
      <c r="C8258" t="s">
        <v>3761</v>
      </c>
      <c r="D8258" t="s">
        <v>7445</v>
      </c>
      <c r="E8258" s="2">
        <v>591.57000000000005</v>
      </c>
    </row>
    <row r="8259" spans="1:5" x14ac:dyDescent="0.25">
      <c r="A8259" s="1">
        <v>43699</v>
      </c>
      <c r="B8259">
        <v>124001</v>
      </c>
      <c r="C8259" t="s">
        <v>597</v>
      </c>
      <c r="D8259" t="s">
        <v>598</v>
      </c>
      <c r="E8259" s="2">
        <v>0</v>
      </c>
    </row>
    <row r="8260" spans="1:5" x14ac:dyDescent="0.25">
      <c r="A8260" s="1">
        <v>43699</v>
      </c>
      <c r="B8260">
        <v>124002</v>
      </c>
      <c r="C8260" t="s">
        <v>318</v>
      </c>
      <c r="D8260" t="s">
        <v>5342</v>
      </c>
      <c r="E8260" s="2">
        <v>1149.4000000000001</v>
      </c>
    </row>
    <row r="8261" spans="1:5" x14ac:dyDescent="0.25">
      <c r="A8261" s="1">
        <v>43699</v>
      </c>
      <c r="B8261">
        <v>124003</v>
      </c>
      <c r="C8261" t="s">
        <v>166</v>
      </c>
      <c r="D8261" t="s">
        <v>7171</v>
      </c>
      <c r="E8261" s="2">
        <f>155+305</f>
        <v>460</v>
      </c>
    </row>
    <row r="8262" spans="1:5" x14ac:dyDescent="0.25">
      <c r="A8262" s="1">
        <v>43699</v>
      </c>
      <c r="B8262">
        <v>124004</v>
      </c>
      <c r="C8262" t="s">
        <v>323</v>
      </c>
      <c r="D8262" t="s">
        <v>7172</v>
      </c>
      <c r="E8262" s="2">
        <v>663</v>
      </c>
    </row>
    <row r="8263" spans="1:5" x14ac:dyDescent="0.25">
      <c r="A8263" s="1">
        <v>43699</v>
      </c>
      <c r="B8263">
        <v>124005</v>
      </c>
      <c r="C8263" t="s">
        <v>366</v>
      </c>
      <c r="D8263" t="s">
        <v>7173</v>
      </c>
      <c r="E8263" s="2">
        <v>200</v>
      </c>
    </row>
    <row r="8264" spans="1:5" x14ac:dyDescent="0.25">
      <c r="A8264" s="1">
        <v>43699</v>
      </c>
      <c r="B8264">
        <v>124006</v>
      </c>
      <c r="C8264" t="s">
        <v>1261</v>
      </c>
      <c r="D8264" t="s">
        <v>7174</v>
      </c>
      <c r="E8264" s="2">
        <v>42000</v>
      </c>
    </row>
    <row r="8265" spans="1:5" x14ac:dyDescent="0.25">
      <c r="A8265" s="1">
        <v>43699</v>
      </c>
      <c r="B8265">
        <v>124007</v>
      </c>
      <c r="C8265" t="s">
        <v>88</v>
      </c>
      <c r="D8265" t="s">
        <v>7175</v>
      </c>
      <c r="E8265" s="2">
        <v>980</v>
      </c>
    </row>
    <row r="8266" spans="1:5" x14ac:dyDescent="0.25">
      <c r="A8266" s="1">
        <v>43699</v>
      </c>
      <c r="B8266">
        <v>124008</v>
      </c>
      <c r="C8266" t="s">
        <v>7088</v>
      </c>
      <c r="D8266" t="s">
        <v>7446</v>
      </c>
      <c r="E8266" s="2">
        <v>2275</v>
      </c>
    </row>
    <row r="8267" spans="1:5" x14ac:dyDescent="0.25">
      <c r="A8267" s="1">
        <v>43699</v>
      </c>
      <c r="B8267">
        <v>124009</v>
      </c>
      <c r="C8267" t="s">
        <v>6328</v>
      </c>
      <c r="D8267" t="s">
        <v>7447</v>
      </c>
      <c r="E8267" s="2">
        <v>8550</v>
      </c>
    </row>
    <row r="8268" spans="1:5" x14ac:dyDescent="0.25">
      <c r="A8268" s="1">
        <v>43699</v>
      </c>
      <c r="B8268">
        <v>124013</v>
      </c>
      <c r="C8268" t="s">
        <v>222</v>
      </c>
      <c r="D8268" t="s">
        <v>7448</v>
      </c>
      <c r="E8268" s="2">
        <v>202.04</v>
      </c>
    </row>
    <row r="8269" spans="1:5" x14ac:dyDescent="0.25">
      <c r="A8269" s="1">
        <v>43699</v>
      </c>
      <c r="B8269">
        <v>124013</v>
      </c>
      <c r="C8269" t="s">
        <v>222</v>
      </c>
      <c r="D8269" t="s">
        <v>5447</v>
      </c>
      <c r="E8269" s="2">
        <v>198.16</v>
      </c>
    </row>
    <row r="8270" spans="1:5" x14ac:dyDescent="0.25">
      <c r="A8270" s="1">
        <v>43699</v>
      </c>
      <c r="B8270">
        <v>124013</v>
      </c>
      <c r="C8270" t="s">
        <v>222</v>
      </c>
      <c r="D8270" t="s">
        <v>7176</v>
      </c>
      <c r="E8270" s="2">
        <v>148.55000000000001</v>
      </c>
    </row>
    <row r="8271" spans="1:5" x14ac:dyDescent="0.25">
      <c r="A8271" s="1">
        <v>43699</v>
      </c>
      <c r="B8271">
        <v>124013</v>
      </c>
      <c r="C8271" t="s">
        <v>222</v>
      </c>
      <c r="D8271" t="s">
        <v>7449</v>
      </c>
      <c r="E8271" s="2">
        <v>72.45</v>
      </c>
    </row>
    <row r="8272" spans="1:5" x14ac:dyDescent="0.25">
      <c r="A8272" s="1">
        <v>43699</v>
      </c>
      <c r="B8272">
        <v>124013</v>
      </c>
      <c r="C8272" t="s">
        <v>222</v>
      </c>
      <c r="D8272" t="s">
        <v>7177</v>
      </c>
      <c r="E8272" s="2">
        <v>99.16</v>
      </c>
    </row>
    <row r="8273" spans="1:5" x14ac:dyDescent="0.25">
      <c r="A8273" s="1">
        <v>43699</v>
      </c>
      <c r="B8273">
        <v>124013</v>
      </c>
      <c r="C8273" t="s">
        <v>222</v>
      </c>
      <c r="D8273" t="s">
        <v>7178</v>
      </c>
      <c r="E8273" s="2">
        <v>100</v>
      </c>
    </row>
    <row r="8274" spans="1:5" x14ac:dyDescent="0.25">
      <c r="A8274" s="1">
        <v>43699</v>
      </c>
      <c r="B8274">
        <v>124013</v>
      </c>
      <c r="C8274" t="s">
        <v>222</v>
      </c>
      <c r="D8274" t="s">
        <v>7064</v>
      </c>
      <c r="E8274" s="2">
        <v>100</v>
      </c>
    </row>
    <row r="8275" spans="1:5" x14ac:dyDescent="0.25">
      <c r="A8275" s="1">
        <v>43699</v>
      </c>
      <c r="B8275">
        <v>124013</v>
      </c>
      <c r="C8275" t="s">
        <v>222</v>
      </c>
      <c r="D8275" t="s">
        <v>7179</v>
      </c>
      <c r="E8275" s="2">
        <v>86.42</v>
      </c>
    </row>
    <row r="8276" spans="1:5" x14ac:dyDescent="0.25">
      <c r="A8276" s="1">
        <v>43699</v>
      </c>
      <c r="B8276">
        <v>124013</v>
      </c>
      <c r="C8276" t="s">
        <v>222</v>
      </c>
      <c r="D8276" t="s">
        <v>7176</v>
      </c>
      <c r="E8276" s="2">
        <v>100</v>
      </c>
    </row>
    <row r="8277" spans="1:5" x14ac:dyDescent="0.25">
      <c r="A8277" s="1">
        <v>43699</v>
      </c>
      <c r="B8277">
        <v>124013</v>
      </c>
      <c r="C8277" t="s">
        <v>222</v>
      </c>
      <c r="D8277" t="s">
        <v>481</v>
      </c>
      <c r="E8277" s="2">
        <v>49.37</v>
      </c>
    </row>
    <row r="8278" spans="1:5" x14ac:dyDescent="0.25">
      <c r="A8278" s="1">
        <v>43699</v>
      </c>
      <c r="B8278">
        <v>124013</v>
      </c>
      <c r="C8278" t="s">
        <v>222</v>
      </c>
      <c r="D8278" t="s">
        <v>7180</v>
      </c>
      <c r="E8278" s="2">
        <v>278.69</v>
      </c>
    </row>
    <row r="8279" spans="1:5" x14ac:dyDescent="0.25">
      <c r="A8279" s="1">
        <v>43699</v>
      </c>
      <c r="B8279">
        <v>124013</v>
      </c>
      <c r="C8279" t="s">
        <v>222</v>
      </c>
      <c r="D8279" t="s">
        <v>7181</v>
      </c>
      <c r="E8279" s="2">
        <v>73.52</v>
      </c>
    </row>
    <row r="8280" spans="1:5" x14ac:dyDescent="0.25">
      <c r="A8280" s="1">
        <v>43699</v>
      </c>
      <c r="B8280">
        <v>124013</v>
      </c>
      <c r="C8280" t="s">
        <v>222</v>
      </c>
      <c r="D8280" t="s">
        <v>7182</v>
      </c>
      <c r="E8280" s="2">
        <v>239.27</v>
      </c>
    </row>
    <row r="8281" spans="1:5" x14ac:dyDescent="0.25">
      <c r="A8281" s="1">
        <v>43699</v>
      </c>
      <c r="B8281">
        <v>124018</v>
      </c>
      <c r="C8281" t="s">
        <v>388</v>
      </c>
      <c r="D8281" t="s">
        <v>7090</v>
      </c>
      <c r="E8281" s="2">
        <v>802.88</v>
      </c>
    </row>
    <row r="8282" spans="1:5" x14ac:dyDescent="0.25">
      <c r="A8282" s="1">
        <v>43699</v>
      </c>
      <c r="B8282">
        <v>124018</v>
      </c>
      <c r="C8282" t="s">
        <v>388</v>
      </c>
      <c r="D8282" t="s">
        <v>7183</v>
      </c>
      <c r="E8282" s="2">
        <v>14696.36</v>
      </c>
    </row>
    <row r="8283" spans="1:5" x14ac:dyDescent="0.25">
      <c r="A8283" s="1">
        <v>43699</v>
      </c>
      <c r="B8283">
        <v>124019</v>
      </c>
      <c r="C8283" t="s">
        <v>1290</v>
      </c>
      <c r="D8283" t="s">
        <v>7184</v>
      </c>
      <c r="E8283" s="2">
        <v>459</v>
      </c>
    </row>
    <row r="8284" spans="1:5" x14ac:dyDescent="0.25">
      <c r="A8284" s="1">
        <v>43699</v>
      </c>
      <c r="B8284">
        <v>124019</v>
      </c>
      <c r="C8284" t="s">
        <v>1290</v>
      </c>
      <c r="D8284" t="s">
        <v>7450</v>
      </c>
      <c r="E8284" s="2">
        <v>689.21</v>
      </c>
    </row>
    <row r="8285" spans="1:5" x14ac:dyDescent="0.25">
      <c r="A8285" s="1">
        <v>43699</v>
      </c>
      <c r="B8285">
        <v>124020</v>
      </c>
      <c r="C8285" t="s">
        <v>5705</v>
      </c>
      <c r="D8285" t="s">
        <v>7451</v>
      </c>
      <c r="E8285" s="2">
        <v>2069.2800000000002</v>
      </c>
    </row>
    <row r="8286" spans="1:5" x14ac:dyDescent="0.25">
      <c r="A8286" s="1">
        <v>43705</v>
      </c>
      <c r="B8286">
        <v>124021</v>
      </c>
      <c r="C8286" t="s">
        <v>64</v>
      </c>
      <c r="D8286" t="s">
        <v>7452</v>
      </c>
      <c r="E8286" s="2">
        <f>1460+3045</f>
        <v>4505</v>
      </c>
    </row>
    <row r="8287" spans="1:5" x14ac:dyDescent="0.25">
      <c r="A8287" s="1">
        <v>43705</v>
      </c>
      <c r="B8287">
        <v>124021</v>
      </c>
      <c r="C8287" t="s">
        <v>64</v>
      </c>
      <c r="D8287" t="s">
        <v>7453</v>
      </c>
      <c r="E8287" s="2">
        <f>592+533</f>
        <v>1125</v>
      </c>
    </row>
    <row r="8288" spans="1:5" x14ac:dyDescent="0.25">
      <c r="A8288" s="1">
        <v>43705</v>
      </c>
      <c r="B8288">
        <v>124022</v>
      </c>
      <c r="C8288" t="s">
        <v>7186</v>
      </c>
      <c r="D8288" t="s">
        <v>7187</v>
      </c>
      <c r="E8288" s="2">
        <v>50</v>
      </c>
    </row>
    <row r="8289" spans="1:6" x14ac:dyDescent="0.25">
      <c r="A8289" s="1">
        <v>43705</v>
      </c>
      <c r="B8289">
        <v>124023</v>
      </c>
      <c r="C8289" t="s">
        <v>67</v>
      </c>
      <c r="D8289" t="s">
        <v>7188</v>
      </c>
      <c r="E8289" s="2">
        <v>611.1</v>
      </c>
    </row>
    <row r="8290" spans="1:6" x14ac:dyDescent="0.25">
      <c r="A8290" s="1">
        <v>43705</v>
      </c>
      <c r="B8290">
        <v>124023</v>
      </c>
      <c r="C8290" t="s">
        <v>67</v>
      </c>
      <c r="D8290" t="s">
        <v>7189</v>
      </c>
      <c r="E8290" s="2">
        <v>775.93</v>
      </c>
    </row>
    <row r="8291" spans="1:6" x14ac:dyDescent="0.25">
      <c r="A8291" s="1">
        <v>43705</v>
      </c>
      <c r="B8291">
        <v>124024</v>
      </c>
      <c r="C8291" t="s">
        <v>7</v>
      </c>
      <c r="D8291" t="s">
        <v>7190</v>
      </c>
      <c r="E8291" s="2">
        <v>420</v>
      </c>
    </row>
    <row r="8292" spans="1:6" x14ac:dyDescent="0.25">
      <c r="A8292" s="1">
        <v>43705</v>
      </c>
      <c r="B8292">
        <v>124025</v>
      </c>
      <c r="C8292" t="s">
        <v>7</v>
      </c>
      <c r="D8292" t="s">
        <v>7454</v>
      </c>
      <c r="E8292" s="2">
        <v>68</v>
      </c>
    </row>
    <row r="8293" spans="1:6" x14ac:dyDescent="0.25">
      <c r="A8293" s="1">
        <v>43705</v>
      </c>
      <c r="B8293">
        <v>124026</v>
      </c>
      <c r="C8293" t="s">
        <v>197</v>
      </c>
      <c r="D8293" t="s">
        <v>7191</v>
      </c>
      <c r="E8293" s="2">
        <v>113.6</v>
      </c>
    </row>
    <row r="8294" spans="1:6" x14ac:dyDescent="0.25">
      <c r="A8294" s="1">
        <v>43705</v>
      </c>
      <c r="B8294">
        <v>124027</v>
      </c>
      <c r="C8294" t="s">
        <v>7144</v>
      </c>
      <c r="D8294" t="s">
        <v>7455</v>
      </c>
      <c r="E8294" s="2">
        <v>135</v>
      </c>
    </row>
    <row r="8295" spans="1:6" x14ac:dyDescent="0.25">
      <c r="A8295" s="1">
        <v>43705</v>
      </c>
      <c r="B8295">
        <v>124028</v>
      </c>
      <c r="C8295" t="s">
        <v>1177</v>
      </c>
      <c r="D8295" t="s">
        <v>7192</v>
      </c>
      <c r="E8295" s="2">
        <v>105</v>
      </c>
    </row>
    <row r="8296" spans="1:6" x14ac:dyDescent="0.25">
      <c r="A8296" s="1">
        <v>43705</v>
      </c>
      <c r="B8296">
        <v>124029</v>
      </c>
      <c r="C8296" t="s">
        <v>6120</v>
      </c>
      <c r="D8296" t="s">
        <v>7456</v>
      </c>
      <c r="E8296" s="2">
        <v>25</v>
      </c>
    </row>
    <row r="8297" spans="1:6" x14ac:dyDescent="0.25">
      <c r="A8297" s="1">
        <v>43705</v>
      </c>
      <c r="B8297">
        <v>124030</v>
      </c>
      <c r="C8297" t="s">
        <v>1094</v>
      </c>
      <c r="D8297" t="s">
        <v>2485</v>
      </c>
      <c r="E8297" s="2">
        <v>735</v>
      </c>
    </row>
    <row r="8298" spans="1:6" x14ac:dyDescent="0.25">
      <c r="A8298" s="1">
        <v>43705</v>
      </c>
      <c r="B8298">
        <v>124031</v>
      </c>
      <c r="C8298" t="s">
        <v>1941</v>
      </c>
      <c r="D8298" t="s">
        <v>7193</v>
      </c>
      <c r="E8298" s="2">
        <v>147.30000000000001</v>
      </c>
    </row>
    <row r="8299" spans="1:6" x14ac:dyDescent="0.25">
      <c r="A8299" s="1">
        <v>43705</v>
      </c>
      <c r="B8299">
        <v>124032</v>
      </c>
      <c r="C8299" t="s">
        <v>365</v>
      </c>
      <c r="D8299" t="s">
        <v>7194</v>
      </c>
      <c r="E8299" s="2">
        <f>74.62+4.6</f>
        <v>79.22</v>
      </c>
    </row>
    <row r="8300" spans="1:6" x14ac:dyDescent="0.25">
      <c r="A8300" s="1">
        <v>43705</v>
      </c>
      <c r="B8300">
        <v>124034</v>
      </c>
      <c r="C8300" t="s">
        <v>125</v>
      </c>
      <c r="D8300" t="s">
        <v>7195</v>
      </c>
      <c r="E8300" s="2">
        <v>66.98</v>
      </c>
    </row>
    <row r="8301" spans="1:6" x14ac:dyDescent="0.25">
      <c r="A8301" s="1">
        <v>43705</v>
      </c>
      <c r="B8301">
        <v>124034</v>
      </c>
      <c r="C8301" t="s">
        <v>125</v>
      </c>
      <c r="D8301" t="s">
        <v>7457</v>
      </c>
      <c r="E8301" s="2">
        <v>9.7100000000000009</v>
      </c>
    </row>
    <row r="8302" spans="1:6" x14ac:dyDescent="0.25">
      <c r="A8302" s="1">
        <v>43705</v>
      </c>
      <c r="B8302">
        <v>124034</v>
      </c>
      <c r="C8302" t="s">
        <v>125</v>
      </c>
      <c r="D8302" t="s">
        <v>7196</v>
      </c>
      <c r="E8302" s="2">
        <v>77.930000000000007</v>
      </c>
    </row>
    <row r="8303" spans="1:6" x14ac:dyDescent="0.25">
      <c r="A8303" s="1">
        <v>43705</v>
      </c>
      <c r="B8303">
        <v>124035</v>
      </c>
      <c r="C8303" t="s">
        <v>869</v>
      </c>
      <c r="D8303" t="s">
        <v>7197</v>
      </c>
      <c r="E8303" s="2">
        <v>56.94</v>
      </c>
      <c r="F8303" t="s">
        <v>7458</v>
      </c>
    </row>
    <row r="8304" spans="1:6" x14ac:dyDescent="0.25">
      <c r="A8304" s="1">
        <v>43705</v>
      </c>
      <c r="B8304">
        <v>124036</v>
      </c>
      <c r="C8304" t="s">
        <v>74</v>
      </c>
      <c r="D8304" t="s">
        <v>7198</v>
      </c>
      <c r="E8304" s="2">
        <v>358.8</v>
      </c>
    </row>
    <row r="8305" spans="1:5" x14ac:dyDescent="0.25">
      <c r="A8305" s="1">
        <v>43705</v>
      </c>
      <c r="B8305">
        <v>124036</v>
      </c>
      <c r="C8305" t="s">
        <v>74</v>
      </c>
      <c r="D8305" t="s">
        <v>7199</v>
      </c>
      <c r="E8305" s="2">
        <v>25.8</v>
      </c>
    </row>
    <row r="8306" spans="1:5" x14ac:dyDescent="0.25">
      <c r="A8306" s="1">
        <v>43705</v>
      </c>
      <c r="B8306">
        <v>124037</v>
      </c>
      <c r="C8306" t="s">
        <v>336</v>
      </c>
      <c r="D8306" t="s">
        <v>7200</v>
      </c>
      <c r="E8306" s="2">
        <v>12.26</v>
      </c>
    </row>
    <row r="8307" spans="1:5" x14ac:dyDescent="0.25">
      <c r="A8307" s="1">
        <v>43705</v>
      </c>
      <c r="B8307">
        <v>124037</v>
      </c>
      <c r="C8307" t="s">
        <v>336</v>
      </c>
      <c r="D8307" t="s">
        <v>7380</v>
      </c>
      <c r="E8307" s="2">
        <v>22.5</v>
      </c>
    </row>
    <row r="8308" spans="1:5" x14ac:dyDescent="0.25">
      <c r="A8308" s="1">
        <v>43705</v>
      </c>
      <c r="B8308">
        <v>124038</v>
      </c>
      <c r="C8308" t="s">
        <v>77</v>
      </c>
      <c r="D8308" t="s">
        <v>1948</v>
      </c>
      <c r="E8308" s="2">
        <v>35.97</v>
      </c>
    </row>
    <row r="8309" spans="1:5" x14ac:dyDescent="0.25">
      <c r="A8309" s="1">
        <v>43705</v>
      </c>
      <c r="B8309">
        <v>124041</v>
      </c>
      <c r="C8309" t="s">
        <v>631</v>
      </c>
      <c r="D8309" t="s">
        <v>7201</v>
      </c>
      <c r="E8309" s="2">
        <v>141.88</v>
      </c>
    </row>
    <row r="8310" spans="1:5" x14ac:dyDescent="0.25">
      <c r="A8310" s="1">
        <v>43705</v>
      </c>
      <c r="B8310">
        <v>124041</v>
      </c>
      <c r="C8310" t="s">
        <v>631</v>
      </c>
      <c r="D8310" t="s">
        <v>7130</v>
      </c>
      <c r="E8310" s="2">
        <v>134.13999999999999</v>
      </c>
    </row>
    <row r="8311" spans="1:5" x14ac:dyDescent="0.25">
      <c r="A8311" s="1">
        <v>43705</v>
      </c>
      <c r="B8311">
        <v>124041</v>
      </c>
      <c r="C8311" t="s">
        <v>631</v>
      </c>
      <c r="D8311" t="s">
        <v>7202</v>
      </c>
      <c r="E8311" s="2">
        <v>81.5</v>
      </c>
    </row>
    <row r="8312" spans="1:5" x14ac:dyDescent="0.25">
      <c r="A8312" s="1">
        <v>43705</v>
      </c>
      <c r="B8312">
        <v>124041</v>
      </c>
      <c r="C8312" t="s">
        <v>631</v>
      </c>
      <c r="D8312" t="s">
        <v>7459</v>
      </c>
      <c r="E8312" s="2">
        <v>94.08</v>
      </c>
    </row>
    <row r="8313" spans="1:5" x14ac:dyDescent="0.25">
      <c r="A8313" s="1">
        <v>43705</v>
      </c>
      <c r="B8313">
        <v>124041</v>
      </c>
      <c r="C8313" t="s">
        <v>631</v>
      </c>
      <c r="D8313" t="s">
        <v>7460</v>
      </c>
      <c r="E8313" s="2">
        <v>161.22999999999999</v>
      </c>
    </row>
    <row r="8314" spans="1:5" x14ac:dyDescent="0.25">
      <c r="A8314" s="1">
        <v>43705</v>
      </c>
      <c r="B8314">
        <v>124041</v>
      </c>
      <c r="C8314" t="s">
        <v>631</v>
      </c>
      <c r="D8314" t="s">
        <v>481</v>
      </c>
      <c r="E8314" s="2">
        <v>484.62</v>
      </c>
    </row>
    <row r="8315" spans="1:5" x14ac:dyDescent="0.25">
      <c r="A8315" s="1">
        <v>43705</v>
      </c>
      <c r="B8315">
        <v>124041</v>
      </c>
      <c r="C8315" t="s">
        <v>631</v>
      </c>
      <c r="D8315" t="s">
        <v>7461</v>
      </c>
      <c r="E8315" s="2">
        <v>397.79</v>
      </c>
    </row>
    <row r="8316" spans="1:5" x14ac:dyDescent="0.25">
      <c r="A8316" s="1">
        <v>43705</v>
      </c>
      <c r="B8316">
        <v>124041</v>
      </c>
      <c r="C8316" t="s">
        <v>631</v>
      </c>
      <c r="D8316" t="s">
        <v>7203</v>
      </c>
      <c r="E8316" s="2">
        <v>391.23</v>
      </c>
    </row>
    <row r="8317" spans="1:5" x14ac:dyDescent="0.25">
      <c r="A8317" s="1">
        <v>43705</v>
      </c>
      <c r="B8317">
        <v>124041</v>
      </c>
      <c r="C8317" t="s">
        <v>631</v>
      </c>
      <c r="D8317" t="s">
        <v>7462</v>
      </c>
      <c r="E8317" s="2">
        <v>499.57</v>
      </c>
    </row>
    <row r="8318" spans="1:5" x14ac:dyDescent="0.25">
      <c r="A8318" s="1">
        <v>43705</v>
      </c>
      <c r="B8318">
        <v>124041</v>
      </c>
      <c r="C8318" t="s">
        <v>631</v>
      </c>
      <c r="D8318" t="s">
        <v>7463</v>
      </c>
      <c r="E8318" s="2">
        <v>190.58</v>
      </c>
    </row>
    <row r="8319" spans="1:5" x14ac:dyDescent="0.25">
      <c r="A8319" s="1">
        <v>43705</v>
      </c>
      <c r="B8319">
        <v>124041</v>
      </c>
      <c r="C8319" t="s">
        <v>631</v>
      </c>
      <c r="D8319" t="s">
        <v>7204</v>
      </c>
      <c r="E8319" s="2">
        <v>307.76</v>
      </c>
    </row>
    <row r="8320" spans="1:5" x14ac:dyDescent="0.25">
      <c r="A8320" s="1">
        <v>43705</v>
      </c>
      <c r="B8320">
        <v>124041</v>
      </c>
      <c r="C8320" t="s">
        <v>631</v>
      </c>
      <c r="D8320" t="s">
        <v>7205</v>
      </c>
      <c r="E8320" s="2">
        <v>73.88</v>
      </c>
    </row>
    <row r="8321" spans="1:5" x14ac:dyDescent="0.25">
      <c r="A8321" s="1">
        <v>43705</v>
      </c>
      <c r="B8321">
        <v>124042</v>
      </c>
      <c r="C8321" t="s">
        <v>760</v>
      </c>
      <c r="D8321" t="s">
        <v>3604</v>
      </c>
      <c r="E8321" s="2">
        <v>49.42</v>
      </c>
    </row>
    <row r="8322" spans="1:5" x14ac:dyDescent="0.25">
      <c r="A8322" s="1">
        <v>43705</v>
      </c>
      <c r="B8322">
        <v>124043</v>
      </c>
      <c r="C8322" t="s">
        <v>7051</v>
      </c>
      <c r="D8322" t="s">
        <v>7052</v>
      </c>
      <c r="E8322" s="2">
        <v>676</v>
      </c>
    </row>
    <row r="8323" spans="1:5" x14ac:dyDescent="0.25">
      <c r="A8323" s="1">
        <v>43705</v>
      </c>
      <c r="B8323">
        <v>124044</v>
      </c>
      <c r="C8323" t="s">
        <v>5788</v>
      </c>
      <c r="D8323" t="s">
        <v>7206</v>
      </c>
      <c r="E8323" s="2">
        <v>225</v>
      </c>
    </row>
    <row r="8324" spans="1:5" x14ac:dyDescent="0.25">
      <c r="A8324" s="1">
        <v>43705</v>
      </c>
      <c r="B8324">
        <v>124045</v>
      </c>
      <c r="C8324" t="s">
        <v>5069</v>
      </c>
      <c r="D8324" t="s">
        <v>7207</v>
      </c>
      <c r="E8324" s="2">
        <v>675.6</v>
      </c>
    </row>
    <row r="8325" spans="1:5" x14ac:dyDescent="0.25">
      <c r="A8325" s="1">
        <v>43705</v>
      </c>
      <c r="B8325">
        <v>124046</v>
      </c>
      <c r="C8325" t="s">
        <v>19</v>
      </c>
      <c r="D8325" t="s">
        <v>7208</v>
      </c>
      <c r="E8325" s="2">
        <v>782.75</v>
      </c>
    </row>
    <row r="8326" spans="1:5" x14ac:dyDescent="0.25">
      <c r="A8326" s="1">
        <v>43706</v>
      </c>
      <c r="B8326">
        <v>124047</v>
      </c>
      <c r="C8326" t="s">
        <v>6546</v>
      </c>
      <c r="D8326" t="s">
        <v>7209</v>
      </c>
      <c r="E8326" s="2">
        <f>6944.3+6391.44</f>
        <v>13335.74</v>
      </c>
    </row>
    <row r="8327" spans="1:5" x14ac:dyDescent="0.25">
      <c r="A8327" s="1">
        <v>43706</v>
      </c>
      <c r="B8327">
        <v>124048</v>
      </c>
      <c r="C8327" t="s">
        <v>1143</v>
      </c>
      <c r="D8327" t="s">
        <v>7210</v>
      </c>
      <c r="E8327" s="2">
        <f>717+717</f>
        <v>1434</v>
      </c>
    </row>
    <row r="8328" spans="1:5" x14ac:dyDescent="0.25">
      <c r="A8328" s="1">
        <v>43706</v>
      </c>
      <c r="B8328">
        <v>124049</v>
      </c>
      <c r="C8328" t="s">
        <v>226</v>
      </c>
      <c r="D8328" t="s">
        <v>7464</v>
      </c>
      <c r="E8328" s="2">
        <v>645.83000000000004</v>
      </c>
    </row>
    <row r="8329" spans="1:5" x14ac:dyDescent="0.25">
      <c r="A8329" s="1">
        <v>43706</v>
      </c>
      <c r="B8329">
        <v>124049</v>
      </c>
      <c r="C8329" t="s">
        <v>226</v>
      </c>
      <c r="D8329" t="s">
        <v>7465</v>
      </c>
      <c r="E8329" s="2">
        <v>108.26</v>
      </c>
    </row>
    <row r="8330" spans="1:5" x14ac:dyDescent="0.25">
      <c r="A8330" s="1">
        <v>43706</v>
      </c>
      <c r="B8330">
        <v>124050</v>
      </c>
      <c r="C8330" t="s">
        <v>238</v>
      </c>
      <c r="D8330" t="s">
        <v>437</v>
      </c>
      <c r="E8330" s="2">
        <v>51.28</v>
      </c>
    </row>
    <row r="8331" spans="1:5" x14ac:dyDescent="0.25">
      <c r="A8331" s="1">
        <v>43706</v>
      </c>
      <c r="B8331">
        <v>124051</v>
      </c>
      <c r="C8331" t="s">
        <v>3994</v>
      </c>
      <c r="D8331" t="s">
        <v>7211</v>
      </c>
      <c r="E8331" s="2">
        <v>4514</v>
      </c>
    </row>
    <row r="8332" spans="1:5" x14ac:dyDescent="0.25">
      <c r="A8332" s="1">
        <v>43706</v>
      </c>
      <c r="B8332">
        <v>124052</v>
      </c>
      <c r="C8332" t="s">
        <v>3100</v>
      </c>
      <c r="D8332" t="s">
        <v>7466</v>
      </c>
      <c r="E8332" s="2">
        <v>565.91999999999996</v>
      </c>
    </row>
    <row r="8333" spans="1:5" x14ac:dyDescent="0.25">
      <c r="A8333" s="1">
        <v>43706</v>
      </c>
      <c r="B8333">
        <v>124053</v>
      </c>
      <c r="C8333" t="s">
        <v>1638</v>
      </c>
      <c r="D8333" t="s">
        <v>270</v>
      </c>
      <c r="E8333" s="2">
        <v>23550</v>
      </c>
    </row>
    <row r="8334" spans="1:5" x14ac:dyDescent="0.25">
      <c r="A8334" s="1">
        <v>43706</v>
      </c>
      <c r="B8334">
        <v>124054</v>
      </c>
      <c r="C8334" t="s">
        <v>999</v>
      </c>
      <c r="D8334" t="s">
        <v>7467</v>
      </c>
      <c r="E8334" s="2">
        <v>2265.7800000000002</v>
      </c>
    </row>
    <row r="8335" spans="1:5" x14ac:dyDescent="0.25">
      <c r="A8335" s="1">
        <v>43706</v>
      </c>
      <c r="B8335">
        <v>124055</v>
      </c>
      <c r="C8335" t="s">
        <v>597</v>
      </c>
      <c r="D8335" t="s">
        <v>598</v>
      </c>
      <c r="E8335" s="2">
        <v>0</v>
      </c>
    </row>
    <row r="8336" spans="1:5" x14ac:dyDescent="0.25">
      <c r="A8336" s="1">
        <v>43706</v>
      </c>
      <c r="B8336">
        <v>124056</v>
      </c>
      <c r="C8336" t="s">
        <v>662</v>
      </c>
      <c r="D8336" t="s">
        <v>7212</v>
      </c>
      <c r="E8336" s="2">
        <v>57.07</v>
      </c>
    </row>
    <row r="8337" spans="1:5" x14ac:dyDescent="0.25">
      <c r="A8337" s="1">
        <v>43706</v>
      </c>
      <c r="B8337">
        <v>124057</v>
      </c>
      <c r="C8337" t="s">
        <v>2893</v>
      </c>
      <c r="D8337" t="s">
        <v>7468</v>
      </c>
      <c r="E8337" s="2">
        <v>12691.96</v>
      </c>
    </row>
    <row r="8338" spans="1:5" x14ac:dyDescent="0.25">
      <c r="A8338" s="1">
        <v>43706</v>
      </c>
      <c r="B8338">
        <v>124058</v>
      </c>
      <c r="C8338" t="s">
        <v>247</v>
      </c>
      <c r="D8338" t="s">
        <v>453</v>
      </c>
      <c r="E8338" s="2">
        <v>11171.43</v>
      </c>
    </row>
    <row r="8339" spans="1:5" x14ac:dyDescent="0.25">
      <c r="A8339" s="1">
        <v>43706</v>
      </c>
      <c r="B8339">
        <v>124059</v>
      </c>
      <c r="C8339" t="s">
        <v>4977</v>
      </c>
      <c r="D8339" t="s">
        <v>7213</v>
      </c>
      <c r="E8339" s="2">
        <v>40</v>
      </c>
    </row>
    <row r="8340" spans="1:5" x14ac:dyDescent="0.25">
      <c r="A8340" s="1">
        <v>43706</v>
      </c>
      <c r="B8340">
        <v>124060</v>
      </c>
      <c r="C8340" t="s">
        <v>2276</v>
      </c>
      <c r="D8340" t="s">
        <v>6009</v>
      </c>
      <c r="E8340" s="2">
        <v>300</v>
      </c>
    </row>
    <row r="8341" spans="1:5" x14ac:dyDescent="0.25">
      <c r="A8341" s="1">
        <v>43706</v>
      </c>
      <c r="B8341">
        <v>124061</v>
      </c>
      <c r="C8341" t="s">
        <v>3704</v>
      </c>
      <c r="D8341" t="s">
        <v>5038</v>
      </c>
      <c r="E8341" s="2">
        <v>2.5</v>
      </c>
    </row>
    <row r="8342" spans="1:5" x14ac:dyDescent="0.25">
      <c r="A8342" s="1">
        <v>43706</v>
      </c>
      <c r="B8342">
        <v>124062</v>
      </c>
      <c r="C8342" t="s">
        <v>352</v>
      </c>
      <c r="D8342" t="s">
        <v>7214</v>
      </c>
      <c r="E8342" s="2">
        <v>14742</v>
      </c>
    </row>
    <row r="8343" spans="1:5" x14ac:dyDescent="0.25">
      <c r="A8343" s="1">
        <v>43706</v>
      </c>
      <c r="B8343">
        <v>124063</v>
      </c>
      <c r="C8343" t="s">
        <v>2550</v>
      </c>
      <c r="D8343" t="s">
        <v>7469</v>
      </c>
      <c r="E8343" s="2">
        <v>2500</v>
      </c>
    </row>
    <row r="8344" spans="1:5" x14ac:dyDescent="0.25">
      <c r="A8344" s="1">
        <v>43706</v>
      </c>
      <c r="B8344">
        <v>124064</v>
      </c>
      <c r="C8344" t="s">
        <v>114</v>
      </c>
      <c r="D8344" t="s">
        <v>7470</v>
      </c>
      <c r="E8344" s="2">
        <v>600</v>
      </c>
    </row>
    <row r="8345" spans="1:5" x14ac:dyDescent="0.25">
      <c r="A8345" s="1">
        <v>43706</v>
      </c>
      <c r="B8345">
        <v>124064</v>
      </c>
      <c r="C8345" t="s">
        <v>114</v>
      </c>
      <c r="D8345" t="s">
        <v>7060</v>
      </c>
      <c r="E8345" s="2">
        <v>130</v>
      </c>
    </row>
    <row r="8346" spans="1:5" x14ac:dyDescent="0.25">
      <c r="A8346" s="1">
        <v>43706</v>
      </c>
      <c r="B8346">
        <v>124065</v>
      </c>
      <c r="C8346" t="s">
        <v>256</v>
      </c>
      <c r="D8346" t="s">
        <v>7215</v>
      </c>
      <c r="E8346" s="2">
        <v>6101.98</v>
      </c>
    </row>
    <row r="8347" spans="1:5" x14ac:dyDescent="0.25">
      <c r="A8347" s="1">
        <v>43706</v>
      </c>
      <c r="B8347">
        <v>124066</v>
      </c>
      <c r="C8347" t="s">
        <v>4779</v>
      </c>
      <c r="D8347" t="s">
        <v>7216</v>
      </c>
      <c r="E8347" s="2">
        <v>2070.9</v>
      </c>
    </row>
    <row r="8348" spans="1:5" x14ac:dyDescent="0.25">
      <c r="A8348" s="1">
        <v>43706</v>
      </c>
      <c r="B8348">
        <v>124067</v>
      </c>
      <c r="C8348" t="s">
        <v>264</v>
      </c>
      <c r="D8348" t="s">
        <v>7217</v>
      </c>
      <c r="E8348" s="2">
        <v>68.59</v>
      </c>
    </row>
    <row r="8349" spans="1:5" x14ac:dyDescent="0.25">
      <c r="A8349" s="1">
        <v>43706</v>
      </c>
      <c r="B8349">
        <v>124075</v>
      </c>
      <c r="C8349" t="s">
        <v>125</v>
      </c>
      <c r="D8349" t="s">
        <v>7471</v>
      </c>
      <c r="E8349" s="2">
        <v>58.04</v>
      </c>
    </row>
    <row r="8350" spans="1:5" x14ac:dyDescent="0.25">
      <c r="A8350" s="1">
        <v>43706</v>
      </c>
      <c r="B8350">
        <v>124075</v>
      </c>
      <c r="C8350" t="s">
        <v>125</v>
      </c>
      <c r="D8350" t="s">
        <v>481</v>
      </c>
      <c r="E8350" s="2">
        <v>295.14999999999998</v>
      </c>
    </row>
    <row r="8351" spans="1:5" x14ac:dyDescent="0.25">
      <c r="A8351" s="1">
        <v>43706</v>
      </c>
      <c r="B8351">
        <v>124075</v>
      </c>
      <c r="C8351" t="s">
        <v>125</v>
      </c>
      <c r="D8351" t="s">
        <v>7471</v>
      </c>
      <c r="E8351" s="2">
        <f>437.35+25.94</f>
        <v>463.29</v>
      </c>
    </row>
    <row r="8352" spans="1:5" x14ac:dyDescent="0.25">
      <c r="A8352" s="1">
        <v>43706</v>
      </c>
      <c r="B8352">
        <v>124075</v>
      </c>
      <c r="C8352" t="s">
        <v>125</v>
      </c>
      <c r="D8352" t="s">
        <v>7472</v>
      </c>
      <c r="E8352" s="2">
        <v>170.14</v>
      </c>
    </row>
    <row r="8353" spans="1:5" x14ac:dyDescent="0.25">
      <c r="A8353" s="1">
        <v>43706</v>
      </c>
      <c r="B8353">
        <v>124075</v>
      </c>
      <c r="C8353" t="s">
        <v>125</v>
      </c>
      <c r="D8353" t="s">
        <v>7389</v>
      </c>
      <c r="E8353" s="2">
        <v>1972.09</v>
      </c>
    </row>
    <row r="8354" spans="1:5" x14ac:dyDescent="0.25">
      <c r="A8354" s="1">
        <v>43706</v>
      </c>
      <c r="B8354">
        <v>124075</v>
      </c>
      <c r="C8354" t="s">
        <v>125</v>
      </c>
      <c r="D8354" t="s">
        <v>7473</v>
      </c>
      <c r="E8354" s="2">
        <v>87.89</v>
      </c>
    </row>
    <row r="8355" spans="1:5" x14ac:dyDescent="0.25">
      <c r="A8355" s="1">
        <v>43706</v>
      </c>
      <c r="B8355">
        <v>124075</v>
      </c>
      <c r="C8355" t="s">
        <v>125</v>
      </c>
      <c r="D8355" t="s">
        <v>7445</v>
      </c>
      <c r="E8355" s="2">
        <v>80.73</v>
      </c>
    </row>
    <row r="8356" spans="1:5" x14ac:dyDescent="0.25">
      <c r="A8356" s="1">
        <v>43706</v>
      </c>
      <c r="B8356">
        <v>124075</v>
      </c>
      <c r="C8356" t="s">
        <v>125</v>
      </c>
      <c r="D8356" t="s">
        <v>481</v>
      </c>
      <c r="E8356" s="2">
        <v>387.58</v>
      </c>
    </row>
    <row r="8357" spans="1:5" x14ac:dyDescent="0.25">
      <c r="A8357" s="1">
        <v>43706</v>
      </c>
      <c r="B8357">
        <v>124075</v>
      </c>
      <c r="C8357" t="s">
        <v>125</v>
      </c>
      <c r="D8357" t="s">
        <v>416</v>
      </c>
      <c r="E8357" s="3">
        <v>-12.97</v>
      </c>
    </row>
    <row r="8358" spans="1:5" x14ac:dyDescent="0.25">
      <c r="A8358" s="1">
        <v>43706</v>
      </c>
      <c r="B8358">
        <v>124075</v>
      </c>
      <c r="C8358" t="s">
        <v>125</v>
      </c>
      <c r="D8358" t="s">
        <v>416</v>
      </c>
      <c r="E8358" s="3">
        <v>-427.82</v>
      </c>
    </row>
    <row r="8359" spans="1:5" x14ac:dyDescent="0.25">
      <c r="A8359" s="1">
        <v>43706</v>
      </c>
      <c r="B8359">
        <v>124075</v>
      </c>
      <c r="C8359" t="s">
        <v>125</v>
      </c>
      <c r="D8359" t="s">
        <v>416</v>
      </c>
      <c r="E8359" s="3">
        <v>-81.67</v>
      </c>
    </row>
    <row r="8360" spans="1:5" x14ac:dyDescent="0.25">
      <c r="A8360" s="1">
        <v>43706</v>
      </c>
      <c r="B8360">
        <v>124075</v>
      </c>
      <c r="C8360" t="s">
        <v>125</v>
      </c>
      <c r="D8360" t="s">
        <v>7471</v>
      </c>
      <c r="E8360" s="2">
        <v>40.020000000000003</v>
      </c>
    </row>
    <row r="8361" spans="1:5" x14ac:dyDescent="0.25">
      <c r="A8361" s="1">
        <v>43706</v>
      </c>
      <c r="B8361">
        <v>124075</v>
      </c>
      <c r="C8361" t="s">
        <v>125</v>
      </c>
      <c r="D8361" t="s">
        <v>7474</v>
      </c>
      <c r="E8361" s="2">
        <v>25.81</v>
      </c>
    </row>
    <row r="8362" spans="1:5" x14ac:dyDescent="0.25">
      <c r="A8362" s="1">
        <v>43706</v>
      </c>
      <c r="B8362">
        <v>124076</v>
      </c>
      <c r="C8362" t="s">
        <v>2396</v>
      </c>
      <c r="D8362" t="s">
        <v>7218</v>
      </c>
      <c r="E8362" s="2">
        <v>790.2</v>
      </c>
    </row>
    <row r="8363" spans="1:5" x14ac:dyDescent="0.25">
      <c r="A8363" s="1">
        <v>43706</v>
      </c>
      <c r="B8363">
        <v>124077</v>
      </c>
      <c r="C8363" t="s">
        <v>44</v>
      </c>
      <c r="D8363" t="s">
        <v>7475</v>
      </c>
      <c r="E8363" s="2">
        <v>299.73</v>
      </c>
    </row>
    <row r="8364" spans="1:5" x14ac:dyDescent="0.25">
      <c r="A8364" s="1">
        <v>43706</v>
      </c>
      <c r="B8364">
        <v>124080</v>
      </c>
      <c r="C8364" t="s">
        <v>869</v>
      </c>
      <c r="D8364" t="s">
        <v>7476</v>
      </c>
      <c r="E8364" s="2">
        <v>157.62</v>
      </c>
    </row>
    <row r="8365" spans="1:5" x14ac:dyDescent="0.25">
      <c r="A8365" s="1">
        <v>43706</v>
      </c>
      <c r="B8365">
        <v>124080</v>
      </c>
      <c r="C8365" t="s">
        <v>869</v>
      </c>
      <c r="D8365" t="s">
        <v>7219</v>
      </c>
      <c r="E8365" s="2">
        <v>1139.05</v>
      </c>
    </row>
    <row r="8366" spans="1:5" x14ac:dyDescent="0.25">
      <c r="A8366" s="1">
        <v>43706</v>
      </c>
      <c r="B8366">
        <v>124080</v>
      </c>
      <c r="C8366" t="s">
        <v>869</v>
      </c>
      <c r="D8366" t="s">
        <v>7477</v>
      </c>
      <c r="E8366" s="2">
        <v>3406.57</v>
      </c>
    </row>
    <row r="8367" spans="1:5" x14ac:dyDescent="0.25">
      <c r="A8367" s="1">
        <v>43706</v>
      </c>
      <c r="B8367">
        <v>124080</v>
      </c>
      <c r="C8367" t="s">
        <v>869</v>
      </c>
      <c r="D8367" t="s">
        <v>7478</v>
      </c>
      <c r="E8367" s="2">
        <v>202.42</v>
      </c>
    </row>
    <row r="8368" spans="1:5" x14ac:dyDescent="0.25">
      <c r="A8368" s="1">
        <v>43706</v>
      </c>
      <c r="B8368">
        <v>124080</v>
      </c>
      <c r="C8368" t="s">
        <v>869</v>
      </c>
      <c r="D8368" t="s">
        <v>7385</v>
      </c>
      <c r="E8368" s="2">
        <f>225.03+38.04</f>
        <v>263.07</v>
      </c>
    </row>
    <row r="8369" spans="1:5" x14ac:dyDescent="0.25">
      <c r="A8369" s="1">
        <v>43706</v>
      </c>
      <c r="B8369">
        <v>124081</v>
      </c>
      <c r="C8369" t="s">
        <v>1823</v>
      </c>
      <c r="D8369" t="s">
        <v>7479</v>
      </c>
      <c r="E8369" s="2">
        <v>154.24</v>
      </c>
    </row>
    <row r="8370" spans="1:5" x14ac:dyDescent="0.25">
      <c r="A8370" s="1">
        <v>43706</v>
      </c>
      <c r="B8370">
        <v>124082</v>
      </c>
      <c r="C8370" t="s">
        <v>74</v>
      </c>
      <c r="D8370" t="s">
        <v>5019</v>
      </c>
      <c r="E8370" s="2">
        <v>1766</v>
      </c>
    </row>
    <row r="8371" spans="1:5" x14ac:dyDescent="0.25">
      <c r="A8371" s="1">
        <v>43706</v>
      </c>
      <c r="B8371">
        <v>124082</v>
      </c>
      <c r="C8371" t="s">
        <v>74</v>
      </c>
      <c r="D8371" t="s">
        <v>4082</v>
      </c>
      <c r="E8371" s="2">
        <v>448.5</v>
      </c>
    </row>
    <row r="8372" spans="1:5" x14ac:dyDescent="0.25">
      <c r="A8372" s="1">
        <v>43706</v>
      </c>
      <c r="B8372">
        <v>124083</v>
      </c>
      <c r="C8372" t="s">
        <v>2570</v>
      </c>
      <c r="D8372" t="s">
        <v>7220</v>
      </c>
      <c r="E8372" s="2">
        <v>640.29</v>
      </c>
    </row>
    <row r="8373" spans="1:5" x14ac:dyDescent="0.25">
      <c r="A8373" s="1">
        <v>43706</v>
      </c>
      <c r="B8373">
        <v>124084</v>
      </c>
      <c r="C8373" t="s">
        <v>283</v>
      </c>
      <c r="D8373" t="s">
        <v>441</v>
      </c>
      <c r="E8373" s="2">
        <v>659.81</v>
      </c>
    </row>
    <row r="8374" spans="1:5" x14ac:dyDescent="0.25">
      <c r="A8374" s="1">
        <v>43706</v>
      </c>
      <c r="B8374">
        <v>124085</v>
      </c>
      <c r="C8374" t="s">
        <v>146</v>
      </c>
      <c r="D8374" t="s">
        <v>7167</v>
      </c>
      <c r="E8374" s="2">
        <v>437.14</v>
      </c>
    </row>
    <row r="8375" spans="1:5" x14ac:dyDescent="0.25">
      <c r="A8375" s="1">
        <v>43706</v>
      </c>
      <c r="B8375">
        <v>124085</v>
      </c>
      <c r="C8375" t="s">
        <v>146</v>
      </c>
      <c r="D8375" t="s">
        <v>7480</v>
      </c>
      <c r="E8375" s="2">
        <v>277.08</v>
      </c>
    </row>
    <row r="8376" spans="1:5" x14ac:dyDescent="0.25">
      <c r="A8376" s="1">
        <v>43706</v>
      </c>
      <c r="B8376">
        <v>124086</v>
      </c>
      <c r="C8376" t="s">
        <v>4497</v>
      </c>
      <c r="D8376" t="s">
        <v>7481</v>
      </c>
      <c r="E8376" s="2">
        <v>445</v>
      </c>
    </row>
    <row r="8377" spans="1:5" x14ac:dyDescent="0.25">
      <c r="A8377" s="1">
        <v>43706</v>
      </c>
      <c r="B8377">
        <v>124087</v>
      </c>
      <c r="C8377" t="s">
        <v>1345</v>
      </c>
      <c r="D8377" t="s">
        <v>759</v>
      </c>
      <c r="E8377" s="2">
        <v>14.76</v>
      </c>
    </row>
    <row r="8378" spans="1:5" x14ac:dyDescent="0.25">
      <c r="A8378" s="1">
        <v>43706</v>
      </c>
      <c r="B8378">
        <v>124088</v>
      </c>
      <c r="C8378" t="s">
        <v>50</v>
      </c>
      <c r="D8378" t="s">
        <v>6927</v>
      </c>
      <c r="E8378" s="2">
        <v>3650</v>
      </c>
    </row>
    <row r="8379" spans="1:5" x14ac:dyDescent="0.25">
      <c r="A8379" s="1">
        <v>43706</v>
      </c>
      <c r="B8379">
        <v>124089</v>
      </c>
      <c r="C8379" t="s">
        <v>80</v>
      </c>
      <c r="D8379" t="s">
        <v>7221</v>
      </c>
      <c r="E8379" s="2">
        <v>16.61</v>
      </c>
    </row>
    <row r="8380" spans="1:5" x14ac:dyDescent="0.25">
      <c r="A8380" s="1">
        <v>43706</v>
      </c>
      <c r="B8380">
        <v>124092</v>
      </c>
      <c r="C8380" t="s">
        <v>597</v>
      </c>
      <c r="D8380" t="s">
        <v>598</v>
      </c>
      <c r="E8380" s="2">
        <v>0</v>
      </c>
    </row>
    <row r="8381" spans="1:5" x14ac:dyDescent="0.25">
      <c r="A8381" s="1">
        <v>43706</v>
      </c>
      <c r="B8381">
        <v>124093</v>
      </c>
      <c r="C8381" t="s">
        <v>597</v>
      </c>
      <c r="D8381" t="s">
        <v>7356</v>
      </c>
      <c r="E8381" s="2">
        <v>0</v>
      </c>
    </row>
    <row r="8382" spans="1:5" x14ac:dyDescent="0.25">
      <c r="A8382" s="1">
        <v>43706</v>
      </c>
      <c r="B8382">
        <v>124094</v>
      </c>
      <c r="C8382" t="s">
        <v>597</v>
      </c>
      <c r="D8382" t="s">
        <v>598</v>
      </c>
      <c r="E8382" s="2">
        <v>0</v>
      </c>
    </row>
    <row r="8383" spans="1:5" x14ac:dyDescent="0.25">
      <c r="A8383" s="1">
        <v>43706</v>
      </c>
      <c r="B8383">
        <v>124096</v>
      </c>
      <c r="C8383" t="s">
        <v>158</v>
      </c>
      <c r="D8383" t="s">
        <v>7355</v>
      </c>
      <c r="E8383" s="2">
        <v>122.45</v>
      </c>
    </row>
    <row r="8384" spans="1:5" x14ac:dyDescent="0.25">
      <c r="A8384" s="1">
        <v>43706</v>
      </c>
      <c r="B8384">
        <v>124096</v>
      </c>
      <c r="C8384" t="s">
        <v>158</v>
      </c>
      <c r="D8384" t="s">
        <v>7354</v>
      </c>
      <c r="E8384" s="2">
        <v>304.63</v>
      </c>
    </row>
    <row r="8385" spans="1:6" x14ac:dyDescent="0.25">
      <c r="A8385" s="1">
        <v>43706</v>
      </c>
      <c r="B8385">
        <v>124096</v>
      </c>
      <c r="C8385" t="s">
        <v>158</v>
      </c>
      <c r="D8385" t="s">
        <v>7353</v>
      </c>
      <c r="E8385" s="2">
        <v>279.85000000000002</v>
      </c>
      <c r="F8385" s="9" t="s">
        <v>598</v>
      </c>
    </row>
    <row r="8386" spans="1:6" x14ac:dyDescent="0.25">
      <c r="A8386" s="1">
        <v>43706</v>
      </c>
      <c r="B8386">
        <v>124097</v>
      </c>
      <c r="C8386" t="s">
        <v>308</v>
      </c>
      <c r="D8386" t="s">
        <v>7352</v>
      </c>
      <c r="E8386" s="2">
        <v>6706.47</v>
      </c>
    </row>
    <row r="8387" spans="1:6" x14ac:dyDescent="0.25">
      <c r="A8387" s="1">
        <v>43706</v>
      </c>
      <c r="B8387">
        <v>124098</v>
      </c>
      <c r="C8387" t="s">
        <v>160</v>
      </c>
      <c r="D8387" t="s">
        <v>7229</v>
      </c>
      <c r="E8387" s="2">
        <v>600</v>
      </c>
    </row>
    <row r="8388" spans="1:6" x14ac:dyDescent="0.25">
      <c r="A8388" s="1">
        <v>43706</v>
      </c>
      <c r="B8388">
        <v>124099</v>
      </c>
      <c r="C8388" t="s">
        <v>7230</v>
      </c>
      <c r="D8388" t="s">
        <v>7231</v>
      </c>
      <c r="E8388" s="2">
        <v>1993.9</v>
      </c>
    </row>
    <row r="8389" spans="1:6" x14ac:dyDescent="0.25">
      <c r="A8389" s="1">
        <v>43706</v>
      </c>
      <c r="B8389">
        <v>124100</v>
      </c>
      <c r="C8389" t="s">
        <v>213</v>
      </c>
      <c r="D8389" t="s">
        <v>6323</v>
      </c>
      <c r="E8389" s="2">
        <v>77.87</v>
      </c>
    </row>
    <row r="8390" spans="1:6" x14ac:dyDescent="0.25">
      <c r="A8390" s="1">
        <v>43706</v>
      </c>
      <c r="B8390">
        <v>124101</v>
      </c>
      <c r="C8390" t="s">
        <v>166</v>
      </c>
      <c r="D8390" t="s">
        <v>7232</v>
      </c>
      <c r="E8390" s="2">
        <v>150</v>
      </c>
    </row>
    <row r="8391" spans="1:6" x14ac:dyDescent="0.25">
      <c r="A8391" s="1">
        <v>43706</v>
      </c>
      <c r="B8391">
        <v>124102</v>
      </c>
      <c r="C8391" t="s">
        <v>597</v>
      </c>
      <c r="D8391" t="s">
        <v>598</v>
      </c>
      <c r="E8391" s="2">
        <v>0</v>
      </c>
    </row>
    <row r="8392" spans="1:6" x14ac:dyDescent="0.25">
      <c r="A8392" s="1">
        <v>43706</v>
      </c>
      <c r="B8392">
        <v>124103</v>
      </c>
      <c r="C8392" t="s">
        <v>7233</v>
      </c>
      <c r="D8392" t="s">
        <v>7351</v>
      </c>
      <c r="E8392" s="2">
        <v>22500</v>
      </c>
    </row>
    <row r="8393" spans="1:6" x14ac:dyDescent="0.25">
      <c r="A8393" s="1">
        <v>43706</v>
      </c>
      <c r="B8393">
        <v>124105</v>
      </c>
      <c r="C8393" t="s">
        <v>597</v>
      </c>
      <c r="D8393" t="s">
        <v>598</v>
      </c>
      <c r="E8393" s="2">
        <v>0</v>
      </c>
    </row>
    <row r="8394" spans="1:6" x14ac:dyDescent="0.25">
      <c r="A8394" s="1">
        <v>43706</v>
      </c>
      <c r="B8394">
        <v>124106</v>
      </c>
      <c r="C8394" t="s">
        <v>327</v>
      </c>
      <c r="D8394" t="s">
        <v>7350</v>
      </c>
      <c r="E8394" s="2">
        <v>450</v>
      </c>
    </row>
    <row r="8395" spans="1:6" x14ac:dyDescent="0.25">
      <c r="A8395" s="1">
        <v>43706</v>
      </c>
      <c r="B8395">
        <v>124107</v>
      </c>
      <c r="C8395" t="s">
        <v>388</v>
      </c>
      <c r="D8395" t="s">
        <v>7234</v>
      </c>
      <c r="E8395" s="2">
        <v>2289.92</v>
      </c>
    </row>
    <row r="8396" spans="1:6" x14ac:dyDescent="0.25">
      <c r="A8396" s="1">
        <v>43706</v>
      </c>
      <c r="B8396">
        <v>124108</v>
      </c>
      <c r="C8396" t="s">
        <v>61</v>
      </c>
      <c r="D8396" t="s">
        <v>7235</v>
      </c>
      <c r="E8396" s="2">
        <v>5000</v>
      </c>
    </row>
    <row r="8397" spans="1:6" x14ac:dyDescent="0.25">
      <c r="A8397" s="1">
        <v>43706</v>
      </c>
      <c r="B8397">
        <v>124109</v>
      </c>
      <c r="C8397" t="s">
        <v>213</v>
      </c>
      <c r="D8397" t="s">
        <v>424</v>
      </c>
      <c r="E8397" s="2">
        <v>139.80000000000001</v>
      </c>
    </row>
    <row r="8398" spans="1:6" x14ac:dyDescent="0.25">
      <c r="A8398" s="1">
        <v>43707</v>
      </c>
      <c r="B8398">
        <v>124110</v>
      </c>
      <c r="C8398" t="s">
        <v>1139</v>
      </c>
      <c r="D8398" t="s">
        <v>7236</v>
      </c>
      <c r="E8398" s="2">
        <v>15252.48</v>
      </c>
    </row>
    <row r="8399" spans="1:6" x14ac:dyDescent="0.25">
      <c r="A8399" s="1">
        <v>43707</v>
      </c>
      <c r="B8399">
        <v>124111</v>
      </c>
      <c r="C8399" t="s">
        <v>1156</v>
      </c>
      <c r="D8399" t="s">
        <v>7349</v>
      </c>
      <c r="E8399" s="2">
        <v>15</v>
      </c>
    </row>
    <row r="8400" spans="1:6" x14ac:dyDescent="0.25">
      <c r="A8400" s="1">
        <v>43707</v>
      </c>
      <c r="B8400">
        <v>124112</v>
      </c>
      <c r="C8400" t="s">
        <v>1434</v>
      </c>
      <c r="D8400" t="s">
        <v>7348</v>
      </c>
      <c r="E8400" s="2">
        <v>872</v>
      </c>
    </row>
    <row r="8401" spans="1:5" x14ac:dyDescent="0.25">
      <c r="A8401" s="1">
        <v>43707</v>
      </c>
      <c r="B8401">
        <v>124113</v>
      </c>
      <c r="C8401" t="s">
        <v>125</v>
      </c>
      <c r="D8401" t="s">
        <v>7347</v>
      </c>
      <c r="E8401" s="2">
        <v>239.62</v>
      </c>
    </row>
    <row r="8402" spans="1:5" x14ac:dyDescent="0.25">
      <c r="A8402" s="1">
        <v>43707</v>
      </c>
      <c r="B8402">
        <v>124114</v>
      </c>
      <c r="C8402" t="s">
        <v>1670</v>
      </c>
      <c r="D8402" t="s">
        <v>7237</v>
      </c>
      <c r="E8402" s="2">
        <v>126.82</v>
      </c>
    </row>
    <row r="8403" spans="1:5" x14ac:dyDescent="0.25">
      <c r="A8403" s="1">
        <v>43707</v>
      </c>
      <c r="B8403">
        <v>124115</v>
      </c>
      <c r="C8403" t="s">
        <v>6211</v>
      </c>
      <c r="D8403" t="s">
        <v>7238</v>
      </c>
      <c r="E8403" s="2">
        <v>508.86</v>
      </c>
    </row>
    <row r="8404" spans="1:5" x14ac:dyDescent="0.25">
      <c r="A8404" s="1">
        <v>43707</v>
      </c>
      <c r="B8404">
        <v>124115</v>
      </c>
      <c r="C8404" t="s">
        <v>6211</v>
      </c>
      <c r="D8404" t="s">
        <v>7239</v>
      </c>
      <c r="E8404" s="2">
        <v>824.96</v>
      </c>
    </row>
    <row r="8405" spans="1:5" x14ac:dyDescent="0.25">
      <c r="A8405" s="1">
        <v>43707</v>
      </c>
      <c r="B8405">
        <v>124116</v>
      </c>
      <c r="C8405" t="s">
        <v>154</v>
      </c>
      <c r="D8405" t="s">
        <v>7240</v>
      </c>
      <c r="E8405" s="2">
        <v>885</v>
      </c>
    </row>
    <row r="8406" spans="1:5" x14ac:dyDescent="0.25">
      <c r="A8406" s="1">
        <v>43707</v>
      </c>
      <c r="B8406">
        <v>124117</v>
      </c>
      <c r="C8406" t="s">
        <v>3663</v>
      </c>
      <c r="D8406" t="s">
        <v>7241</v>
      </c>
      <c r="E8406" s="2">
        <v>2662.58</v>
      </c>
    </row>
    <row r="8407" spans="1:5" x14ac:dyDescent="0.25">
      <c r="A8407" s="1">
        <v>43707</v>
      </c>
      <c r="B8407">
        <v>124121</v>
      </c>
      <c r="C8407" t="s">
        <v>631</v>
      </c>
      <c r="D8407" t="s">
        <v>5537</v>
      </c>
      <c r="E8407" s="2">
        <v>164.08</v>
      </c>
    </row>
    <row r="8408" spans="1:5" x14ac:dyDescent="0.25">
      <c r="A8408" s="1">
        <v>43707</v>
      </c>
      <c r="B8408">
        <v>124121</v>
      </c>
      <c r="C8408" t="s">
        <v>631</v>
      </c>
      <c r="D8408" t="s">
        <v>7226</v>
      </c>
      <c r="E8408" s="2">
        <v>357.9</v>
      </c>
    </row>
    <row r="8409" spans="1:5" x14ac:dyDescent="0.25">
      <c r="A8409" s="1">
        <v>43707</v>
      </c>
      <c r="B8409">
        <v>124121</v>
      </c>
      <c r="C8409" t="s">
        <v>631</v>
      </c>
      <c r="D8409" t="s">
        <v>7224</v>
      </c>
      <c r="E8409" s="2">
        <v>82.68</v>
      </c>
    </row>
    <row r="8410" spans="1:5" x14ac:dyDescent="0.25">
      <c r="A8410" s="1">
        <v>43707</v>
      </c>
      <c r="B8410">
        <v>124121</v>
      </c>
      <c r="C8410" t="s">
        <v>631</v>
      </c>
      <c r="D8410" t="s">
        <v>7225</v>
      </c>
      <c r="E8410" s="2">
        <v>149.97999999999999</v>
      </c>
    </row>
    <row r="8411" spans="1:5" x14ac:dyDescent="0.25">
      <c r="A8411" s="1">
        <v>43707</v>
      </c>
      <c r="B8411">
        <v>124121</v>
      </c>
      <c r="C8411" t="s">
        <v>631</v>
      </c>
      <c r="D8411" t="s">
        <v>7346</v>
      </c>
      <c r="E8411" s="2">
        <v>296.67</v>
      </c>
    </row>
    <row r="8412" spans="1:5" x14ac:dyDescent="0.25">
      <c r="A8412" s="1">
        <v>43707</v>
      </c>
      <c r="B8412">
        <v>124121</v>
      </c>
      <c r="C8412" t="s">
        <v>631</v>
      </c>
      <c r="D8412" t="s">
        <v>7242</v>
      </c>
      <c r="E8412" s="2">
        <v>244.54</v>
      </c>
    </row>
    <row r="8413" spans="1:5" x14ac:dyDescent="0.25">
      <c r="A8413" s="1">
        <v>43707</v>
      </c>
      <c r="B8413">
        <v>124121</v>
      </c>
      <c r="C8413" t="s">
        <v>631</v>
      </c>
      <c r="D8413" t="s">
        <v>7243</v>
      </c>
      <c r="E8413" s="2">
        <v>262.69</v>
      </c>
    </row>
    <row r="8414" spans="1:5" x14ac:dyDescent="0.25">
      <c r="A8414" s="1">
        <v>43707</v>
      </c>
      <c r="B8414">
        <v>124121</v>
      </c>
      <c r="C8414" t="s">
        <v>631</v>
      </c>
      <c r="D8414" t="s">
        <v>7345</v>
      </c>
      <c r="E8414" s="2">
        <v>95.05</v>
      </c>
    </row>
    <row r="8415" spans="1:5" x14ac:dyDescent="0.25">
      <c r="A8415" s="1">
        <v>43707</v>
      </c>
      <c r="B8415">
        <v>124121</v>
      </c>
      <c r="C8415" t="s">
        <v>631</v>
      </c>
      <c r="D8415" t="s">
        <v>5682</v>
      </c>
      <c r="E8415" s="2">
        <v>575.41999999999996</v>
      </c>
    </row>
    <row r="8416" spans="1:5" x14ac:dyDescent="0.25">
      <c r="A8416" s="1">
        <v>43707</v>
      </c>
      <c r="B8416">
        <v>124121</v>
      </c>
      <c r="C8416" t="s">
        <v>631</v>
      </c>
      <c r="D8416" t="s">
        <v>7223</v>
      </c>
      <c r="E8416" s="2">
        <v>81.040000000000006</v>
      </c>
    </row>
    <row r="8417" spans="1:5" x14ac:dyDescent="0.25">
      <c r="A8417" s="1">
        <v>43707</v>
      </c>
      <c r="B8417">
        <v>124121</v>
      </c>
      <c r="C8417" t="s">
        <v>631</v>
      </c>
      <c r="D8417" t="s">
        <v>7222</v>
      </c>
      <c r="E8417" s="2">
        <v>151.47</v>
      </c>
    </row>
    <row r="8418" spans="1:5" x14ac:dyDescent="0.25">
      <c r="A8418" s="1">
        <v>43707</v>
      </c>
      <c r="B8418">
        <v>124121</v>
      </c>
      <c r="C8418" t="s">
        <v>631</v>
      </c>
      <c r="D8418" t="s">
        <v>7344</v>
      </c>
      <c r="E8418" s="2">
        <v>14.9</v>
      </c>
    </row>
    <row r="8419" spans="1:5" x14ac:dyDescent="0.25">
      <c r="A8419" s="1">
        <v>43707</v>
      </c>
      <c r="B8419">
        <v>124121</v>
      </c>
      <c r="C8419" t="s">
        <v>631</v>
      </c>
      <c r="D8419" t="s">
        <v>7227</v>
      </c>
      <c r="E8419" s="2">
        <v>455.85</v>
      </c>
    </row>
    <row r="8420" spans="1:5" x14ac:dyDescent="0.25">
      <c r="A8420" s="1">
        <v>43707</v>
      </c>
      <c r="B8420">
        <v>124121</v>
      </c>
      <c r="C8420" t="s">
        <v>631</v>
      </c>
      <c r="D8420" t="s">
        <v>7228</v>
      </c>
      <c r="E8420" s="2">
        <v>105.41</v>
      </c>
    </row>
    <row r="8421" spans="1:5" x14ac:dyDescent="0.25">
      <c r="A8421" s="1">
        <v>43707</v>
      </c>
      <c r="B8421">
        <v>124122</v>
      </c>
      <c r="C8421" t="s">
        <v>7244</v>
      </c>
      <c r="D8421" t="s">
        <v>7343</v>
      </c>
      <c r="E8421" s="2">
        <v>10.8</v>
      </c>
    </row>
    <row r="8422" spans="1:5" x14ac:dyDescent="0.25">
      <c r="A8422" s="1">
        <v>43707</v>
      </c>
      <c r="B8422">
        <v>124123</v>
      </c>
      <c r="C8422" t="s">
        <v>1729</v>
      </c>
      <c r="D8422" t="s">
        <v>376</v>
      </c>
      <c r="E8422" s="2">
        <v>1.49</v>
      </c>
    </row>
    <row r="8423" spans="1:5" x14ac:dyDescent="0.25">
      <c r="A8423" s="1">
        <v>43707</v>
      </c>
      <c r="B8423">
        <v>124124</v>
      </c>
      <c r="C8423" t="s">
        <v>67</v>
      </c>
      <c r="D8423" t="s">
        <v>481</v>
      </c>
      <c r="E8423" s="2">
        <f>918+714</f>
        <v>1632</v>
      </c>
    </row>
    <row r="8424" spans="1:5" x14ac:dyDescent="0.25">
      <c r="A8424" s="1">
        <v>43707</v>
      </c>
      <c r="B8424">
        <v>124125</v>
      </c>
      <c r="C8424" t="s">
        <v>352</v>
      </c>
      <c r="D8424" t="s">
        <v>7245</v>
      </c>
      <c r="E8424" s="2">
        <v>8385</v>
      </c>
    </row>
    <row r="8425" spans="1:5" x14ac:dyDescent="0.25">
      <c r="A8425" s="1">
        <v>43707</v>
      </c>
      <c r="B8425">
        <v>124126</v>
      </c>
      <c r="C8425" t="s">
        <v>714</v>
      </c>
      <c r="D8425" t="s">
        <v>7341</v>
      </c>
      <c r="E8425" s="2">
        <v>540</v>
      </c>
    </row>
    <row r="8426" spans="1:5" x14ac:dyDescent="0.25">
      <c r="A8426" s="1">
        <v>43707</v>
      </c>
      <c r="B8426">
        <v>124127</v>
      </c>
      <c r="C8426" t="s">
        <v>2679</v>
      </c>
      <c r="D8426" t="s">
        <v>7342</v>
      </c>
      <c r="E8426" s="2">
        <v>1498.19</v>
      </c>
    </row>
    <row r="8427" spans="1:5" x14ac:dyDescent="0.25">
      <c r="A8427" s="1">
        <v>43707</v>
      </c>
      <c r="B8427">
        <v>124128</v>
      </c>
      <c r="C8427" t="s">
        <v>75</v>
      </c>
      <c r="D8427" t="s">
        <v>376</v>
      </c>
      <c r="E8427" s="2">
        <v>12.86</v>
      </c>
    </row>
    <row r="8428" spans="1:5" x14ac:dyDescent="0.25">
      <c r="A8428" s="1">
        <v>43707</v>
      </c>
      <c r="B8428">
        <v>124129</v>
      </c>
      <c r="C8428" t="s">
        <v>51</v>
      </c>
      <c r="D8428" t="s">
        <v>7340</v>
      </c>
      <c r="E8428" s="2">
        <v>27.53</v>
      </c>
    </row>
    <row r="8429" spans="1:5" x14ac:dyDescent="0.25">
      <c r="A8429" s="1">
        <v>43707</v>
      </c>
      <c r="B8429">
        <v>124130</v>
      </c>
      <c r="C8429" t="s">
        <v>324</v>
      </c>
      <c r="D8429" t="s">
        <v>7246</v>
      </c>
      <c r="E8429" s="2">
        <v>626.77</v>
      </c>
    </row>
    <row r="8430" spans="1:5" x14ac:dyDescent="0.25">
      <c r="A8430" s="1">
        <v>43707</v>
      </c>
      <c r="B8430">
        <v>124133</v>
      </c>
      <c r="C8430" t="s">
        <v>189</v>
      </c>
      <c r="D8430" t="s">
        <v>7328</v>
      </c>
      <c r="E8430" s="2">
        <v>213.03</v>
      </c>
    </row>
    <row r="8431" spans="1:5" x14ac:dyDescent="0.25">
      <c r="A8431" s="1">
        <v>43707</v>
      </c>
      <c r="B8431">
        <v>124133</v>
      </c>
      <c r="C8431" t="s">
        <v>189</v>
      </c>
      <c r="D8431" t="s">
        <v>7247</v>
      </c>
      <c r="E8431" s="2">
        <v>51.34</v>
      </c>
    </row>
    <row r="8432" spans="1:5" x14ac:dyDescent="0.25">
      <c r="A8432" s="1">
        <v>43707</v>
      </c>
      <c r="B8432">
        <v>124133</v>
      </c>
      <c r="C8432" t="s">
        <v>189</v>
      </c>
      <c r="D8432" t="s">
        <v>7339</v>
      </c>
      <c r="E8432" s="2">
        <v>88.96</v>
      </c>
    </row>
    <row r="8433" spans="1:6" x14ac:dyDescent="0.25">
      <c r="A8433" s="1">
        <v>43707</v>
      </c>
      <c r="B8433">
        <v>124133</v>
      </c>
      <c r="C8433" t="s">
        <v>189</v>
      </c>
      <c r="D8433" t="s">
        <v>3347</v>
      </c>
      <c r="E8433" s="2">
        <v>400</v>
      </c>
    </row>
    <row r="8434" spans="1:6" x14ac:dyDescent="0.25">
      <c r="A8434" s="1">
        <v>43707</v>
      </c>
      <c r="B8434">
        <v>124133</v>
      </c>
      <c r="C8434" t="s">
        <v>189</v>
      </c>
      <c r="D8434" t="s">
        <v>7248</v>
      </c>
      <c r="E8434" s="2">
        <v>43.22</v>
      </c>
    </row>
    <row r="8435" spans="1:6" x14ac:dyDescent="0.25">
      <c r="A8435" s="1">
        <v>43707</v>
      </c>
      <c r="B8435">
        <v>124133</v>
      </c>
      <c r="C8435" t="s">
        <v>189</v>
      </c>
      <c r="D8435" t="s">
        <v>7249</v>
      </c>
      <c r="E8435" s="2">
        <v>263.64</v>
      </c>
    </row>
    <row r="8436" spans="1:6" x14ac:dyDescent="0.25">
      <c r="A8436" s="1">
        <v>43707</v>
      </c>
      <c r="B8436">
        <v>124133</v>
      </c>
      <c r="C8436" t="s">
        <v>189</v>
      </c>
      <c r="D8436" t="s">
        <v>7248</v>
      </c>
      <c r="E8436" s="2">
        <v>194.4</v>
      </c>
    </row>
    <row r="8437" spans="1:6" x14ac:dyDescent="0.25">
      <c r="A8437" s="1">
        <v>43707</v>
      </c>
      <c r="B8437">
        <v>124133</v>
      </c>
      <c r="C8437" t="s">
        <v>189</v>
      </c>
      <c r="D8437" t="s">
        <v>7338</v>
      </c>
      <c r="E8437" s="2">
        <v>249.76</v>
      </c>
    </row>
    <row r="8438" spans="1:6" x14ac:dyDescent="0.25">
      <c r="A8438" s="1">
        <v>43707</v>
      </c>
      <c r="B8438">
        <v>124133</v>
      </c>
      <c r="C8438" t="s">
        <v>189</v>
      </c>
      <c r="D8438" t="s">
        <v>7247</v>
      </c>
      <c r="E8438" s="2">
        <v>96.1</v>
      </c>
    </row>
    <row r="8439" spans="1:6" x14ac:dyDescent="0.25">
      <c r="A8439" s="1">
        <v>43707</v>
      </c>
      <c r="B8439">
        <v>124133</v>
      </c>
      <c r="C8439" t="s">
        <v>189</v>
      </c>
      <c r="D8439" t="s">
        <v>7337</v>
      </c>
      <c r="E8439" s="2">
        <v>288.19</v>
      </c>
      <c r="F8439" s="9" t="s">
        <v>598</v>
      </c>
    </row>
    <row r="8440" spans="1:6" x14ac:dyDescent="0.25">
      <c r="A8440" s="1">
        <v>43707</v>
      </c>
      <c r="B8440">
        <v>124133</v>
      </c>
      <c r="C8440" t="s">
        <v>189</v>
      </c>
      <c r="D8440" t="s">
        <v>7250</v>
      </c>
      <c r="E8440" s="2">
        <v>25.73</v>
      </c>
    </row>
    <row r="8441" spans="1:6" x14ac:dyDescent="0.25">
      <c r="A8441" s="1">
        <v>43707</v>
      </c>
      <c r="B8441">
        <v>124134</v>
      </c>
      <c r="C8441" t="s">
        <v>67</v>
      </c>
      <c r="D8441" t="s">
        <v>7251</v>
      </c>
      <c r="E8441" s="2">
        <v>387.5</v>
      </c>
    </row>
    <row r="8442" spans="1:6" x14ac:dyDescent="0.25">
      <c r="A8442" s="1">
        <v>43707</v>
      </c>
      <c r="B8442">
        <v>124135</v>
      </c>
      <c r="C8442" t="s">
        <v>1570</v>
      </c>
      <c r="D8442" t="s">
        <v>7336</v>
      </c>
      <c r="E8442" s="2">
        <v>1058</v>
      </c>
    </row>
    <row r="8443" spans="1:6" x14ac:dyDescent="0.25">
      <c r="A8443" s="1">
        <v>43707</v>
      </c>
      <c r="B8443">
        <v>124136</v>
      </c>
      <c r="C8443" t="s">
        <v>7</v>
      </c>
      <c r="D8443" t="s">
        <v>7252</v>
      </c>
      <c r="E8443" s="2">
        <v>56</v>
      </c>
    </row>
    <row r="8444" spans="1:6" x14ac:dyDescent="0.25">
      <c r="A8444" s="1">
        <v>43707</v>
      </c>
      <c r="B8444">
        <v>124137</v>
      </c>
      <c r="C8444" t="s">
        <v>31</v>
      </c>
      <c r="D8444" t="s">
        <v>7335</v>
      </c>
      <c r="E8444" s="2">
        <v>340.56</v>
      </c>
    </row>
    <row r="8445" spans="1:6" x14ac:dyDescent="0.25">
      <c r="A8445" s="1">
        <v>43707</v>
      </c>
      <c r="B8445">
        <v>124138</v>
      </c>
      <c r="C8445" t="s">
        <v>256</v>
      </c>
      <c r="D8445" t="s">
        <v>7253</v>
      </c>
      <c r="E8445" s="2">
        <v>455.15</v>
      </c>
    </row>
    <row r="8446" spans="1:6" x14ac:dyDescent="0.25">
      <c r="A8446" s="1">
        <v>43707</v>
      </c>
      <c r="B8446">
        <v>124139</v>
      </c>
      <c r="C8446" t="s">
        <v>5107</v>
      </c>
      <c r="D8446" t="s">
        <v>7254</v>
      </c>
      <c r="E8446" s="2">
        <v>17.2</v>
      </c>
    </row>
    <row r="8447" spans="1:6" x14ac:dyDescent="0.25">
      <c r="A8447" s="1">
        <v>43707</v>
      </c>
      <c r="B8447">
        <v>124140</v>
      </c>
      <c r="C8447" t="s">
        <v>928</v>
      </c>
      <c r="D8447" t="s">
        <v>7334</v>
      </c>
      <c r="E8447" s="2">
        <v>829.7</v>
      </c>
    </row>
    <row r="8448" spans="1:6" x14ac:dyDescent="0.25">
      <c r="A8448" s="1">
        <v>43707</v>
      </c>
      <c r="B8448">
        <v>124141</v>
      </c>
      <c r="C8448" t="s">
        <v>80</v>
      </c>
      <c r="D8448" t="s">
        <v>7333</v>
      </c>
      <c r="E8448" s="2">
        <v>15.98</v>
      </c>
    </row>
    <row r="8449" spans="1:5" x14ac:dyDescent="0.25">
      <c r="A8449" s="1">
        <v>43707</v>
      </c>
      <c r="B8449">
        <v>124142</v>
      </c>
      <c r="C8449" t="s">
        <v>14</v>
      </c>
      <c r="D8449" t="s">
        <v>7126</v>
      </c>
      <c r="E8449" s="2">
        <v>613.94000000000005</v>
      </c>
    </row>
    <row r="8450" spans="1:5" x14ac:dyDescent="0.25">
      <c r="A8450" s="1">
        <v>43707</v>
      </c>
      <c r="B8450">
        <v>124142</v>
      </c>
      <c r="C8450" t="s">
        <v>14</v>
      </c>
      <c r="D8450" t="s">
        <v>7332</v>
      </c>
      <c r="E8450" s="2">
        <v>488.87</v>
      </c>
    </row>
    <row r="8451" spans="1:5" x14ac:dyDescent="0.25">
      <c r="A8451" s="1">
        <v>43707</v>
      </c>
      <c r="B8451">
        <v>124143</v>
      </c>
      <c r="C8451" t="s">
        <v>631</v>
      </c>
      <c r="D8451" t="s">
        <v>7331</v>
      </c>
      <c r="E8451" s="2">
        <v>68.680000000000007</v>
      </c>
    </row>
    <row r="8452" spans="1:5" x14ac:dyDescent="0.25">
      <c r="A8452" s="1">
        <v>43707</v>
      </c>
      <c r="B8452">
        <v>124143</v>
      </c>
      <c r="C8452" t="s">
        <v>631</v>
      </c>
      <c r="D8452" t="s">
        <v>7255</v>
      </c>
      <c r="E8452" s="2">
        <v>167</v>
      </c>
    </row>
    <row r="8453" spans="1:5" x14ac:dyDescent="0.25">
      <c r="A8453" s="1">
        <v>43707</v>
      </c>
      <c r="B8453">
        <v>124144</v>
      </c>
      <c r="C8453" t="s">
        <v>597</v>
      </c>
      <c r="D8453" t="s">
        <v>598</v>
      </c>
      <c r="E8453" s="2">
        <v>0</v>
      </c>
    </row>
    <row r="8454" spans="1:5" x14ac:dyDescent="0.25">
      <c r="A8454" s="1">
        <v>43707</v>
      </c>
      <c r="B8454">
        <v>124145</v>
      </c>
      <c r="C8454" t="s">
        <v>94</v>
      </c>
      <c r="D8454" t="s">
        <v>7330</v>
      </c>
      <c r="E8454" s="2">
        <v>817.61</v>
      </c>
    </row>
    <row r="8455" spans="1:5" x14ac:dyDescent="0.25">
      <c r="A8455" s="1">
        <v>43707</v>
      </c>
      <c r="B8455">
        <v>124150</v>
      </c>
      <c r="C8455" t="s">
        <v>222</v>
      </c>
      <c r="D8455" t="s">
        <v>7256</v>
      </c>
      <c r="E8455" s="2">
        <v>197.2</v>
      </c>
    </row>
    <row r="8456" spans="1:5" x14ac:dyDescent="0.25">
      <c r="A8456" s="1">
        <v>43707</v>
      </c>
      <c r="B8456">
        <v>124150</v>
      </c>
      <c r="C8456" t="s">
        <v>222</v>
      </c>
      <c r="D8456" t="s">
        <v>7329</v>
      </c>
      <c r="E8456" s="2">
        <v>174.42</v>
      </c>
    </row>
    <row r="8457" spans="1:5" x14ac:dyDescent="0.25">
      <c r="A8457" s="1">
        <v>43707</v>
      </c>
      <c r="B8457">
        <v>124150</v>
      </c>
      <c r="C8457" t="s">
        <v>222</v>
      </c>
      <c r="D8457" t="s">
        <v>7328</v>
      </c>
      <c r="E8457" s="2">
        <v>69.5</v>
      </c>
    </row>
    <row r="8458" spans="1:5" x14ac:dyDescent="0.25">
      <c r="A8458" s="1">
        <v>43707</v>
      </c>
      <c r="B8458">
        <v>124150</v>
      </c>
      <c r="C8458" t="s">
        <v>222</v>
      </c>
      <c r="D8458" t="s">
        <v>7327</v>
      </c>
      <c r="E8458" s="2">
        <v>83.28</v>
      </c>
    </row>
    <row r="8459" spans="1:5" x14ac:dyDescent="0.25">
      <c r="A8459" s="1">
        <v>43707</v>
      </c>
      <c r="B8459">
        <v>124150</v>
      </c>
      <c r="C8459" t="s">
        <v>222</v>
      </c>
      <c r="D8459" t="s">
        <v>7326</v>
      </c>
      <c r="E8459" s="2">
        <v>494.28</v>
      </c>
    </row>
    <row r="8460" spans="1:5" x14ac:dyDescent="0.25">
      <c r="A8460" s="1">
        <v>43707</v>
      </c>
      <c r="B8460">
        <v>124150</v>
      </c>
      <c r="C8460" t="s">
        <v>222</v>
      </c>
      <c r="D8460" t="s">
        <v>7325</v>
      </c>
      <c r="E8460" s="2">
        <v>215.96</v>
      </c>
    </row>
    <row r="8461" spans="1:5" x14ac:dyDescent="0.25">
      <c r="A8461" s="1">
        <v>43707</v>
      </c>
      <c r="B8461">
        <v>124150</v>
      </c>
      <c r="C8461" t="s">
        <v>222</v>
      </c>
      <c r="D8461" t="s">
        <v>1756</v>
      </c>
      <c r="E8461" s="2">
        <v>649.17999999999995</v>
      </c>
    </row>
    <row r="8462" spans="1:5" x14ac:dyDescent="0.25">
      <c r="A8462" s="1">
        <v>43707</v>
      </c>
      <c r="B8462">
        <v>124150</v>
      </c>
      <c r="C8462" t="s">
        <v>222</v>
      </c>
      <c r="D8462" t="s">
        <v>7257</v>
      </c>
      <c r="E8462" s="2">
        <v>99.49</v>
      </c>
    </row>
    <row r="8463" spans="1:5" x14ac:dyDescent="0.25">
      <c r="A8463" s="1">
        <v>43707</v>
      </c>
      <c r="B8463">
        <v>124150</v>
      </c>
      <c r="C8463" t="s">
        <v>222</v>
      </c>
      <c r="D8463" t="s">
        <v>7324</v>
      </c>
      <c r="E8463" s="2">
        <v>104.9</v>
      </c>
    </row>
    <row r="8464" spans="1:5" x14ac:dyDescent="0.25">
      <c r="A8464" s="1">
        <v>43707</v>
      </c>
      <c r="B8464">
        <v>124150</v>
      </c>
      <c r="C8464" t="s">
        <v>222</v>
      </c>
      <c r="D8464" t="s">
        <v>7323</v>
      </c>
      <c r="E8464" s="2">
        <v>100.52</v>
      </c>
    </row>
    <row r="8465" spans="1:5" x14ac:dyDescent="0.25">
      <c r="A8465" s="1">
        <v>43707</v>
      </c>
      <c r="B8465">
        <v>124150</v>
      </c>
      <c r="C8465" t="s">
        <v>222</v>
      </c>
      <c r="D8465" t="s">
        <v>7322</v>
      </c>
      <c r="E8465" s="2">
        <v>191.69</v>
      </c>
    </row>
    <row r="8466" spans="1:5" x14ac:dyDescent="0.25">
      <c r="A8466" s="1">
        <v>43707</v>
      </c>
      <c r="B8466">
        <v>124150</v>
      </c>
      <c r="C8466" t="s">
        <v>222</v>
      </c>
      <c r="D8466" t="s">
        <v>1971</v>
      </c>
      <c r="E8466" s="2">
        <v>158.06</v>
      </c>
    </row>
    <row r="8467" spans="1:5" x14ac:dyDescent="0.25">
      <c r="A8467" s="1">
        <v>43707</v>
      </c>
      <c r="B8467">
        <v>124150</v>
      </c>
      <c r="C8467" t="s">
        <v>222</v>
      </c>
      <c r="D8467" t="s">
        <v>7320</v>
      </c>
      <c r="E8467" s="2">
        <v>215.72</v>
      </c>
    </row>
    <row r="8468" spans="1:5" x14ac:dyDescent="0.25">
      <c r="A8468" s="1">
        <v>43707</v>
      </c>
      <c r="B8468">
        <v>124150</v>
      </c>
      <c r="C8468" t="s">
        <v>222</v>
      </c>
      <c r="D8468" t="s">
        <v>7321</v>
      </c>
      <c r="E8468" s="2">
        <v>171.33</v>
      </c>
    </row>
    <row r="8469" spans="1:5" x14ac:dyDescent="0.25">
      <c r="A8469" s="1">
        <v>43707</v>
      </c>
      <c r="B8469">
        <v>124150</v>
      </c>
      <c r="C8469" t="s">
        <v>222</v>
      </c>
      <c r="D8469" t="s">
        <v>7258</v>
      </c>
      <c r="E8469" s="2">
        <v>41.83</v>
      </c>
    </row>
    <row r="8470" spans="1:5" x14ac:dyDescent="0.25">
      <c r="A8470" s="1">
        <v>43707</v>
      </c>
      <c r="B8470">
        <v>124152</v>
      </c>
      <c r="C8470" t="s">
        <v>597</v>
      </c>
      <c r="D8470" t="s">
        <v>598</v>
      </c>
      <c r="E8470" s="2">
        <v>0</v>
      </c>
    </row>
    <row r="8471" spans="1:5" x14ac:dyDescent="0.25">
      <c r="A8471" s="1">
        <v>43707</v>
      </c>
      <c r="B8471">
        <v>124153</v>
      </c>
      <c r="C8471" t="s">
        <v>597</v>
      </c>
      <c r="D8471" t="s">
        <v>598</v>
      </c>
      <c r="E8471" s="2">
        <v>0</v>
      </c>
    </row>
    <row r="8472" spans="1:5" x14ac:dyDescent="0.25">
      <c r="A8472" s="1">
        <v>43678</v>
      </c>
      <c r="B8472">
        <v>181900414</v>
      </c>
      <c r="C8472" t="s">
        <v>6629</v>
      </c>
      <c r="D8472" t="s">
        <v>7319</v>
      </c>
      <c r="E8472" s="2">
        <v>70</v>
      </c>
    </row>
    <row r="8473" spans="1:5" x14ac:dyDescent="0.25">
      <c r="A8473" s="1">
        <v>43678</v>
      </c>
      <c r="B8473">
        <v>181900415</v>
      </c>
      <c r="C8473" t="s">
        <v>2263</v>
      </c>
      <c r="D8473" t="s">
        <v>7319</v>
      </c>
      <c r="E8473" s="2">
        <v>70</v>
      </c>
    </row>
    <row r="8474" spans="1:5" x14ac:dyDescent="0.25">
      <c r="A8474" s="1">
        <v>43678</v>
      </c>
      <c r="B8474">
        <v>181900416</v>
      </c>
      <c r="C8474" t="s">
        <v>4205</v>
      </c>
      <c r="D8474" t="s">
        <v>7319</v>
      </c>
      <c r="E8474" s="2">
        <v>70</v>
      </c>
    </row>
    <row r="8475" spans="1:5" x14ac:dyDescent="0.25">
      <c r="A8475" s="1">
        <v>43678</v>
      </c>
      <c r="B8475">
        <v>181900417</v>
      </c>
      <c r="C8475" t="s">
        <v>6634</v>
      </c>
      <c r="D8475" t="s">
        <v>880</v>
      </c>
      <c r="E8475" s="2">
        <v>118.44</v>
      </c>
    </row>
    <row r="8476" spans="1:5" x14ac:dyDescent="0.25">
      <c r="A8476" s="1">
        <v>43678</v>
      </c>
      <c r="B8476">
        <v>181900418</v>
      </c>
      <c r="C8476" t="s">
        <v>274</v>
      </c>
      <c r="D8476" t="s">
        <v>6697</v>
      </c>
      <c r="E8476" s="2">
        <v>716.86</v>
      </c>
    </row>
    <row r="8477" spans="1:5" x14ac:dyDescent="0.25">
      <c r="A8477" s="1">
        <v>43678</v>
      </c>
      <c r="B8477">
        <v>181900418</v>
      </c>
      <c r="C8477" t="s">
        <v>274</v>
      </c>
      <c r="D8477" t="s">
        <v>6697</v>
      </c>
      <c r="E8477" s="2">
        <v>768.64</v>
      </c>
    </row>
    <row r="8478" spans="1:5" x14ac:dyDescent="0.25">
      <c r="A8478" s="1">
        <v>43678</v>
      </c>
      <c r="B8478">
        <v>181900419</v>
      </c>
      <c r="C8478" t="s">
        <v>7259</v>
      </c>
      <c r="D8478" t="s">
        <v>7319</v>
      </c>
      <c r="E8478" s="2">
        <v>70</v>
      </c>
    </row>
    <row r="8479" spans="1:5" x14ac:dyDescent="0.25">
      <c r="A8479" s="1">
        <v>43678</v>
      </c>
      <c r="B8479">
        <v>181900420</v>
      </c>
      <c r="C8479" t="s">
        <v>1296</v>
      </c>
      <c r="D8479" t="s">
        <v>7319</v>
      </c>
      <c r="E8479" s="2">
        <v>70</v>
      </c>
    </row>
    <row r="8480" spans="1:5" x14ac:dyDescent="0.25">
      <c r="A8480" s="1">
        <v>43678</v>
      </c>
      <c r="B8480">
        <v>181900421</v>
      </c>
      <c r="C8480" t="s">
        <v>7260</v>
      </c>
      <c r="D8480" t="s">
        <v>7261</v>
      </c>
      <c r="E8480" s="2">
        <v>8</v>
      </c>
    </row>
    <row r="8481" spans="1:5" x14ac:dyDescent="0.25">
      <c r="A8481" s="1">
        <v>43678</v>
      </c>
      <c r="B8481">
        <v>181900422</v>
      </c>
      <c r="C8481" t="s">
        <v>1543</v>
      </c>
      <c r="D8481" t="s">
        <v>7319</v>
      </c>
      <c r="E8481" s="2">
        <v>70</v>
      </c>
    </row>
    <row r="8482" spans="1:5" x14ac:dyDescent="0.25">
      <c r="A8482" s="1">
        <v>43678</v>
      </c>
      <c r="B8482">
        <v>181900423</v>
      </c>
      <c r="C8482" t="s">
        <v>7262</v>
      </c>
      <c r="D8482" t="s">
        <v>7319</v>
      </c>
      <c r="E8482" s="2">
        <v>70</v>
      </c>
    </row>
    <row r="8483" spans="1:5" x14ac:dyDescent="0.25">
      <c r="A8483" s="1">
        <v>43678</v>
      </c>
      <c r="B8483">
        <v>181900424</v>
      </c>
      <c r="C8483" t="s">
        <v>4209</v>
      </c>
      <c r="D8483" t="s">
        <v>7319</v>
      </c>
      <c r="E8483" s="2">
        <v>70</v>
      </c>
    </row>
    <row r="8484" spans="1:5" x14ac:dyDescent="0.25">
      <c r="A8484" s="1">
        <v>43684</v>
      </c>
      <c r="B8484">
        <v>181900425</v>
      </c>
      <c r="C8484" t="s">
        <v>7263</v>
      </c>
      <c r="D8484" t="s">
        <v>7318</v>
      </c>
      <c r="E8484" s="2">
        <v>25</v>
      </c>
    </row>
    <row r="8485" spans="1:5" x14ac:dyDescent="0.25">
      <c r="A8485" s="1">
        <v>43684</v>
      </c>
      <c r="B8485">
        <v>181900425</v>
      </c>
      <c r="C8485" t="s">
        <v>7263</v>
      </c>
      <c r="D8485" t="s">
        <v>7264</v>
      </c>
      <c r="E8485" s="2">
        <v>25</v>
      </c>
    </row>
    <row r="8486" spans="1:5" x14ac:dyDescent="0.25">
      <c r="A8486" s="1">
        <v>43684</v>
      </c>
      <c r="B8486">
        <v>181900425</v>
      </c>
      <c r="C8486" t="s">
        <v>7263</v>
      </c>
      <c r="D8486" t="s">
        <v>7265</v>
      </c>
      <c r="E8486" s="2">
        <v>25</v>
      </c>
    </row>
    <row r="8487" spans="1:5" x14ac:dyDescent="0.25">
      <c r="A8487" s="1">
        <v>43685</v>
      </c>
      <c r="B8487">
        <v>181900426</v>
      </c>
      <c r="C8487" t="s">
        <v>4147</v>
      </c>
      <c r="D8487" t="s">
        <v>7266</v>
      </c>
      <c r="E8487" s="2">
        <v>244.86</v>
      </c>
    </row>
    <row r="8488" spans="1:5" x14ac:dyDescent="0.25">
      <c r="A8488" s="1">
        <v>43685</v>
      </c>
      <c r="B8488">
        <v>181900428</v>
      </c>
      <c r="C8488" t="s">
        <v>1541</v>
      </c>
      <c r="D8488" t="s">
        <v>7266</v>
      </c>
      <c r="E8488" s="2">
        <f>525+320</f>
        <v>845</v>
      </c>
    </row>
    <row r="8489" spans="1:5" x14ac:dyDescent="0.25">
      <c r="A8489" s="1">
        <v>43685</v>
      </c>
      <c r="B8489">
        <v>181900429</v>
      </c>
      <c r="C8489" t="s">
        <v>398</v>
      </c>
      <c r="D8489" t="s">
        <v>7267</v>
      </c>
      <c r="E8489" s="2">
        <v>106122.68</v>
      </c>
    </row>
    <row r="8490" spans="1:5" x14ac:dyDescent="0.25">
      <c r="A8490" s="1">
        <v>43685</v>
      </c>
      <c r="B8490">
        <v>181900430</v>
      </c>
      <c r="C8490" t="s">
        <v>7268</v>
      </c>
      <c r="D8490" t="s">
        <v>6956</v>
      </c>
      <c r="E8490" s="2">
        <v>53.35</v>
      </c>
    </row>
    <row r="8491" spans="1:5" x14ac:dyDescent="0.25">
      <c r="A8491" s="1">
        <v>43685</v>
      </c>
      <c r="B8491">
        <v>181900431</v>
      </c>
      <c r="C8491" t="s">
        <v>274</v>
      </c>
      <c r="D8491" t="s">
        <v>7317</v>
      </c>
      <c r="E8491" s="2">
        <v>620.20000000000005</v>
      </c>
    </row>
    <row r="8492" spans="1:5" x14ac:dyDescent="0.25">
      <c r="A8492" s="1">
        <v>43685</v>
      </c>
      <c r="B8492">
        <v>181900431</v>
      </c>
      <c r="C8492" t="s">
        <v>274</v>
      </c>
      <c r="D8492" t="s">
        <v>7310</v>
      </c>
      <c r="E8492" s="2">
        <v>777.92</v>
      </c>
    </row>
    <row r="8493" spans="1:5" x14ac:dyDescent="0.25">
      <c r="A8493" s="1">
        <v>43685</v>
      </c>
      <c r="B8493">
        <v>181900432</v>
      </c>
      <c r="C8493" t="s">
        <v>48</v>
      </c>
      <c r="D8493" t="s">
        <v>6619</v>
      </c>
      <c r="E8493" s="2">
        <v>5103.76</v>
      </c>
    </row>
    <row r="8494" spans="1:5" x14ac:dyDescent="0.25">
      <c r="A8494" s="1">
        <v>43685</v>
      </c>
      <c r="B8494">
        <v>181900433</v>
      </c>
      <c r="C8494" t="s">
        <v>4207</v>
      </c>
      <c r="D8494" t="s">
        <v>7316</v>
      </c>
      <c r="E8494" s="2">
        <v>258.14</v>
      </c>
    </row>
    <row r="8495" spans="1:5" x14ac:dyDescent="0.25">
      <c r="A8495" s="1">
        <v>43685</v>
      </c>
      <c r="B8495">
        <v>181900434</v>
      </c>
      <c r="C8495" t="s">
        <v>302</v>
      </c>
      <c r="D8495" t="s">
        <v>7315</v>
      </c>
      <c r="E8495" s="2">
        <v>1121</v>
      </c>
    </row>
    <row r="8496" spans="1:5" x14ac:dyDescent="0.25">
      <c r="A8496" s="1">
        <v>43685</v>
      </c>
      <c r="B8496">
        <v>181900434</v>
      </c>
      <c r="C8496" t="s">
        <v>302</v>
      </c>
      <c r="D8496" t="s">
        <v>1448</v>
      </c>
      <c r="E8496" s="2">
        <v>39.6</v>
      </c>
    </row>
    <row r="8497" spans="1:5" x14ac:dyDescent="0.25">
      <c r="A8497" s="1">
        <v>43686</v>
      </c>
      <c r="B8497">
        <v>181900435</v>
      </c>
      <c r="C8497" t="s">
        <v>398</v>
      </c>
      <c r="D8497" t="s">
        <v>7269</v>
      </c>
      <c r="E8497" s="2">
        <v>28987.599999999999</v>
      </c>
    </row>
    <row r="8498" spans="1:5" x14ac:dyDescent="0.25">
      <c r="A8498" s="1">
        <v>43691</v>
      </c>
      <c r="B8498">
        <v>181900436</v>
      </c>
      <c r="C8498" t="s">
        <v>274</v>
      </c>
      <c r="D8498" t="s">
        <v>7270</v>
      </c>
      <c r="E8498" s="2">
        <v>2144.59</v>
      </c>
    </row>
    <row r="8499" spans="1:5" x14ac:dyDescent="0.25">
      <c r="A8499" s="1">
        <v>43691</v>
      </c>
      <c r="B8499">
        <v>181900437</v>
      </c>
      <c r="C8499" t="s">
        <v>393</v>
      </c>
      <c r="D8499" t="s">
        <v>7271</v>
      </c>
      <c r="E8499" s="2">
        <v>168.74</v>
      </c>
    </row>
    <row r="8500" spans="1:5" x14ac:dyDescent="0.25">
      <c r="A8500" s="1">
        <v>43692</v>
      </c>
      <c r="B8500">
        <v>181900438</v>
      </c>
      <c r="C8500" t="s">
        <v>7272</v>
      </c>
      <c r="D8500" t="s">
        <v>880</v>
      </c>
      <c r="E8500" s="2">
        <v>400</v>
      </c>
    </row>
    <row r="8501" spans="1:5" x14ac:dyDescent="0.25">
      <c r="A8501" s="1">
        <v>43692</v>
      </c>
      <c r="B8501">
        <v>181900439</v>
      </c>
      <c r="C8501" t="s">
        <v>7273</v>
      </c>
      <c r="D8501" t="s">
        <v>880</v>
      </c>
      <c r="E8501" s="2">
        <v>44.84</v>
      </c>
    </row>
    <row r="8502" spans="1:5" x14ac:dyDescent="0.25">
      <c r="A8502" s="1">
        <v>43692</v>
      </c>
      <c r="B8502">
        <v>181900440</v>
      </c>
      <c r="C8502" t="s">
        <v>2464</v>
      </c>
      <c r="D8502" t="s">
        <v>880</v>
      </c>
      <c r="E8502" s="2">
        <v>464.17</v>
      </c>
    </row>
    <row r="8503" spans="1:5" x14ac:dyDescent="0.25">
      <c r="A8503" s="1">
        <v>43692</v>
      </c>
      <c r="B8503">
        <v>181900441</v>
      </c>
      <c r="C8503" t="s">
        <v>48</v>
      </c>
      <c r="D8503" t="s">
        <v>6619</v>
      </c>
      <c r="E8503" s="2">
        <v>6069.93</v>
      </c>
    </row>
    <row r="8504" spans="1:5" x14ac:dyDescent="0.25">
      <c r="A8504" s="1">
        <v>43692</v>
      </c>
      <c r="B8504">
        <v>181900442</v>
      </c>
      <c r="C8504" t="s">
        <v>1251</v>
      </c>
      <c r="D8504" t="s">
        <v>7274</v>
      </c>
      <c r="E8504" s="2">
        <v>1280.73</v>
      </c>
    </row>
    <row r="8505" spans="1:5" x14ac:dyDescent="0.25">
      <c r="A8505" s="1">
        <v>43698</v>
      </c>
      <c r="B8505">
        <v>181900443</v>
      </c>
      <c r="C8505" t="s">
        <v>4205</v>
      </c>
      <c r="D8505" t="s">
        <v>7314</v>
      </c>
      <c r="E8505" s="2">
        <v>227.71</v>
      </c>
    </row>
    <row r="8506" spans="1:5" x14ac:dyDescent="0.25">
      <c r="A8506" s="1">
        <v>43698</v>
      </c>
      <c r="B8506">
        <v>181900444</v>
      </c>
      <c r="C8506" t="s">
        <v>1296</v>
      </c>
      <c r="D8506" t="s">
        <v>7313</v>
      </c>
      <c r="E8506" s="2">
        <v>25.5</v>
      </c>
    </row>
    <row r="8507" spans="1:5" x14ac:dyDescent="0.25">
      <c r="A8507" s="1">
        <v>43698</v>
      </c>
      <c r="B8507">
        <v>181900445</v>
      </c>
      <c r="C8507" t="s">
        <v>302</v>
      </c>
      <c r="D8507" t="s">
        <v>7275</v>
      </c>
      <c r="E8507" s="2">
        <v>56</v>
      </c>
    </row>
    <row r="8508" spans="1:5" x14ac:dyDescent="0.25">
      <c r="A8508" s="1">
        <v>43698</v>
      </c>
      <c r="B8508">
        <v>181900447</v>
      </c>
      <c r="C8508" t="s">
        <v>393</v>
      </c>
      <c r="D8508" t="s">
        <v>7312</v>
      </c>
      <c r="E8508" s="2">
        <f>54+54</f>
        <v>108</v>
      </c>
    </row>
    <row r="8509" spans="1:5" x14ac:dyDescent="0.25">
      <c r="A8509" s="1">
        <v>43698</v>
      </c>
      <c r="B8509">
        <v>181900447</v>
      </c>
      <c r="C8509" t="s">
        <v>393</v>
      </c>
      <c r="D8509" t="s">
        <v>7271</v>
      </c>
      <c r="E8509" s="2">
        <v>157.04</v>
      </c>
    </row>
    <row r="8510" spans="1:5" x14ac:dyDescent="0.25">
      <c r="A8510" s="1">
        <v>43698</v>
      </c>
      <c r="B8510">
        <v>181900447</v>
      </c>
      <c r="C8510" t="s">
        <v>393</v>
      </c>
      <c r="D8510" t="s">
        <v>7311</v>
      </c>
      <c r="E8510" s="2">
        <v>720</v>
      </c>
    </row>
    <row r="8511" spans="1:5" x14ac:dyDescent="0.25">
      <c r="A8511" s="1">
        <v>43699</v>
      </c>
      <c r="B8511">
        <v>181900453</v>
      </c>
      <c r="C8511" t="s">
        <v>4205</v>
      </c>
      <c r="D8511" t="s">
        <v>6900</v>
      </c>
      <c r="E8511" s="2">
        <v>112.13</v>
      </c>
    </row>
    <row r="8512" spans="1:5" x14ac:dyDescent="0.25">
      <c r="A8512" s="1">
        <v>43699</v>
      </c>
      <c r="B8512">
        <v>181900454</v>
      </c>
      <c r="C8512" t="s">
        <v>274</v>
      </c>
      <c r="D8512" t="s">
        <v>7310</v>
      </c>
      <c r="E8512" s="2">
        <v>1557.06</v>
      </c>
    </row>
    <row r="8513" spans="1:5" x14ac:dyDescent="0.25">
      <c r="A8513" s="1">
        <v>43699</v>
      </c>
      <c r="B8513">
        <v>181900455</v>
      </c>
      <c r="C8513" t="s">
        <v>302</v>
      </c>
      <c r="D8513" t="s">
        <v>7309</v>
      </c>
      <c r="E8513" s="2">
        <v>378.6</v>
      </c>
    </row>
    <row r="8514" spans="1:5" x14ac:dyDescent="0.25">
      <c r="A8514" s="1">
        <v>43699</v>
      </c>
      <c r="B8514">
        <v>181900455</v>
      </c>
      <c r="C8514" t="s">
        <v>302</v>
      </c>
      <c r="D8514" t="s">
        <v>7277</v>
      </c>
      <c r="E8514" s="2">
        <v>725</v>
      </c>
    </row>
    <row r="8515" spans="1:5" x14ac:dyDescent="0.25">
      <c r="A8515" s="1">
        <v>43699</v>
      </c>
      <c r="B8515">
        <v>181900456</v>
      </c>
      <c r="C8515" t="s">
        <v>1251</v>
      </c>
      <c r="D8515" t="s">
        <v>7274</v>
      </c>
      <c r="E8515" s="2">
        <v>267.75</v>
      </c>
    </row>
    <row r="8516" spans="1:5" x14ac:dyDescent="0.25">
      <c r="A8516" s="1">
        <v>43705</v>
      </c>
      <c r="B8516">
        <v>181900457</v>
      </c>
      <c r="C8516" t="s">
        <v>393</v>
      </c>
      <c r="D8516" t="s">
        <v>6695</v>
      </c>
      <c r="E8516" s="2">
        <f>68+81</f>
        <v>149</v>
      </c>
    </row>
    <row r="8517" spans="1:5" x14ac:dyDescent="0.25">
      <c r="A8517" s="1">
        <v>43705</v>
      </c>
      <c r="B8517">
        <v>181900457</v>
      </c>
      <c r="C8517" t="s">
        <v>393</v>
      </c>
      <c r="D8517" t="s">
        <v>7308</v>
      </c>
      <c r="E8517" s="2">
        <v>542.28</v>
      </c>
    </row>
    <row r="8518" spans="1:5" x14ac:dyDescent="0.25">
      <c r="A8518" s="1">
        <v>43706</v>
      </c>
      <c r="B8518">
        <v>181900458</v>
      </c>
      <c r="C8518" t="s">
        <v>7278</v>
      </c>
      <c r="D8518" t="s">
        <v>7279</v>
      </c>
      <c r="E8518" s="2">
        <v>87.5</v>
      </c>
    </row>
    <row r="8519" spans="1:5" x14ac:dyDescent="0.25">
      <c r="A8519" s="1">
        <v>43706</v>
      </c>
      <c r="B8519">
        <v>181900459</v>
      </c>
      <c r="C8519" t="s">
        <v>4205</v>
      </c>
      <c r="D8519" t="s">
        <v>7276</v>
      </c>
      <c r="E8519" s="2">
        <v>185.88</v>
      </c>
    </row>
    <row r="8520" spans="1:5" x14ac:dyDescent="0.25">
      <c r="A8520" s="1">
        <v>43706</v>
      </c>
      <c r="B8520">
        <v>181900460</v>
      </c>
      <c r="C8520" t="s">
        <v>6632</v>
      </c>
      <c r="D8520" t="s">
        <v>7280</v>
      </c>
      <c r="E8520" s="2">
        <v>39.049999999999997</v>
      </c>
    </row>
    <row r="8521" spans="1:5" x14ac:dyDescent="0.25">
      <c r="A8521" s="1">
        <v>43706</v>
      </c>
      <c r="B8521">
        <v>181900461</v>
      </c>
      <c r="C8521" t="s">
        <v>48</v>
      </c>
      <c r="D8521" t="s">
        <v>6619</v>
      </c>
      <c r="E8521" s="2">
        <v>11636.71</v>
      </c>
    </row>
    <row r="8522" spans="1:5" x14ac:dyDescent="0.25">
      <c r="A8522" s="1">
        <v>43703</v>
      </c>
      <c r="B8522">
        <v>201800257</v>
      </c>
      <c r="C8522" t="s">
        <v>928</v>
      </c>
      <c r="D8522" t="s">
        <v>7281</v>
      </c>
      <c r="E8522" s="2">
        <v>56.89</v>
      </c>
    </row>
    <row r="8523" spans="1:5" x14ac:dyDescent="0.25">
      <c r="A8523" s="1">
        <v>43684</v>
      </c>
      <c r="B8523">
        <v>201800259</v>
      </c>
      <c r="C8523" t="s">
        <v>400</v>
      </c>
      <c r="D8523" t="s">
        <v>7282</v>
      </c>
      <c r="E8523" s="2">
        <v>175</v>
      </c>
    </row>
    <row r="8524" spans="1:5" x14ac:dyDescent="0.25">
      <c r="A8524" s="1">
        <v>43689</v>
      </c>
      <c r="B8524">
        <v>201800260</v>
      </c>
      <c r="C8524" t="s">
        <v>629</v>
      </c>
      <c r="D8524" t="s">
        <v>7177</v>
      </c>
      <c r="E8524" s="2">
        <v>176.31</v>
      </c>
    </row>
    <row r="8525" spans="1:5" x14ac:dyDescent="0.25">
      <c r="A8525" s="1">
        <v>43689</v>
      </c>
      <c r="B8525">
        <v>201800261</v>
      </c>
      <c r="C8525" t="s">
        <v>404</v>
      </c>
      <c r="D8525" t="s">
        <v>7307</v>
      </c>
      <c r="E8525" s="2">
        <v>541.75</v>
      </c>
    </row>
    <row r="8526" spans="1:5" x14ac:dyDescent="0.25">
      <c r="A8526" s="1">
        <v>43689</v>
      </c>
      <c r="B8526">
        <v>201800262</v>
      </c>
      <c r="C8526" t="s">
        <v>7283</v>
      </c>
      <c r="D8526" t="s">
        <v>7284</v>
      </c>
      <c r="E8526" s="2">
        <v>51</v>
      </c>
    </row>
    <row r="8527" spans="1:5" x14ac:dyDescent="0.25">
      <c r="A8527" s="1">
        <v>43689</v>
      </c>
      <c r="B8527">
        <v>201800263</v>
      </c>
      <c r="C8527" t="s">
        <v>7285</v>
      </c>
      <c r="D8527" t="s">
        <v>7286</v>
      </c>
      <c r="E8527" s="2">
        <v>66</v>
      </c>
    </row>
    <row r="8528" spans="1:5" x14ac:dyDescent="0.25">
      <c r="A8528" s="1">
        <v>43689</v>
      </c>
      <c r="B8528">
        <v>201800264</v>
      </c>
      <c r="C8528" t="s">
        <v>5631</v>
      </c>
      <c r="D8528" t="s">
        <v>7306</v>
      </c>
      <c r="E8528" s="2">
        <f>74.75+112.53</f>
        <v>187.28</v>
      </c>
    </row>
    <row r="8529" spans="1:6" x14ac:dyDescent="0.25">
      <c r="A8529" s="1">
        <v>43689</v>
      </c>
      <c r="B8529">
        <v>201800265</v>
      </c>
      <c r="C8529" t="s">
        <v>7287</v>
      </c>
      <c r="D8529" t="s">
        <v>7305</v>
      </c>
      <c r="E8529" s="2">
        <v>25.5</v>
      </c>
    </row>
    <row r="8530" spans="1:6" x14ac:dyDescent="0.25">
      <c r="A8530" s="1">
        <v>43689</v>
      </c>
      <c r="B8530">
        <v>201800266</v>
      </c>
      <c r="C8530" t="s">
        <v>7288</v>
      </c>
      <c r="D8530" t="s">
        <v>7304</v>
      </c>
      <c r="E8530" s="2">
        <v>18.04</v>
      </c>
    </row>
    <row r="8531" spans="1:6" x14ac:dyDescent="0.25">
      <c r="A8531" s="1">
        <v>43661</v>
      </c>
      <c r="B8531">
        <v>201800267</v>
      </c>
      <c r="C8531" t="s">
        <v>942</v>
      </c>
      <c r="D8531" t="s">
        <v>7302</v>
      </c>
      <c r="E8531" s="2">
        <v>560.22</v>
      </c>
    </row>
    <row r="8532" spans="1:6" x14ac:dyDescent="0.25">
      <c r="A8532" s="1">
        <v>43689</v>
      </c>
      <c r="B8532">
        <v>201800268</v>
      </c>
      <c r="C8532" t="s">
        <v>7289</v>
      </c>
      <c r="D8532" t="s">
        <v>7303</v>
      </c>
      <c r="E8532" s="2">
        <v>62.48</v>
      </c>
    </row>
    <row r="8533" spans="1:6" x14ac:dyDescent="0.25">
      <c r="A8533" s="1">
        <v>43703</v>
      </c>
      <c r="B8533">
        <v>201800271</v>
      </c>
      <c r="C8533" t="s">
        <v>404</v>
      </c>
      <c r="D8533" t="s">
        <v>4892</v>
      </c>
      <c r="E8533" s="2">
        <v>640.25</v>
      </c>
    </row>
    <row r="8534" spans="1:6" x14ac:dyDescent="0.25">
      <c r="A8534" s="1">
        <v>43703</v>
      </c>
      <c r="B8534">
        <v>201800272</v>
      </c>
      <c r="C8534" t="s">
        <v>7048</v>
      </c>
      <c r="D8534" t="s">
        <v>7290</v>
      </c>
      <c r="E8534" s="2">
        <v>178.38</v>
      </c>
    </row>
    <row r="8535" spans="1:6" x14ac:dyDescent="0.25">
      <c r="A8535" s="1">
        <v>43703</v>
      </c>
      <c r="B8535">
        <v>201800273</v>
      </c>
      <c r="C8535" t="s">
        <v>796</v>
      </c>
      <c r="D8535" t="s">
        <v>7291</v>
      </c>
      <c r="E8535" s="2">
        <v>57.17</v>
      </c>
    </row>
    <row r="8536" spans="1:6" x14ac:dyDescent="0.25">
      <c r="A8536" s="1">
        <v>43703</v>
      </c>
      <c r="B8536">
        <v>201800274</v>
      </c>
      <c r="C8536" t="s">
        <v>7292</v>
      </c>
      <c r="D8536" t="s">
        <v>7301</v>
      </c>
      <c r="E8536" s="2">
        <v>304.70999999999998</v>
      </c>
    </row>
    <row r="8537" spans="1:6" x14ac:dyDescent="0.25">
      <c r="A8537" s="1">
        <v>43703</v>
      </c>
      <c r="B8537">
        <v>201800275</v>
      </c>
      <c r="C8537" t="s">
        <v>932</v>
      </c>
      <c r="D8537" t="s">
        <v>7300</v>
      </c>
      <c r="E8537" s="2">
        <v>11</v>
      </c>
    </row>
    <row r="8538" spans="1:6" x14ac:dyDescent="0.25">
      <c r="A8538" s="1">
        <v>43703</v>
      </c>
      <c r="B8538">
        <v>201800277</v>
      </c>
      <c r="C8538" t="s">
        <v>938</v>
      </c>
      <c r="D8538" t="s">
        <v>7299</v>
      </c>
      <c r="E8538" s="2">
        <v>25.73</v>
      </c>
    </row>
    <row r="8539" spans="1:6" x14ac:dyDescent="0.25">
      <c r="A8539" s="1">
        <v>43703</v>
      </c>
      <c r="B8539">
        <v>201800278</v>
      </c>
      <c r="C8539" t="s">
        <v>55</v>
      </c>
      <c r="D8539" t="s">
        <v>7298</v>
      </c>
      <c r="E8539" s="2">
        <f>2975+425</f>
        <v>3400</v>
      </c>
    </row>
    <row r="8540" spans="1:6" x14ac:dyDescent="0.25">
      <c r="A8540" s="1">
        <v>43703</v>
      </c>
      <c r="B8540">
        <v>201800279</v>
      </c>
      <c r="C8540" t="s">
        <v>793</v>
      </c>
      <c r="D8540" t="s">
        <v>7297</v>
      </c>
      <c r="E8540" s="2">
        <v>47.5</v>
      </c>
    </row>
    <row r="8541" spans="1:6" x14ac:dyDescent="0.25">
      <c r="A8541" s="1">
        <v>43707</v>
      </c>
      <c r="B8541">
        <v>201800281</v>
      </c>
      <c r="C8541" t="s">
        <v>5631</v>
      </c>
      <c r="D8541" t="s">
        <v>7293</v>
      </c>
      <c r="E8541" s="2">
        <v>370.15</v>
      </c>
    </row>
    <row r="8542" spans="1:6" x14ac:dyDescent="0.25">
      <c r="A8542" s="1">
        <v>43707</v>
      </c>
      <c r="B8542">
        <v>201800282</v>
      </c>
      <c r="C8542" t="s">
        <v>7294</v>
      </c>
      <c r="D8542" t="s">
        <v>7295</v>
      </c>
      <c r="E8542" s="2">
        <v>59.5</v>
      </c>
    </row>
    <row r="8543" spans="1:6" x14ac:dyDescent="0.25">
      <c r="A8543" s="1">
        <v>43707</v>
      </c>
      <c r="B8543">
        <v>201800283</v>
      </c>
      <c r="C8543" t="s">
        <v>5211</v>
      </c>
      <c r="D8543" t="s">
        <v>7296</v>
      </c>
      <c r="E8543" s="2">
        <v>499</v>
      </c>
    </row>
    <row r="8544" spans="1:6" x14ac:dyDescent="0.25">
      <c r="C8544" t="s">
        <v>2659</v>
      </c>
      <c r="F8544" s="9">
        <f>SUM(E7858:E8543)</f>
        <v>1582529.3999999992</v>
      </c>
    </row>
    <row r="8545" spans="3:6" x14ac:dyDescent="0.25">
      <c r="C8545" t="s">
        <v>2660</v>
      </c>
      <c r="F8545" s="2">
        <f>SUM(F5:F8544)</f>
        <v>18309499.208999995</v>
      </c>
    </row>
  </sheetData>
  <sheetProtection algorithmName="SHA-512" hashValue="C0wOL6qWstkm2036DHWyXp2OTJcLbZk4mDr/wWSWIszrwa5/HA5xVNckIuvbHJYZYnsRQ4pS0eNACXH5L+XGFQ==" saltValue="WeUppUNSGp3071S2D28xEg==" spinCount="100000" sheet="1" objects="1" scenarios="1" sort="0"/>
  <sortState xmlns:xlrd2="http://schemas.microsoft.com/office/spreadsheetml/2017/richdata2" ref="A4726:E5501">
    <sortCondition ref="A4726:A55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Auditor Check Register (Dates 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2018-10-18T14:31:24Z</dcterms:created>
  <dcterms:modified xsi:type="dcterms:W3CDTF">2023-11-09T20:47:09Z</dcterms:modified>
</cp:coreProperties>
</file>