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Debt Information\"/>
    </mc:Choice>
  </mc:AlternateContent>
  <xr:revisionPtr revIDLastSave="0" documentId="8_{6DEF535B-0442-407A-9FD1-9271533F0F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itle Page" sheetId="6" r:id="rId1"/>
    <sheet name="Fund FS" sheetId="1" r:id="rId2"/>
    <sheet name="List of Bond Issues" sheetId="2" r:id="rId3"/>
    <sheet name="General Obligation Bonds wP&amp;I" sheetId="5" r:id="rId4"/>
    <sheet name="General Obligation wper capita" sheetId="4" r:id="rId5"/>
    <sheet name="General Obligation per Student" sheetId="8" r:id="rId6"/>
    <sheet name="Total Bonded Debt OS" sheetId="3" r:id="rId7"/>
    <sheet name="Maint Tax Note" sheetId="7" r:id="rId8"/>
    <sheet name="Notes Payable" sheetId="9" r:id="rId9"/>
  </sheets>
  <definedNames>
    <definedName name="_xlnm.Print_Area" localSheetId="3">'General Obligation Bonds wP&amp;I'!$A$1:$G$36</definedName>
    <definedName name="_xlnm.Print_Area" localSheetId="5">'General Obligation per Student'!$A$1:$H$39</definedName>
    <definedName name="_xlnm.Print_Area" localSheetId="4">'General Obligation wper capita'!$A$1:$H$42</definedName>
    <definedName name="_xlnm.Print_Area" localSheetId="2">'List of Bond Issues'!$A$1:$I$35</definedName>
    <definedName name="_xlnm.Print_Area" localSheetId="7">'Maint Tax Note'!$A$1:$G$27</definedName>
    <definedName name="_xlnm.Print_Area" localSheetId="8">'Notes Payable'!$A$1:$F$28</definedName>
    <definedName name="_xlnm.Print_Area" localSheetId="6">'Total Bonded Debt OS'!$A$1:$D$31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3" l="1"/>
  <c r="C14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3" i="3"/>
  <c r="C12" i="3"/>
  <c r="C11" i="3"/>
  <c r="C10" i="3"/>
  <c r="C9" i="3"/>
  <c r="C8" i="3"/>
  <c r="C7" i="3"/>
  <c r="C6" i="3"/>
  <c r="I26" i="1"/>
  <c r="I34" i="1" s="1"/>
  <c r="E26" i="1"/>
  <c r="E34" i="1" s="1"/>
  <c r="H18" i="8" l="1"/>
  <c r="F19" i="8"/>
  <c r="G18" i="8"/>
  <c r="E19" i="8"/>
  <c r="D19" i="8"/>
  <c r="B19" i="8"/>
  <c r="G18" i="4" l="1"/>
  <c r="H18" i="4" s="1"/>
  <c r="F19" i="4"/>
  <c r="E19" i="4"/>
  <c r="D19" i="4"/>
  <c r="B19" i="4"/>
  <c r="F16" i="5"/>
  <c r="B17" i="5"/>
  <c r="G17" i="2"/>
  <c r="J10" i="1"/>
  <c r="I10" i="1"/>
  <c r="H10" i="1"/>
  <c r="D10" i="1"/>
  <c r="E10" i="1"/>
  <c r="K25" i="1" l="1"/>
  <c r="F27" i="8" l="1"/>
  <c r="E27" i="8"/>
  <c r="G11" i="8"/>
  <c r="G9" i="8"/>
  <c r="G32" i="8"/>
  <c r="G33" i="8" s="1"/>
  <c r="G17" i="8"/>
  <c r="G16" i="8"/>
  <c r="G15" i="8"/>
  <c r="G14" i="8"/>
  <c r="G13" i="8"/>
  <c r="G12" i="8"/>
  <c r="G10" i="8"/>
  <c r="G8" i="8"/>
  <c r="E33" i="8"/>
  <c r="G24" i="8"/>
  <c r="G25" i="8"/>
  <c r="G26" i="8"/>
  <c r="G32" i="4"/>
  <c r="G26" i="4"/>
  <c r="G25" i="4"/>
  <c r="G24" i="4"/>
  <c r="G11" i="4"/>
  <c r="G14" i="4"/>
  <c r="G13" i="4"/>
  <c r="G12" i="4"/>
  <c r="G10" i="4"/>
  <c r="G17" i="4"/>
  <c r="G16" i="4"/>
  <c r="G15" i="4"/>
  <c r="G8" i="4"/>
  <c r="F33" i="4"/>
  <c r="F27" i="4"/>
  <c r="D29" i="3"/>
  <c r="D28" i="3"/>
  <c r="D20" i="3"/>
  <c r="D12" i="3"/>
  <c r="D26" i="3"/>
  <c r="B30" i="3"/>
  <c r="D27" i="3"/>
  <c r="D25" i="3"/>
  <c r="D24" i="3"/>
  <c r="D23" i="3"/>
  <c r="D22" i="3"/>
  <c r="D21" i="3"/>
  <c r="D19" i="3"/>
  <c r="D18" i="3"/>
  <c r="D17" i="3"/>
  <c r="D16" i="3"/>
  <c r="D15" i="3"/>
  <c r="D14" i="3"/>
  <c r="D13" i="3"/>
  <c r="D11" i="3"/>
  <c r="D10" i="3"/>
  <c r="D9" i="3"/>
  <c r="D8" i="3"/>
  <c r="D7" i="3"/>
  <c r="D6" i="3"/>
  <c r="D30" i="3" l="1"/>
  <c r="G27" i="8"/>
  <c r="G19" i="8"/>
  <c r="F35" i="4"/>
  <c r="G9" i="4"/>
  <c r="G19" i="4" s="1"/>
  <c r="C30" i="3"/>
  <c r="H16" i="8"/>
  <c r="H31" i="8"/>
  <c r="H23" i="8"/>
  <c r="H17" i="4"/>
  <c r="H16" i="4"/>
  <c r="F15" i="5"/>
  <c r="F14" i="5"/>
  <c r="D17" i="5"/>
  <c r="G16" i="2"/>
  <c r="G15" i="2"/>
  <c r="K13" i="1"/>
  <c r="H26" i="1"/>
  <c r="D26" i="1"/>
  <c r="D34" i="1" s="1"/>
  <c r="C26" i="1"/>
  <c r="K24" i="1"/>
  <c r="K23" i="1"/>
  <c r="I20" i="1"/>
  <c r="I14" i="1"/>
  <c r="E17" i="5" l="1"/>
  <c r="I37" i="1"/>
  <c r="H17" i="8"/>
  <c r="J26" i="1"/>
  <c r="J34" i="1" s="1"/>
  <c r="K26" i="1" l="1"/>
  <c r="K34" i="1"/>
  <c r="C9" i="9"/>
  <c r="C8" i="9"/>
  <c r="C7" i="9"/>
  <c r="C6" i="9"/>
  <c r="D11" i="7"/>
  <c r="D10" i="7"/>
  <c r="D9" i="7"/>
  <c r="D8" i="7"/>
  <c r="D7" i="7"/>
  <c r="D6" i="7"/>
  <c r="D12" i="7" l="1"/>
  <c r="C12" i="7"/>
  <c r="K17" i="1" l="1"/>
  <c r="C35" i="1"/>
  <c r="E20" i="1"/>
  <c r="E33" i="1" s="1"/>
  <c r="E35" i="1" s="1"/>
  <c r="D20" i="1"/>
  <c r="D33" i="1" s="1"/>
  <c r="C20" i="1"/>
  <c r="F19" i="1"/>
  <c r="F18" i="1"/>
  <c r="F17" i="1"/>
  <c r="E14" i="1"/>
  <c r="D14" i="1"/>
  <c r="C14" i="1"/>
  <c r="C37" i="1" s="1"/>
  <c r="F12" i="1"/>
  <c r="F11" i="1"/>
  <c r="F10" i="1"/>
  <c r="D37" i="1" l="1"/>
  <c r="F14" i="1"/>
  <c r="E37" i="1"/>
  <c r="F33" i="1"/>
  <c r="F35" i="1" s="1"/>
  <c r="F20" i="1"/>
  <c r="D35" i="1"/>
  <c r="F30" i="5"/>
  <c r="C11" i="9" l="1"/>
  <c r="D10" i="9"/>
  <c r="D9" i="9"/>
  <c r="D8" i="9"/>
  <c r="D7" i="9"/>
  <c r="D6" i="9"/>
  <c r="G29" i="2"/>
  <c r="G33" i="4"/>
  <c r="E33" i="4"/>
  <c r="D33" i="4"/>
  <c r="B33" i="4"/>
  <c r="H32" i="4"/>
  <c r="H33" i="4" s="1"/>
  <c r="F31" i="5"/>
  <c r="E31" i="5"/>
  <c r="D31" i="5"/>
  <c r="B31" i="5"/>
  <c r="D33" i="8"/>
  <c r="B33" i="8"/>
  <c r="D11" i="9" l="1"/>
  <c r="B11" i="9"/>
  <c r="H32" i="8"/>
  <c r="H33" i="8" s="1"/>
  <c r="D27" i="8"/>
  <c r="B27" i="8"/>
  <c r="B35" i="8" l="1"/>
  <c r="H26" i="8" l="1"/>
  <c r="E25" i="5" l="1"/>
  <c r="D25" i="5"/>
  <c r="B25" i="5"/>
  <c r="F23" i="5"/>
  <c r="E27" i="4"/>
  <c r="E35" i="4" s="1"/>
  <c r="D27" i="4"/>
  <c r="D35" i="4" s="1"/>
  <c r="B27" i="4"/>
  <c r="B35" i="4" s="1"/>
  <c r="H26" i="4"/>
  <c r="G23" i="2"/>
  <c r="H25" i="8" l="1"/>
  <c r="H24" i="8"/>
  <c r="D35" i="8"/>
  <c r="H15" i="8"/>
  <c r="H14" i="8"/>
  <c r="H13" i="8"/>
  <c r="H12" i="8"/>
  <c r="H11" i="8"/>
  <c r="H10" i="8"/>
  <c r="E35" i="8"/>
  <c r="H8" i="8"/>
  <c r="H27" i="8" l="1"/>
  <c r="H9" i="8"/>
  <c r="H19" i="8" s="1"/>
  <c r="H11" i="4"/>
  <c r="F24" i="5"/>
  <c r="F22" i="5"/>
  <c r="H25" i="4"/>
  <c r="H24" i="4"/>
  <c r="B12" i="7"/>
  <c r="H27" i="4" l="1"/>
  <c r="G27" i="4"/>
  <c r="F25" i="5"/>
  <c r="H35" i="8"/>
  <c r="G35" i="8"/>
  <c r="F8" i="5"/>
  <c r="F7" i="5"/>
  <c r="B34" i="5"/>
  <c r="H15" i="4"/>
  <c r="H14" i="4"/>
  <c r="H13" i="4"/>
  <c r="H12" i="4"/>
  <c r="H10" i="4"/>
  <c r="H8" i="4"/>
  <c r="H9" i="4" l="1"/>
  <c r="G35" i="4"/>
  <c r="D34" i="5"/>
  <c r="F11" i="5"/>
  <c r="F9" i="5"/>
  <c r="F13" i="5"/>
  <c r="F12" i="5"/>
  <c r="F10" i="5"/>
  <c r="H19" i="4" l="1"/>
  <c r="H35" i="4" s="1"/>
  <c r="F17" i="5"/>
  <c r="E34" i="5"/>
  <c r="G24" i="2"/>
  <c r="G22" i="2"/>
  <c r="G14" i="2"/>
  <c r="G13" i="2"/>
  <c r="G12" i="2"/>
  <c r="G11" i="2"/>
  <c r="G10" i="2"/>
  <c r="G9" i="2"/>
  <c r="G8" i="2"/>
  <c r="G7" i="2"/>
  <c r="K10" i="1"/>
  <c r="H14" i="1"/>
  <c r="K12" i="1"/>
  <c r="K11" i="1"/>
  <c r="K19" i="1"/>
  <c r="K18" i="1"/>
  <c r="J20" i="1"/>
  <c r="J33" i="1" s="1"/>
  <c r="I33" i="1"/>
  <c r="I35" i="1" s="1"/>
  <c r="H20" i="1"/>
  <c r="H33" i="1" l="1"/>
  <c r="H35" i="1" s="1"/>
  <c r="H37" i="1"/>
  <c r="F34" i="5"/>
  <c r="J35" i="1"/>
  <c r="K35" i="1" s="1"/>
  <c r="K33" i="1"/>
  <c r="J14" i="1"/>
  <c r="K20" i="1"/>
  <c r="J37" i="1" l="1"/>
  <c r="K14" i="1"/>
  <c r="J39" i="1"/>
</calcChain>
</file>

<file path=xl/sharedStrings.xml><?xml version="1.0" encoding="utf-8"?>
<sst xmlns="http://schemas.openxmlformats.org/spreadsheetml/2006/main" count="375" uniqueCount="118">
  <si>
    <t>White Settlement Independent School District</t>
  </si>
  <si>
    <t>Debt Service Fund Financial Statement</t>
  </si>
  <si>
    <t xml:space="preserve">   Tax Collections</t>
  </si>
  <si>
    <t xml:space="preserve">   Penalties</t>
  </si>
  <si>
    <t xml:space="preserve">   Interest Income</t>
  </si>
  <si>
    <t>Total Revenues</t>
  </si>
  <si>
    <t>Budget</t>
  </si>
  <si>
    <t xml:space="preserve">Original </t>
  </si>
  <si>
    <t>Amended</t>
  </si>
  <si>
    <t>Actual</t>
  </si>
  <si>
    <t xml:space="preserve">Actual to </t>
  </si>
  <si>
    <t xml:space="preserve">   Debt Service - Principal</t>
  </si>
  <si>
    <t xml:space="preserve">   Debt Service - Interest</t>
  </si>
  <si>
    <t xml:space="preserve">   Misc. Fees</t>
  </si>
  <si>
    <t>Total Expenditures</t>
  </si>
  <si>
    <t>REVENUES:</t>
  </si>
  <si>
    <t>EXPENDITURES:</t>
  </si>
  <si>
    <t>EXPENDITURE SUMMARY BY OBJECT CODE:</t>
  </si>
  <si>
    <t xml:space="preserve">   62XX - Professional and Contracted Services</t>
  </si>
  <si>
    <t xml:space="preserve">   61XX - Payroll Costs</t>
  </si>
  <si>
    <t xml:space="preserve">   63XX - Supplies and Materials</t>
  </si>
  <si>
    <t xml:space="preserve">   64XX - Other Operating Expenses</t>
  </si>
  <si>
    <t xml:space="preserve">   65XX - Debt Services</t>
  </si>
  <si>
    <t>Excess (Deficiency) of Revenues Over Expenditures</t>
  </si>
  <si>
    <t>Debt Service Fund Balance</t>
  </si>
  <si>
    <t xml:space="preserve">   State Revenue</t>
  </si>
  <si>
    <t>Authorization</t>
  </si>
  <si>
    <t>Unissued</t>
  </si>
  <si>
    <t>Total Authorization</t>
  </si>
  <si>
    <t>Amount</t>
  </si>
  <si>
    <t>Purpose for which Debt was Authorized</t>
  </si>
  <si>
    <t>Issued Amount</t>
  </si>
  <si>
    <t>Year</t>
  </si>
  <si>
    <t>2015A</t>
  </si>
  <si>
    <t>2015B</t>
  </si>
  <si>
    <t>School Building</t>
  </si>
  <si>
    <t>Refunding</t>
  </si>
  <si>
    <t>Softball and Baseball Turf</t>
  </si>
  <si>
    <t>Current Credit Ratings:</t>
  </si>
  <si>
    <t>Standard an Poors</t>
  </si>
  <si>
    <t>Fitch</t>
  </si>
  <si>
    <t>A</t>
  </si>
  <si>
    <t>A+</t>
  </si>
  <si>
    <t>Fiscal Year</t>
  </si>
  <si>
    <t>Ending</t>
  </si>
  <si>
    <t>Principal</t>
  </si>
  <si>
    <t>Interest</t>
  </si>
  <si>
    <t>Total</t>
  </si>
  <si>
    <t xml:space="preserve"> </t>
  </si>
  <si>
    <t>Series</t>
  </si>
  <si>
    <t>Original Issue</t>
  </si>
  <si>
    <t>Maturity</t>
  </si>
  <si>
    <t>Date</t>
  </si>
  <si>
    <t>Beginning</t>
  </si>
  <si>
    <t>Balance</t>
  </si>
  <si>
    <t>Annual</t>
  </si>
  <si>
    <t>Payment</t>
  </si>
  <si>
    <t xml:space="preserve">Ending </t>
  </si>
  <si>
    <t>Outstanding</t>
  </si>
  <si>
    <t>Debt Per Capita</t>
  </si>
  <si>
    <t>2011 - Refund</t>
  </si>
  <si>
    <t>2012 - Refund</t>
  </si>
  <si>
    <t>2013 - Refund</t>
  </si>
  <si>
    <t>2014 - Refund</t>
  </si>
  <si>
    <t>2015A - Refund</t>
  </si>
  <si>
    <t>2015B - Refund</t>
  </si>
  <si>
    <t>2016 - Refund</t>
  </si>
  <si>
    <t>TOTAL</t>
  </si>
  <si>
    <t xml:space="preserve">Principal </t>
  </si>
  <si>
    <t>DEBT TRANSPARENCY</t>
  </si>
  <si>
    <t>WHITE SETTLEMENT INDEPENDENT SCHOOL DISTRICT</t>
  </si>
  <si>
    <t>Program Rating</t>
  </si>
  <si>
    <t>School Issuer Credit</t>
  </si>
  <si>
    <t>AAA</t>
  </si>
  <si>
    <t>BONDS</t>
  </si>
  <si>
    <t>MAINTENANCE TAX NOTES</t>
  </si>
  <si>
    <t>GRAND TOTAL</t>
  </si>
  <si>
    <t>TOTAL BONDS</t>
  </si>
  <si>
    <t>TOTAL MTN</t>
  </si>
  <si>
    <t>School Buses</t>
  </si>
  <si>
    <t>Debt Per Student</t>
  </si>
  <si>
    <t>Renovation of Lighting - District-wide</t>
  </si>
  <si>
    <t>Performance Contract for HVAC &amp; Other</t>
  </si>
  <si>
    <t>NOTES:</t>
  </si>
  <si>
    <t xml:space="preserve">   Premium on issuance of Bonds</t>
  </si>
  <si>
    <t xml:space="preserve">   Payment to Bond Escrow Agent</t>
  </si>
  <si>
    <t>Other Financing Sources (Uses)</t>
  </si>
  <si>
    <t xml:space="preserve">   7900  - 8900 -  Other Sources (Uses)</t>
  </si>
  <si>
    <t>Total Other</t>
  </si>
  <si>
    <t>Total by Object Code</t>
  </si>
  <si>
    <t>2020A</t>
  </si>
  <si>
    <t>2020 - Refund</t>
  </si>
  <si>
    <t>2020A - Refund</t>
  </si>
  <si>
    <t xml:space="preserve">Bond </t>
  </si>
  <si>
    <t>1. Balances include principal only.</t>
  </si>
  <si>
    <t xml:space="preserve">   Proceeds from issuance of Bonds</t>
  </si>
  <si>
    <t>As of June 30, 2022</t>
  </si>
  <si>
    <t>PRIOR YEAR 2020-2021</t>
  </si>
  <si>
    <t>CURRENT YEAR 2021-2022</t>
  </si>
  <si>
    <t>AS OF June 30, 2022</t>
  </si>
  <si>
    <t>List of General Obligation Bonds, Maintenance Tax Notes, and Financing Arrangement as of June 30, 2022</t>
  </si>
  <si>
    <t>FINANCING ARRANGEMENT</t>
  </si>
  <si>
    <t>General Obligation Bonds, Maintenance Tax Notes, and Financing Arrangement as of June 30, 2022</t>
  </si>
  <si>
    <t>General Obligation Bonds, Maintenance Tax Notes, and Financing Arrangement as of June 30, 2022 - Per Capita</t>
  </si>
  <si>
    <t>Source: Estimated population from the Bond Official Statement dated February 9, 2022.</t>
  </si>
  <si>
    <t>2. The District refunded part of the series 2014 and 2015B bonds in February 2022.</t>
  </si>
  <si>
    <t>3. The District paid $ 1,250,000 of series 2015B bonds off early in February 2022.</t>
  </si>
  <si>
    <t>Source: Student Enrollment per October 2021 snapshot date.</t>
  </si>
  <si>
    <t>Total Debt (includes principal and Interest)</t>
  </si>
  <si>
    <t>General Obligation Debt Per Capita (Principal Only)</t>
  </si>
  <si>
    <t>General Obligation Debt Per Student (Principal Only)</t>
  </si>
  <si>
    <t>Total Bonded Debt Outstanding as of June 30, 2022</t>
  </si>
  <si>
    <t>Total Maintenance Tax Notes as of June 30, 2022</t>
  </si>
  <si>
    <t>TOTAL FINANCING ARRANGEMENT AS OF JUNE 30, 2022</t>
  </si>
  <si>
    <t>General Obligation Bonds, Maintenance Tax Notes, and Financing Arrangement as of June 30, 2022 - Per Student</t>
  </si>
  <si>
    <t>General Obligation Bonds as of June 30, 2022</t>
  </si>
  <si>
    <t>Maintenance Tax Notes as of June 30, 2022</t>
  </si>
  <si>
    <t>Financing Arrangement as of June 30,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</si>
</sst>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/>
    </xf>
    <xf numFmtId="44" fontId="0" fillId="0" borderId="0" xfId="2" applyFont="1"/>
    <xf numFmtId="0" fontId="2" fillId="0" borderId="0" xfId="0" applyFont="1"/>
    <xf numFmtId="164" fontId="2" fillId="3" borderId="0" xfId="2" applyNumberFormat="1" applyFont="1" applyFill="1" applyAlignment="1">
      <alignment horizontal="center"/>
    </xf>
    <xf numFmtId="0" fontId="2" fillId="2" borderId="0" xfId="0" applyFont="1" applyFill="1"/>
    <xf numFmtId="164" fontId="2" fillId="2" borderId="0" xfId="2" applyNumberFormat="1" applyFont="1" applyFill="1"/>
    <xf numFmtId="164" fontId="2" fillId="0" borderId="0" xfId="2" applyNumberFormat="1" applyFont="1"/>
    <xf numFmtId="9" fontId="2" fillId="0" borderId="0" xfId="3" applyFont="1"/>
    <xf numFmtId="0" fontId="2" fillId="0" borderId="1" xfId="0" applyFont="1" applyBorder="1"/>
    <xf numFmtId="0" fontId="3" fillId="0" borderId="1" xfId="0" applyFont="1" applyBorder="1"/>
    <xf numFmtId="164" fontId="2" fillId="0" borderId="1" xfId="2" applyNumberFormat="1" applyFont="1" applyBorder="1"/>
    <xf numFmtId="9" fontId="2" fillId="0" borderId="1" xfId="3" applyFont="1" applyBorder="1"/>
    <xf numFmtId="43" fontId="2" fillId="0" borderId="0" xfId="1" applyFont="1"/>
    <xf numFmtId="0" fontId="0" fillId="0" borderId="2" xfId="0" applyBorder="1" applyAlignment="1">
      <alignment horizontal="center"/>
    </xf>
    <xf numFmtId="0" fontId="0" fillId="0" borderId="2" xfId="0" applyBorder="1"/>
    <xf numFmtId="44" fontId="0" fillId="0" borderId="2" xfId="2" applyFont="1" applyBorder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2" applyNumberFormat="1" applyFont="1"/>
    <xf numFmtId="164" fontId="0" fillId="0" borderId="0" xfId="0" applyNumberFormat="1"/>
    <xf numFmtId="164" fontId="4" fillId="0" borderId="1" xfId="2" applyNumberFormat="1" applyFont="1" applyBorder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/>
    <xf numFmtId="164" fontId="0" fillId="0" borderId="3" xfId="0" applyNumberFormat="1" applyBorder="1"/>
    <xf numFmtId="0" fontId="0" fillId="0" borderId="0" xfId="0" applyBorder="1" applyAlignment="1">
      <alignment horizontal="center"/>
    </xf>
    <xf numFmtId="44" fontId="0" fillId="0" borderId="0" xfId="2" applyFont="1" applyBorder="1"/>
    <xf numFmtId="0" fontId="0" fillId="0" borderId="0" xfId="0" applyBorder="1"/>
    <xf numFmtId="0" fontId="4" fillId="0" borderId="0" xfId="0" applyFont="1"/>
    <xf numFmtId="164" fontId="4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5" fillId="0" borderId="0" xfId="2" applyNumberFormat="1" applyFont="1" applyAlignment="1">
      <alignment horizontal="center"/>
    </xf>
    <xf numFmtId="164" fontId="0" fillId="0" borderId="1" xfId="2" applyNumberFormat="1" applyFont="1" applyBorder="1"/>
    <xf numFmtId="164" fontId="0" fillId="0" borderId="0" xfId="2" applyNumberFormat="1" applyFont="1" applyFill="1"/>
    <xf numFmtId="164" fontId="0" fillId="0" borderId="1" xfId="0" applyNumberFormat="1" applyFill="1" applyBorder="1"/>
    <xf numFmtId="0" fontId="0" fillId="0" borderId="4" xfId="0" applyBorder="1" applyAlignment="1">
      <alignment horizontal="center"/>
    </xf>
    <xf numFmtId="44" fontId="0" fillId="0" borderId="4" xfId="2" applyFont="1" applyBorder="1"/>
    <xf numFmtId="0" fontId="0" fillId="0" borderId="4" xfId="0" applyBorder="1"/>
    <xf numFmtId="164" fontId="0" fillId="0" borderId="2" xfId="0" applyNumberFormat="1" applyBorder="1" applyAlignment="1">
      <alignment horizontal="center"/>
    </xf>
    <xf numFmtId="164" fontId="0" fillId="0" borderId="0" xfId="2" applyNumberFormat="1" applyFont="1" applyBorder="1"/>
    <xf numFmtId="164" fontId="0" fillId="0" borderId="2" xfId="2" applyNumberFormat="1" applyFont="1" applyBorder="1"/>
    <xf numFmtId="164" fontId="0" fillId="0" borderId="4" xfId="2" applyNumberFormat="1" applyFon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4" fillId="4" borderId="0" xfId="0" applyFont="1" applyFill="1"/>
    <xf numFmtId="164" fontId="0" fillId="4" borderId="0" xfId="0" applyNumberFormat="1" applyFill="1"/>
    <xf numFmtId="0" fontId="0" fillId="4" borderId="0" xfId="0" applyFill="1"/>
    <xf numFmtId="0" fontId="0" fillId="0" borderId="0" xfId="0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164" fontId="2" fillId="0" borderId="0" xfId="2" applyNumberFormat="1" applyFont="1" applyBorder="1"/>
    <xf numFmtId="9" fontId="2" fillId="0" borderId="0" xfId="3" applyFont="1" applyBorder="1"/>
    <xf numFmtId="0" fontId="0" fillId="0" borderId="0" xfId="0" applyFont="1" applyAlignment="1">
      <alignment horizontal="center"/>
    </xf>
    <xf numFmtId="0" fontId="4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5" fontId="5" fillId="0" borderId="0" xfId="1" applyNumberFormat="1" applyFont="1" applyAlignment="1"/>
    <xf numFmtId="44" fontId="0" fillId="0" borderId="0" xfId="2" applyNumberFormat="1" applyFont="1"/>
    <xf numFmtId="1" fontId="5" fillId="0" borderId="0" xfId="2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3" borderId="0" xfId="2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F13"/>
  <sheetViews>
    <sheetView tabSelected="1" workbookViewId="0">
      <selection activeCell="A14" sqref="A14"/>
    </sheetView>
  </sheetViews>
  <sheetFormatPr defaultRowHeight="15" x14ac:dyDescent="0.25"/>
  <cols>
    <col min="1" max="1" width="15.7109375" customWidth="1"/>
    <col min="2" max="2" width="6.7109375" customWidth="1"/>
    <col min="3" max="3" width="19.28515625" customWidth="1"/>
    <col min="4" max="4" width="18.7109375" customWidth="1"/>
    <col min="5" max="5" width="24.5703125" customWidth="1"/>
    <col min="6" max="6" width="18.7109375" customWidth="1"/>
  </cols>
  <sheetData>
    <row r="11" spans="1:6" s="38" customFormat="1" ht="23.25" x14ac:dyDescent="0.35">
      <c r="A11" s="78" t="s">
        <v>70</v>
      </c>
      <c r="B11" s="78"/>
      <c r="C11" s="78"/>
      <c r="D11" s="78"/>
      <c r="E11" s="78"/>
      <c r="F11" s="37"/>
    </row>
    <row r="12" spans="1:6" s="39" customFormat="1" ht="18.75" x14ac:dyDescent="0.3">
      <c r="A12" s="77" t="s">
        <v>69</v>
      </c>
      <c r="B12" s="77"/>
      <c r="C12" s="77"/>
      <c r="D12" s="77"/>
      <c r="E12" s="77"/>
    </row>
    <row r="13" spans="1:6" ht="18.75" x14ac:dyDescent="0.3">
      <c r="A13" s="79" t="s">
        <v>99</v>
      </c>
      <c r="B13" s="79"/>
      <c r="C13" s="79"/>
      <c r="D13" s="79"/>
      <c r="E13" s="79"/>
    </row>
  </sheetData>
  <mergeCells count="3">
    <mergeCell ref="A12:E12"/>
    <mergeCell ref="A11:E11"/>
    <mergeCell ref="A13:E13"/>
  </mergeCells>
  <printOptions horizontalCentered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3"/>
  <sheetViews>
    <sheetView topLeftCell="A6" workbookViewId="0">
      <selection activeCell="I41" sqref="I41:J41"/>
    </sheetView>
  </sheetViews>
  <sheetFormatPr defaultColWidth="9.140625" defaultRowHeight="12.75" x14ac:dyDescent="0.2"/>
  <cols>
    <col min="1" max="1" width="24.140625" style="3" customWidth="1"/>
    <col min="2" max="2" width="18.140625" style="3" customWidth="1"/>
    <col min="3" max="3" width="12.140625" style="7" customWidth="1"/>
    <col min="4" max="4" width="13.7109375" style="7" customWidth="1"/>
    <col min="5" max="5" width="13.42578125" style="7" customWidth="1"/>
    <col min="6" max="6" width="9.42578125" style="7" customWidth="1"/>
    <col min="7" max="7" width="4" style="3" customWidth="1"/>
    <col min="8" max="9" width="12.42578125" style="7" customWidth="1"/>
    <col min="10" max="10" width="14" style="7" customWidth="1"/>
    <col min="11" max="11" width="9.85546875" style="7" customWidth="1"/>
    <col min="12" max="12" width="9.140625" style="3"/>
    <col min="13" max="13" width="12" style="3" bestFit="1" customWidth="1"/>
    <col min="14" max="16384" width="9.140625" style="3"/>
  </cols>
  <sheetData>
    <row r="1" spans="1:11" ht="15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1" x14ac:dyDescent="0.2">
      <c r="A3" s="82" t="s">
        <v>96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5" spans="1:11" ht="15" x14ac:dyDescent="0.25">
      <c r="C5" s="80" t="s">
        <v>97</v>
      </c>
      <c r="D5" s="80"/>
      <c r="E5" s="80"/>
      <c r="F5" s="80"/>
      <c r="G5"/>
      <c r="H5" s="80" t="s">
        <v>98</v>
      </c>
      <c r="I5" s="80"/>
      <c r="J5" s="80"/>
      <c r="K5" s="80"/>
    </row>
    <row r="6" spans="1:11" ht="15" x14ac:dyDescent="0.25">
      <c r="C6" s="4" t="s">
        <v>7</v>
      </c>
      <c r="D6" s="4" t="s">
        <v>8</v>
      </c>
      <c r="E6" s="4"/>
      <c r="F6" s="4" t="s">
        <v>10</v>
      </c>
      <c r="G6"/>
      <c r="H6" s="4" t="s">
        <v>7</v>
      </c>
      <c r="I6" s="4" t="s">
        <v>8</v>
      </c>
      <c r="J6" s="4"/>
      <c r="K6" s="4" t="s">
        <v>10</v>
      </c>
    </row>
    <row r="7" spans="1:11" ht="15" x14ac:dyDescent="0.25">
      <c r="C7" s="4" t="s">
        <v>6</v>
      </c>
      <c r="D7" s="4" t="s">
        <v>6</v>
      </c>
      <c r="E7" s="4" t="s">
        <v>9</v>
      </c>
      <c r="F7" s="4" t="s">
        <v>6</v>
      </c>
      <c r="G7"/>
      <c r="H7" s="4" t="s">
        <v>6</v>
      </c>
      <c r="I7" s="4" t="s">
        <v>6</v>
      </c>
      <c r="J7" s="4" t="s">
        <v>9</v>
      </c>
      <c r="K7" s="4" t="s">
        <v>6</v>
      </c>
    </row>
    <row r="8" spans="1:11" ht="15" x14ac:dyDescent="0.25">
      <c r="G8"/>
    </row>
    <row r="9" spans="1:11" ht="15" x14ac:dyDescent="0.25">
      <c r="A9" s="5" t="s">
        <v>15</v>
      </c>
      <c r="B9" s="5"/>
      <c r="C9" s="6"/>
      <c r="D9" s="6"/>
      <c r="E9" s="6"/>
      <c r="F9" s="6"/>
      <c r="G9"/>
      <c r="H9" s="6"/>
      <c r="I9" s="6"/>
      <c r="J9" s="6"/>
      <c r="K9" s="6"/>
    </row>
    <row r="10" spans="1:11" ht="15" x14ac:dyDescent="0.25">
      <c r="A10" s="3" t="s">
        <v>2</v>
      </c>
      <c r="C10" s="7">
        <v>10950000</v>
      </c>
      <c r="D10" s="7">
        <f>10900000+50000</f>
        <v>10950000</v>
      </c>
      <c r="E10" s="7">
        <f>11223038.24+134462.92</f>
        <v>11357501.16</v>
      </c>
      <c r="F10" s="8">
        <f t="shared" ref="F10:F14" si="0">E10/D10</f>
        <v>1.0372147178082192</v>
      </c>
      <c r="G10"/>
      <c r="H10" s="7">
        <f>12192200+50000</f>
        <v>12242200</v>
      </c>
      <c r="I10" s="7">
        <f>12500000+50000</f>
        <v>12550000</v>
      </c>
      <c r="J10" s="7">
        <f>12639941.85+42573.24</f>
        <v>12682515.09</v>
      </c>
      <c r="K10" s="8">
        <f t="shared" ref="K10:K14" si="1">J10/I10</f>
        <v>1.0105589713147409</v>
      </c>
    </row>
    <row r="11" spans="1:11" ht="15" x14ac:dyDescent="0.25">
      <c r="A11" s="3" t="s">
        <v>3</v>
      </c>
      <c r="C11" s="7">
        <v>50000</v>
      </c>
      <c r="D11" s="7">
        <v>50000</v>
      </c>
      <c r="E11" s="7">
        <v>110690.38</v>
      </c>
      <c r="F11" s="8">
        <f t="shared" si="0"/>
        <v>2.2138076</v>
      </c>
      <c r="G11"/>
      <c r="H11" s="7">
        <v>50000</v>
      </c>
      <c r="I11" s="7">
        <v>50000</v>
      </c>
      <c r="J11" s="7">
        <v>69255.88</v>
      </c>
      <c r="K11" s="8">
        <f t="shared" si="1"/>
        <v>1.3851176000000001</v>
      </c>
    </row>
    <row r="12" spans="1:11" ht="15" x14ac:dyDescent="0.25">
      <c r="A12" s="3" t="s">
        <v>4</v>
      </c>
      <c r="C12" s="7">
        <v>70000</v>
      </c>
      <c r="D12" s="7">
        <v>15000</v>
      </c>
      <c r="E12" s="7">
        <v>12326.85</v>
      </c>
      <c r="F12" s="8">
        <f t="shared" si="0"/>
        <v>0.82179000000000002</v>
      </c>
      <c r="G12"/>
      <c r="H12" s="7">
        <v>15000</v>
      </c>
      <c r="I12" s="7">
        <v>3000</v>
      </c>
      <c r="J12" s="7">
        <v>31896.22</v>
      </c>
      <c r="K12" s="8">
        <f t="shared" si="1"/>
        <v>10.632073333333334</v>
      </c>
    </row>
    <row r="13" spans="1:11" ht="15" x14ac:dyDescent="0.25">
      <c r="A13" s="3" t="s">
        <v>25</v>
      </c>
      <c r="C13" s="7">
        <v>0</v>
      </c>
      <c r="D13" s="7">
        <v>0</v>
      </c>
      <c r="E13" s="7">
        <v>346700</v>
      </c>
      <c r="F13" s="8" t="s">
        <v>48</v>
      </c>
      <c r="G13"/>
      <c r="H13" s="7">
        <v>0</v>
      </c>
      <c r="I13" s="7">
        <v>136519</v>
      </c>
      <c r="J13" s="7">
        <v>404544</v>
      </c>
      <c r="K13" s="8">
        <f t="shared" si="1"/>
        <v>2.963279836506274</v>
      </c>
    </row>
    <row r="14" spans="1:11" ht="15.75" thickBot="1" x14ac:dyDescent="0.3">
      <c r="A14" s="9" t="s">
        <v>5</v>
      </c>
      <c r="B14" s="10" t="s">
        <v>5</v>
      </c>
      <c r="C14" s="11">
        <f>SUM(C10:C13)</f>
        <v>11070000</v>
      </c>
      <c r="D14" s="11">
        <f>SUM(D10:D13)</f>
        <v>11015000</v>
      </c>
      <c r="E14" s="11">
        <f>SUM(E10:E13)</f>
        <v>11827218.390000001</v>
      </c>
      <c r="F14" s="8">
        <f t="shared" si="0"/>
        <v>1.0737374843395371</v>
      </c>
      <c r="G14"/>
      <c r="H14" s="11">
        <f>SUM(H10:H13)</f>
        <v>12307200</v>
      </c>
      <c r="I14" s="11">
        <f>SUM(I10:I13)</f>
        <v>12739519</v>
      </c>
      <c r="J14" s="11">
        <f>SUM(J10:J13)</f>
        <v>13188211.190000001</v>
      </c>
      <c r="K14" s="8">
        <f t="shared" si="1"/>
        <v>1.0352204969434091</v>
      </c>
    </row>
    <row r="15" spans="1:11" ht="15.75" thickTop="1" x14ac:dyDescent="0.25">
      <c r="E15" s="7" t="s">
        <v>48</v>
      </c>
      <c r="F15" s="7" t="s">
        <v>48</v>
      </c>
      <c r="G15"/>
      <c r="J15" s="7" t="s">
        <v>48</v>
      </c>
      <c r="K15" s="7" t="s">
        <v>48</v>
      </c>
    </row>
    <row r="16" spans="1:11" ht="15" x14ac:dyDescent="0.25">
      <c r="A16" s="5" t="s">
        <v>16</v>
      </c>
      <c r="B16" s="5"/>
      <c r="C16" s="6"/>
      <c r="D16" s="6"/>
      <c r="E16" s="6"/>
      <c r="F16" s="6"/>
      <c r="G16"/>
      <c r="H16" s="6"/>
      <c r="I16" s="6"/>
      <c r="J16" s="6"/>
      <c r="K16" s="6"/>
    </row>
    <row r="17" spans="1:11" ht="15" x14ac:dyDescent="0.25">
      <c r="A17" s="3" t="s">
        <v>11</v>
      </c>
      <c r="C17" s="7">
        <v>1978718</v>
      </c>
      <c r="D17" s="7">
        <v>4640000</v>
      </c>
      <c r="E17" s="7">
        <v>4640000</v>
      </c>
      <c r="F17" s="8">
        <f>E17/D17</f>
        <v>1</v>
      </c>
      <c r="G17"/>
      <c r="H17" s="7">
        <v>4789025</v>
      </c>
      <c r="I17" s="7">
        <v>6659150</v>
      </c>
      <c r="J17" s="7">
        <v>6659150</v>
      </c>
      <c r="K17" s="8">
        <f t="shared" ref="K17:K20" si="2">J17/I17</f>
        <v>1</v>
      </c>
    </row>
    <row r="18" spans="1:11" ht="15" x14ac:dyDescent="0.25">
      <c r="A18" s="3" t="s">
        <v>12</v>
      </c>
      <c r="C18" s="7">
        <v>8779830</v>
      </c>
      <c r="D18" s="7">
        <v>3665606</v>
      </c>
      <c r="E18" s="7">
        <v>3665606</v>
      </c>
      <c r="F18" s="8">
        <f t="shared" ref="F18:F20" si="3">E18/D18</f>
        <v>1</v>
      </c>
      <c r="G18"/>
      <c r="H18" s="7">
        <v>7342733</v>
      </c>
      <c r="I18" s="7">
        <v>7523308</v>
      </c>
      <c r="J18" s="7">
        <v>7523294</v>
      </c>
      <c r="K18" s="8">
        <f t="shared" si="2"/>
        <v>0.99999813911646318</v>
      </c>
    </row>
    <row r="19" spans="1:11" ht="15" x14ac:dyDescent="0.25">
      <c r="A19" s="3" t="s">
        <v>13</v>
      </c>
      <c r="C19" s="7">
        <v>10000</v>
      </c>
      <c r="D19" s="7">
        <v>30000</v>
      </c>
      <c r="E19" s="7">
        <v>1384301</v>
      </c>
      <c r="F19" s="8">
        <f t="shared" si="3"/>
        <v>46.143366666666665</v>
      </c>
      <c r="G19"/>
      <c r="H19" s="7">
        <v>10000</v>
      </c>
      <c r="I19" s="7">
        <v>140570</v>
      </c>
      <c r="J19" s="7">
        <v>130323</v>
      </c>
      <c r="K19" s="8">
        <f t="shared" si="2"/>
        <v>0.9271039339830689</v>
      </c>
    </row>
    <row r="20" spans="1:11" ht="15.75" thickBot="1" x14ac:dyDescent="0.3">
      <c r="A20" s="9"/>
      <c r="B20" s="10" t="s">
        <v>14</v>
      </c>
      <c r="C20" s="11">
        <f>SUM(C17:C19)</f>
        <v>10768548</v>
      </c>
      <c r="D20" s="11">
        <f>SUM(D17:D19)</f>
        <v>8335606</v>
      </c>
      <c r="E20" s="11">
        <f>SUM(E17:E19)</f>
        <v>9689907</v>
      </c>
      <c r="F20" s="12">
        <f t="shared" si="3"/>
        <v>1.1624718106877892</v>
      </c>
      <c r="G20"/>
      <c r="H20" s="11">
        <f>SUM(H17:H19)</f>
        <v>12141758</v>
      </c>
      <c r="I20" s="11">
        <f>SUM(I17:I19)</f>
        <v>14323028</v>
      </c>
      <c r="J20" s="11">
        <f>SUM(J17:J19)</f>
        <v>14312767</v>
      </c>
      <c r="K20" s="12">
        <f t="shared" si="2"/>
        <v>0.9992836012049966</v>
      </c>
    </row>
    <row r="21" spans="1:11" ht="15.75" thickTop="1" x14ac:dyDescent="0.25">
      <c r="A21" s="66"/>
      <c r="B21" s="67"/>
      <c r="C21" s="68"/>
      <c r="D21" s="68"/>
      <c r="E21" s="68"/>
      <c r="F21" s="69"/>
      <c r="G21"/>
      <c r="H21" s="68"/>
      <c r="I21" s="68"/>
      <c r="J21" s="68"/>
      <c r="K21" s="69"/>
    </row>
    <row r="22" spans="1:11" ht="15" x14ac:dyDescent="0.25">
      <c r="A22" s="5" t="s">
        <v>86</v>
      </c>
      <c r="B22" s="5"/>
      <c r="C22" s="6"/>
      <c r="D22" s="6"/>
      <c r="E22" s="6"/>
      <c r="F22" s="6"/>
      <c r="G22"/>
      <c r="H22" s="6"/>
      <c r="I22" s="6"/>
      <c r="J22" s="6"/>
      <c r="K22" s="6"/>
    </row>
    <row r="23" spans="1:11" ht="15" x14ac:dyDescent="0.25">
      <c r="A23" s="3" t="s">
        <v>95</v>
      </c>
      <c r="C23" s="7">
        <v>0</v>
      </c>
      <c r="D23" s="7">
        <v>0</v>
      </c>
      <c r="E23" s="7">
        <v>120310931</v>
      </c>
      <c r="F23" s="8" t="s">
        <v>48</v>
      </c>
      <c r="G23"/>
      <c r="H23" s="7">
        <v>0</v>
      </c>
      <c r="I23" s="7">
        <v>4596880</v>
      </c>
      <c r="J23" s="7">
        <v>4596880</v>
      </c>
      <c r="K23" s="8">
        <f t="shared" ref="K23:K26" si="4">J23/I23</f>
        <v>1</v>
      </c>
    </row>
    <row r="24" spans="1:11" ht="15" x14ac:dyDescent="0.25">
      <c r="A24" s="3" t="s">
        <v>84</v>
      </c>
      <c r="C24" s="7">
        <v>0</v>
      </c>
      <c r="D24" s="7">
        <v>0</v>
      </c>
      <c r="E24" s="7">
        <v>49504076</v>
      </c>
      <c r="F24" s="8" t="s">
        <v>48</v>
      </c>
      <c r="G24"/>
      <c r="H24" s="7">
        <v>0</v>
      </c>
      <c r="I24" s="7">
        <v>891973</v>
      </c>
      <c r="J24" s="7">
        <v>891973</v>
      </c>
      <c r="K24" s="8">
        <f t="shared" si="4"/>
        <v>1</v>
      </c>
    </row>
    <row r="25" spans="1:11" ht="15" x14ac:dyDescent="0.25">
      <c r="A25" s="3" t="s">
        <v>85</v>
      </c>
      <c r="C25" s="7">
        <v>0</v>
      </c>
      <c r="D25" s="7">
        <v>0</v>
      </c>
      <c r="E25" s="7">
        <v>-168434011</v>
      </c>
      <c r="F25" s="8" t="s">
        <v>48</v>
      </c>
      <c r="G25"/>
      <c r="H25" s="7">
        <v>0</v>
      </c>
      <c r="I25" s="7">
        <v>-5358284</v>
      </c>
      <c r="J25" s="7">
        <v>-5358284</v>
      </c>
      <c r="K25" s="8">
        <f t="shared" si="4"/>
        <v>1</v>
      </c>
    </row>
    <row r="26" spans="1:11" ht="15.75" thickBot="1" x14ac:dyDescent="0.3">
      <c r="A26" s="9"/>
      <c r="B26" s="10" t="s">
        <v>88</v>
      </c>
      <c r="C26" s="11">
        <f>SUM(C23:C25)</f>
        <v>0</v>
      </c>
      <c r="D26" s="11">
        <f>SUM(D23:D25)</f>
        <v>0</v>
      </c>
      <c r="E26" s="11">
        <f>SUM(E23:E25)</f>
        <v>1380996</v>
      </c>
      <c r="F26" s="12" t="s">
        <v>48</v>
      </c>
      <c r="G26"/>
      <c r="H26" s="11">
        <f>SUM(H23:H25)</f>
        <v>0</v>
      </c>
      <c r="I26" s="11">
        <f>SUM(I23:I25)</f>
        <v>130569</v>
      </c>
      <c r="J26" s="11">
        <f>SUM(J23:J25)</f>
        <v>130569</v>
      </c>
      <c r="K26" s="12">
        <f t="shared" si="4"/>
        <v>1</v>
      </c>
    </row>
    <row r="27" spans="1:11" ht="15.75" thickTop="1" x14ac:dyDescent="0.25">
      <c r="E27" s="7" t="s">
        <v>48</v>
      </c>
      <c r="G27"/>
      <c r="J27" s="7" t="s">
        <v>48</v>
      </c>
    </row>
    <row r="28" spans="1:11" ht="15" x14ac:dyDescent="0.25">
      <c r="A28" s="5" t="s">
        <v>17</v>
      </c>
      <c r="B28" s="5"/>
      <c r="C28" s="6"/>
      <c r="D28" s="6"/>
      <c r="E28" s="6"/>
      <c r="F28" s="6"/>
      <c r="G28"/>
      <c r="H28" s="6"/>
      <c r="I28" s="6"/>
      <c r="J28" s="6"/>
      <c r="K28" s="6"/>
    </row>
    <row r="29" spans="1:11" ht="15" x14ac:dyDescent="0.25">
      <c r="A29" s="3" t="s">
        <v>19</v>
      </c>
      <c r="C29" s="7">
        <v>0</v>
      </c>
      <c r="D29" s="7">
        <v>0</v>
      </c>
      <c r="E29" s="7">
        <v>0</v>
      </c>
      <c r="F29" s="13">
        <v>0</v>
      </c>
      <c r="G29"/>
      <c r="H29" s="7">
        <v>0</v>
      </c>
      <c r="I29" s="7">
        <v>0</v>
      </c>
      <c r="J29" s="7">
        <v>0</v>
      </c>
      <c r="K29" s="13">
        <v>0</v>
      </c>
    </row>
    <row r="30" spans="1:11" ht="15" x14ac:dyDescent="0.25">
      <c r="A30" s="3" t="s">
        <v>18</v>
      </c>
      <c r="C30" s="7">
        <v>0</v>
      </c>
      <c r="D30" s="7">
        <v>0</v>
      </c>
      <c r="E30" s="7">
        <v>0</v>
      </c>
      <c r="F30" s="13">
        <v>0</v>
      </c>
      <c r="G30"/>
      <c r="H30" s="7">
        <v>0</v>
      </c>
      <c r="I30" s="7">
        <v>0</v>
      </c>
      <c r="J30" s="7">
        <v>0</v>
      </c>
      <c r="K30" s="13">
        <v>0</v>
      </c>
    </row>
    <row r="31" spans="1:11" ht="15" x14ac:dyDescent="0.25">
      <c r="A31" s="3" t="s">
        <v>20</v>
      </c>
      <c r="C31" s="7">
        <v>0</v>
      </c>
      <c r="D31" s="7">
        <v>0</v>
      </c>
      <c r="E31" s="7">
        <v>0</v>
      </c>
      <c r="F31" s="13">
        <v>0</v>
      </c>
      <c r="G31"/>
      <c r="H31" s="7">
        <v>0</v>
      </c>
      <c r="I31" s="7">
        <v>0</v>
      </c>
      <c r="J31" s="7">
        <v>0</v>
      </c>
      <c r="K31" s="13">
        <v>0</v>
      </c>
    </row>
    <row r="32" spans="1:11" ht="15" x14ac:dyDescent="0.25">
      <c r="A32" s="3" t="s">
        <v>21</v>
      </c>
      <c r="C32" s="7">
        <v>0</v>
      </c>
      <c r="D32" s="7">
        <v>0</v>
      </c>
      <c r="E32" s="7">
        <v>0</v>
      </c>
      <c r="F32" s="13">
        <v>0</v>
      </c>
      <c r="G32"/>
      <c r="H32" s="7">
        <v>0</v>
      </c>
      <c r="I32" s="7">
        <v>0</v>
      </c>
      <c r="J32" s="7">
        <v>0</v>
      </c>
      <c r="K32" s="13">
        <v>0</v>
      </c>
    </row>
    <row r="33" spans="1:11" ht="15" x14ac:dyDescent="0.25">
      <c r="A33" s="3" t="s">
        <v>22</v>
      </c>
      <c r="C33" s="7">
        <v>10785370</v>
      </c>
      <c r="D33" s="7">
        <f>D20</f>
        <v>8335606</v>
      </c>
      <c r="E33" s="7">
        <f>E20</f>
        <v>9689907</v>
      </c>
      <c r="F33" s="8">
        <f t="shared" ref="F33" si="5">E33/D33</f>
        <v>1.1624718106877892</v>
      </c>
      <c r="G33"/>
      <c r="H33" s="7">
        <f>H20</f>
        <v>12141758</v>
      </c>
      <c r="I33" s="7">
        <f>I20</f>
        <v>14323028</v>
      </c>
      <c r="J33" s="7">
        <f>J20</f>
        <v>14312767</v>
      </c>
      <c r="K33" s="8">
        <f t="shared" ref="K33:K35" si="6">J33/I33</f>
        <v>0.9992836012049966</v>
      </c>
    </row>
    <row r="34" spans="1:11" ht="15" x14ac:dyDescent="0.25">
      <c r="A34" s="3" t="s">
        <v>87</v>
      </c>
      <c r="C34" s="7">
        <v>0</v>
      </c>
      <c r="D34" s="7">
        <f>D26</f>
        <v>0</v>
      </c>
      <c r="E34" s="7">
        <f>-E26</f>
        <v>-1380996</v>
      </c>
      <c r="F34" s="13">
        <v>0</v>
      </c>
      <c r="G34"/>
      <c r="H34" s="7">
        <v>0</v>
      </c>
      <c r="I34" s="7">
        <f>-I26</f>
        <v>-130569</v>
      </c>
      <c r="J34" s="7">
        <f>-J26</f>
        <v>-130569</v>
      </c>
      <c r="K34" s="8">
        <f t="shared" si="6"/>
        <v>1</v>
      </c>
    </row>
    <row r="35" spans="1:11" ht="15.75" thickBot="1" x14ac:dyDescent="0.3">
      <c r="A35" s="9"/>
      <c r="B35" s="10" t="s">
        <v>89</v>
      </c>
      <c r="C35" s="11">
        <f t="shared" ref="C35:F35" si="7">SUM(C29:C34)</f>
        <v>10785370</v>
      </c>
      <c r="D35" s="11">
        <f t="shared" si="7"/>
        <v>8335606</v>
      </c>
      <c r="E35" s="11">
        <f t="shared" si="7"/>
        <v>8308911</v>
      </c>
      <c r="F35" s="12">
        <f t="shared" si="7"/>
        <v>1.1624718106877892</v>
      </c>
      <c r="G35"/>
      <c r="H35" s="11">
        <f t="shared" ref="H35" si="8">SUM(H29:H34)</f>
        <v>12141758</v>
      </c>
      <c r="I35" s="11">
        <f t="shared" ref="I35" si="9">SUM(I29:I34)</f>
        <v>14192459</v>
      </c>
      <c r="J35" s="11">
        <f t="shared" ref="J35" si="10">SUM(J29:J34)</f>
        <v>14182198</v>
      </c>
      <c r="K35" s="8">
        <f t="shared" si="6"/>
        <v>0.99927701041799732</v>
      </c>
    </row>
    <row r="36" spans="1:11" ht="15.75" thickTop="1" x14ac:dyDescent="0.25">
      <c r="G36"/>
    </row>
    <row r="37" spans="1:11" ht="15.75" thickBot="1" x14ac:dyDescent="0.3">
      <c r="A37" s="9" t="s">
        <v>23</v>
      </c>
      <c r="B37" s="9"/>
      <c r="C37" s="11">
        <f t="shared" ref="C37:D37" si="11">C14-C20+C26</f>
        <v>301452</v>
      </c>
      <c r="D37" s="11">
        <f t="shared" si="11"/>
        <v>2679394</v>
      </c>
      <c r="E37" s="11">
        <f>E14-E20+E26</f>
        <v>3518307.3900000006</v>
      </c>
      <c r="F37" s="11"/>
      <c r="G37"/>
      <c r="H37" s="11">
        <f t="shared" ref="H37:J37" si="12">H14-H20+H26</f>
        <v>165442</v>
      </c>
      <c r="I37" s="11">
        <f t="shared" si="12"/>
        <v>-1452940</v>
      </c>
      <c r="J37" s="11">
        <f t="shared" si="12"/>
        <v>-993986.80999999866</v>
      </c>
      <c r="K37" s="11"/>
    </row>
    <row r="38" spans="1:11" ht="15.75" thickTop="1" x14ac:dyDescent="0.25">
      <c r="G38"/>
    </row>
    <row r="39" spans="1:11" ht="15.75" thickBot="1" x14ac:dyDescent="0.3">
      <c r="A39" s="9" t="s">
        <v>24</v>
      </c>
      <c r="B39" s="9"/>
      <c r="C39" s="11"/>
      <c r="D39" s="11"/>
      <c r="E39" s="11">
        <v>18365283</v>
      </c>
      <c r="F39" s="11"/>
      <c r="G39"/>
      <c r="H39" s="11"/>
      <c r="I39" s="11"/>
      <c r="J39" s="11">
        <f>E39+J37</f>
        <v>17371296.190000001</v>
      </c>
      <c r="K39" s="11"/>
    </row>
    <row r="40" spans="1:11" ht="15.75" thickTop="1" x14ac:dyDescent="0.25">
      <c r="G40"/>
    </row>
    <row r="41" spans="1:11" x14ac:dyDescent="0.2">
      <c r="A41" s="3" t="s">
        <v>48</v>
      </c>
      <c r="E41" s="7" t="s">
        <v>48</v>
      </c>
    </row>
    <row r="43" spans="1:11" x14ac:dyDescent="0.2">
      <c r="J43" s="7" t="s">
        <v>48</v>
      </c>
    </row>
  </sheetData>
  <mergeCells count="5">
    <mergeCell ref="C5:F5"/>
    <mergeCell ref="H5:K5"/>
    <mergeCell ref="A1:K1"/>
    <mergeCell ref="A2:K2"/>
    <mergeCell ref="A3:K3"/>
  </mergeCells>
  <printOptions horizontalCentered="1"/>
  <pageMargins left="0.25" right="0.25" top="0.75" bottom="0.75" header="0.3" footer="0.3"/>
  <pageSetup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4"/>
  <sheetViews>
    <sheetView workbookViewId="0">
      <selection activeCell="A27" sqref="A27"/>
    </sheetView>
  </sheetViews>
  <sheetFormatPr defaultRowHeight="15" x14ac:dyDescent="0.25"/>
  <cols>
    <col min="1" max="1" width="15.28515625" customWidth="1"/>
    <col min="2" max="2" width="1.85546875" customWidth="1"/>
    <col min="3" max="3" width="20.42578125" customWidth="1"/>
    <col min="4" max="4" width="2" customWidth="1"/>
    <col min="5" max="5" width="13.5703125" customWidth="1"/>
    <col min="6" max="6" width="2.28515625" customWidth="1"/>
    <col min="7" max="7" width="19.140625" customWidth="1"/>
    <col min="8" max="8" width="1.85546875" customWidth="1"/>
    <col min="9" max="9" width="36" customWidth="1"/>
  </cols>
  <sheetData>
    <row r="1" spans="1:15" ht="15.75" x14ac:dyDescent="0.2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17"/>
      <c r="K1" s="17"/>
      <c r="L1" s="17"/>
      <c r="M1" s="17"/>
      <c r="N1" s="17"/>
      <c r="O1" s="17"/>
    </row>
    <row r="2" spans="1:15" ht="15.75" x14ac:dyDescent="0.25">
      <c r="A2" s="84" t="s">
        <v>100</v>
      </c>
      <c r="B2" s="84"/>
      <c r="C2" s="84"/>
      <c r="D2" s="84"/>
      <c r="E2" s="84"/>
      <c r="F2" s="84"/>
      <c r="G2" s="84"/>
      <c r="H2" s="84"/>
      <c r="I2" s="84"/>
      <c r="J2" s="70"/>
      <c r="K2" s="70"/>
      <c r="L2" s="70"/>
      <c r="M2" s="70"/>
      <c r="N2" s="70"/>
      <c r="O2" s="70"/>
    </row>
    <row r="3" spans="1:15" x14ac:dyDescent="0.25">
      <c r="A3" s="17"/>
      <c r="B3" s="28"/>
      <c r="C3" s="17"/>
      <c r="D3" s="28"/>
      <c r="E3" s="17"/>
      <c r="F3" s="28"/>
      <c r="G3" s="17"/>
      <c r="H3" s="28"/>
      <c r="I3" s="17"/>
      <c r="J3" s="17"/>
      <c r="K3" s="17"/>
      <c r="L3" s="17"/>
      <c r="M3" s="17"/>
      <c r="N3" s="17"/>
      <c r="O3" s="17"/>
    </row>
    <row r="4" spans="1:15" x14ac:dyDescent="0.25">
      <c r="A4" s="62" t="s">
        <v>115</v>
      </c>
      <c r="B4" s="62"/>
      <c r="C4" s="64"/>
      <c r="D4" s="64"/>
    </row>
    <row r="5" spans="1:15" x14ac:dyDescent="0.25">
      <c r="A5" s="1" t="s">
        <v>26</v>
      </c>
      <c r="B5" s="29"/>
      <c r="E5" s="1" t="s">
        <v>27</v>
      </c>
      <c r="F5" s="29"/>
      <c r="G5" s="1" t="s">
        <v>28</v>
      </c>
      <c r="H5" s="29"/>
    </row>
    <row r="6" spans="1:15" x14ac:dyDescent="0.25">
      <c r="A6" s="14" t="s">
        <v>32</v>
      </c>
      <c r="B6" s="14"/>
      <c r="C6" s="14" t="s">
        <v>31</v>
      </c>
      <c r="D6" s="14"/>
      <c r="E6" s="14" t="s">
        <v>29</v>
      </c>
      <c r="F6" s="14"/>
      <c r="G6" s="14" t="s">
        <v>29</v>
      </c>
      <c r="H6" s="14"/>
      <c r="I6" s="15" t="s">
        <v>30</v>
      </c>
    </row>
    <row r="7" spans="1:15" x14ac:dyDescent="0.25">
      <c r="A7" s="1">
        <v>2003</v>
      </c>
      <c r="B7" s="29"/>
      <c r="C7" s="20">
        <v>20883645</v>
      </c>
      <c r="D7" s="2"/>
      <c r="E7" s="2">
        <v>0</v>
      </c>
      <c r="F7" s="2"/>
      <c r="G7" s="20">
        <f>C7</f>
        <v>20883645</v>
      </c>
      <c r="H7" s="2"/>
      <c r="I7" t="s">
        <v>35</v>
      </c>
    </row>
    <row r="8" spans="1:15" x14ac:dyDescent="0.25">
      <c r="A8" s="1">
        <v>2011</v>
      </c>
      <c r="B8" s="29"/>
      <c r="C8" s="20">
        <v>8328990</v>
      </c>
      <c r="D8" s="2"/>
      <c r="E8" s="2">
        <v>0</v>
      </c>
      <c r="F8" s="2"/>
      <c r="G8" s="20">
        <f t="shared" ref="G8:G14" si="0">C8</f>
        <v>8328990</v>
      </c>
      <c r="H8" s="2"/>
      <c r="I8" t="s">
        <v>36</v>
      </c>
    </row>
    <row r="9" spans="1:15" x14ac:dyDescent="0.25">
      <c r="A9" s="1">
        <v>2012</v>
      </c>
      <c r="B9" s="29"/>
      <c r="C9" s="20">
        <v>30574884</v>
      </c>
      <c r="D9" s="2"/>
      <c r="E9" s="2">
        <v>0</v>
      </c>
      <c r="F9" s="2"/>
      <c r="G9" s="20">
        <f t="shared" si="0"/>
        <v>30574884</v>
      </c>
      <c r="H9" s="2"/>
      <c r="I9" t="s">
        <v>36</v>
      </c>
    </row>
    <row r="10" spans="1:15" x14ac:dyDescent="0.25">
      <c r="A10" s="1">
        <v>2013</v>
      </c>
      <c r="B10" s="29"/>
      <c r="C10" s="20">
        <v>40160142</v>
      </c>
      <c r="D10" s="2"/>
      <c r="E10" s="2">
        <v>0</v>
      </c>
      <c r="F10" s="2"/>
      <c r="G10" s="20">
        <f t="shared" si="0"/>
        <v>40160142</v>
      </c>
      <c r="H10" s="2"/>
      <c r="I10" t="s">
        <v>36</v>
      </c>
    </row>
    <row r="11" spans="1:15" x14ac:dyDescent="0.25">
      <c r="A11" s="1">
        <v>2014</v>
      </c>
      <c r="B11" s="29"/>
      <c r="C11" s="20">
        <v>49374874</v>
      </c>
      <c r="D11" s="2"/>
      <c r="E11" s="2">
        <v>0</v>
      </c>
      <c r="F11" s="2"/>
      <c r="G11" s="20">
        <f t="shared" si="0"/>
        <v>49374874</v>
      </c>
      <c r="H11" s="2"/>
      <c r="I11" t="s">
        <v>36</v>
      </c>
    </row>
    <row r="12" spans="1:15" x14ac:dyDescent="0.25">
      <c r="A12" s="1" t="s">
        <v>33</v>
      </c>
      <c r="B12" s="29"/>
      <c r="C12" s="20">
        <v>16155000</v>
      </c>
      <c r="D12" s="2"/>
      <c r="E12" s="2">
        <v>0</v>
      </c>
      <c r="F12" s="2"/>
      <c r="G12" s="20">
        <f t="shared" si="0"/>
        <v>16155000</v>
      </c>
      <c r="H12" s="2"/>
      <c r="I12" t="s">
        <v>36</v>
      </c>
    </row>
    <row r="13" spans="1:15" x14ac:dyDescent="0.25">
      <c r="A13" s="1" t="s">
        <v>34</v>
      </c>
      <c r="B13" s="29"/>
      <c r="C13" s="20">
        <v>7268826</v>
      </c>
      <c r="D13" s="2"/>
      <c r="E13" s="2">
        <v>0</v>
      </c>
      <c r="F13" s="2"/>
      <c r="G13" s="20">
        <f t="shared" si="0"/>
        <v>7268826</v>
      </c>
      <c r="H13" s="2"/>
      <c r="I13" t="s">
        <v>36</v>
      </c>
    </row>
    <row r="14" spans="1:15" x14ac:dyDescent="0.25">
      <c r="A14" s="1">
        <v>2016</v>
      </c>
      <c r="B14" s="29"/>
      <c r="C14" s="20">
        <v>2115000</v>
      </c>
      <c r="D14" s="2"/>
      <c r="E14" s="2">
        <v>0</v>
      </c>
      <c r="F14" s="2"/>
      <c r="G14" s="20">
        <f t="shared" si="0"/>
        <v>2115000</v>
      </c>
      <c r="H14" s="2"/>
      <c r="I14" t="s">
        <v>36</v>
      </c>
    </row>
    <row r="15" spans="1:15" x14ac:dyDescent="0.25">
      <c r="A15" s="65">
        <v>2020</v>
      </c>
      <c r="B15" s="65"/>
      <c r="C15" s="20">
        <v>7661645</v>
      </c>
      <c r="D15" s="2"/>
      <c r="E15" s="2">
        <v>0</v>
      </c>
      <c r="F15" s="2"/>
      <c r="G15" s="20">
        <f t="shared" ref="G15:G17" si="1">C15</f>
        <v>7661645</v>
      </c>
      <c r="H15" s="2"/>
      <c r="I15" t="s">
        <v>36</v>
      </c>
    </row>
    <row r="16" spans="1:15" x14ac:dyDescent="0.25">
      <c r="A16" s="65" t="s">
        <v>90</v>
      </c>
      <c r="B16" s="65"/>
      <c r="C16" s="20">
        <v>112649286</v>
      </c>
      <c r="D16" s="2"/>
      <c r="E16" s="2">
        <v>0</v>
      </c>
      <c r="F16" s="2"/>
      <c r="G16" s="20">
        <f t="shared" si="1"/>
        <v>112649286</v>
      </c>
      <c r="H16" s="2"/>
      <c r="I16" t="s">
        <v>36</v>
      </c>
    </row>
    <row r="17" spans="1:9" x14ac:dyDescent="0.25">
      <c r="A17" s="72">
        <v>2022</v>
      </c>
      <c r="B17" s="72"/>
      <c r="C17" s="20">
        <v>4596880</v>
      </c>
      <c r="D17" s="2"/>
      <c r="E17" s="2">
        <v>0</v>
      </c>
      <c r="F17" s="2"/>
      <c r="G17" s="20">
        <f t="shared" si="1"/>
        <v>4596880</v>
      </c>
      <c r="H17" s="2"/>
      <c r="I17" t="s">
        <v>36</v>
      </c>
    </row>
    <row r="18" spans="1:9" x14ac:dyDescent="0.25">
      <c r="C18" s="21"/>
      <c r="G18" s="21" t="s">
        <v>48</v>
      </c>
    </row>
    <row r="19" spans="1:9" x14ac:dyDescent="0.25">
      <c r="A19" s="62" t="s">
        <v>116</v>
      </c>
      <c r="B19" s="62"/>
      <c r="C19" s="63"/>
      <c r="D19" s="64"/>
      <c r="G19" s="21"/>
    </row>
    <row r="20" spans="1:9" x14ac:dyDescent="0.25">
      <c r="A20" s="1" t="s">
        <v>26</v>
      </c>
      <c r="B20" s="29"/>
      <c r="C20" s="21"/>
      <c r="E20" s="1" t="s">
        <v>27</v>
      </c>
      <c r="F20" s="29"/>
      <c r="G20" s="57" t="s">
        <v>28</v>
      </c>
      <c r="H20" s="29"/>
    </row>
    <row r="21" spans="1:9" x14ac:dyDescent="0.25">
      <c r="A21" s="14" t="s">
        <v>32</v>
      </c>
      <c r="B21" s="14"/>
      <c r="C21" s="53" t="s">
        <v>31</v>
      </c>
      <c r="D21" s="14"/>
      <c r="E21" s="14" t="s">
        <v>29</v>
      </c>
      <c r="F21" s="14"/>
      <c r="G21" s="53" t="s">
        <v>29</v>
      </c>
      <c r="H21" s="14"/>
      <c r="I21" s="15" t="s">
        <v>30</v>
      </c>
    </row>
    <row r="22" spans="1:9" x14ac:dyDescent="0.25">
      <c r="A22" s="1">
        <v>2013</v>
      </c>
      <c r="B22" s="29"/>
      <c r="C22" s="20">
        <v>4610000</v>
      </c>
      <c r="D22" s="2"/>
      <c r="E22" s="2">
        <v>0</v>
      </c>
      <c r="F22" s="2"/>
      <c r="G22" s="20">
        <f>C22</f>
        <v>4610000</v>
      </c>
      <c r="H22" s="2"/>
      <c r="I22" t="s">
        <v>82</v>
      </c>
    </row>
    <row r="23" spans="1:9" x14ac:dyDescent="0.25">
      <c r="A23" s="32">
        <v>2015</v>
      </c>
      <c r="B23" s="32"/>
      <c r="C23" s="54">
        <v>1400000</v>
      </c>
      <c r="D23" s="33"/>
      <c r="E23" s="33">
        <v>0</v>
      </c>
      <c r="F23" s="33"/>
      <c r="G23" s="54">
        <f t="shared" ref="G23" si="2">C23</f>
        <v>1400000</v>
      </c>
      <c r="H23" s="33"/>
      <c r="I23" s="34" t="s">
        <v>37</v>
      </c>
    </row>
    <row r="24" spans="1:9" x14ac:dyDescent="0.25">
      <c r="A24" s="14">
        <v>2017</v>
      </c>
      <c r="B24" s="14"/>
      <c r="C24" s="55">
        <v>825000</v>
      </c>
      <c r="D24" s="16"/>
      <c r="E24" s="16">
        <v>0</v>
      </c>
      <c r="F24" s="16"/>
      <c r="G24" s="55">
        <f t="shared" ref="G24" si="3">C24</f>
        <v>825000</v>
      </c>
      <c r="H24" s="16"/>
      <c r="I24" s="15" t="s">
        <v>79</v>
      </c>
    </row>
    <row r="25" spans="1:9" x14ac:dyDescent="0.25">
      <c r="A25" s="32"/>
      <c r="B25" s="32"/>
      <c r="C25" s="54"/>
      <c r="D25" s="33"/>
      <c r="E25" s="33"/>
      <c r="F25" s="33"/>
      <c r="G25" s="54"/>
      <c r="H25" s="33"/>
      <c r="I25" s="34"/>
    </row>
    <row r="26" spans="1:9" x14ac:dyDescent="0.25">
      <c r="A26" s="62" t="s">
        <v>117</v>
      </c>
      <c r="B26" s="62"/>
      <c r="C26" s="63"/>
      <c r="G26" s="21"/>
    </row>
    <row r="27" spans="1:9" x14ac:dyDescent="0.25">
      <c r="A27" s="45" t="s">
        <v>26</v>
      </c>
      <c r="B27" s="45"/>
      <c r="C27" s="21"/>
      <c r="E27" s="45" t="s">
        <v>27</v>
      </c>
      <c r="F27" s="45"/>
      <c r="G27" s="57" t="s">
        <v>28</v>
      </c>
      <c r="H27" s="45"/>
    </row>
    <row r="28" spans="1:9" x14ac:dyDescent="0.25">
      <c r="A28" s="14" t="s">
        <v>32</v>
      </c>
      <c r="B28" s="14"/>
      <c r="C28" s="53" t="s">
        <v>31</v>
      </c>
      <c r="D28" s="14"/>
      <c r="E28" s="14" t="s">
        <v>29</v>
      </c>
      <c r="F28" s="14"/>
      <c r="G28" s="53" t="s">
        <v>29</v>
      </c>
      <c r="H28" s="14"/>
      <c r="I28" s="15" t="s">
        <v>30</v>
      </c>
    </row>
    <row r="29" spans="1:9" x14ac:dyDescent="0.25">
      <c r="A29" s="50">
        <v>2019</v>
      </c>
      <c r="B29" s="50"/>
      <c r="C29" s="56">
        <v>758034</v>
      </c>
      <c r="D29" s="51"/>
      <c r="E29" s="51">
        <v>0</v>
      </c>
      <c r="F29" s="51"/>
      <c r="G29" s="56">
        <f>C29</f>
        <v>758034</v>
      </c>
      <c r="H29" s="51"/>
      <c r="I29" s="52" t="s">
        <v>81</v>
      </c>
    </row>
    <row r="30" spans="1:9" x14ac:dyDescent="0.25">
      <c r="A30" s="32"/>
      <c r="B30" s="32"/>
      <c r="C30" s="33"/>
      <c r="D30" s="33"/>
      <c r="E30" s="33"/>
      <c r="F30" s="33"/>
      <c r="G30" s="33"/>
      <c r="H30" s="33"/>
      <c r="I30" s="34"/>
    </row>
    <row r="31" spans="1:9" x14ac:dyDescent="0.25">
      <c r="A31" s="35" t="s">
        <v>38</v>
      </c>
      <c r="B31" s="35"/>
    </row>
    <row r="32" spans="1:9" x14ac:dyDescent="0.25">
      <c r="E32" t="s">
        <v>71</v>
      </c>
      <c r="G32" t="s">
        <v>72</v>
      </c>
    </row>
    <row r="33" spans="1:7" x14ac:dyDescent="0.25">
      <c r="A33" t="s">
        <v>39</v>
      </c>
      <c r="E33" t="s">
        <v>41</v>
      </c>
      <c r="G33" t="s">
        <v>73</v>
      </c>
    </row>
    <row r="34" spans="1:7" x14ac:dyDescent="0.25">
      <c r="A34" t="s">
        <v>40</v>
      </c>
      <c r="E34" t="s">
        <v>42</v>
      </c>
      <c r="G34" t="s">
        <v>73</v>
      </c>
    </row>
  </sheetData>
  <mergeCells count="2">
    <mergeCell ref="A1:I1"/>
    <mergeCell ref="A2:I2"/>
  </mergeCells>
  <printOptions horizontalCentered="1"/>
  <pageMargins left="0.7" right="0.7" top="0.75" bottom="0.75" header="0.3" footer="0.3"/>
  <pageSetup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7"/>
  <sheetViews>
    <sheetView workbookViewId="0">
      <selection activeCell="F12" sqref="F12"/>
    </sheetView>
  </sheetViews>
  <sheetFormatPr defaultRowHeight="15" x14ac:dyDescent="0.25"/>
  <cols>
    <col min="1" max="1" width="18.5703125" customWidth="1"/>
    <col min="2" max="2" width="21.28515625" customWidth="1"/>
    <col min="3" max="3" width="11.5703125" customWidth="1"/>
    <col min="4" max="6" width="17.42578125" style="20" customWidth="1"/>
    <col min="7" max="7" width="14.28515625" bestFit="1" customWidth="1"/>
  </cols>
  <sheetData>
    <row r="1" spans="1:7" x14ac:dyDescent="0.25">
      <c r="A1" s="85" t="s">
        <v>0</v>
      </c>
      <c r="B1" s="85"/>
      <c r="C1" s="85"/>
      <c r="D1" s="85"/>
      <c r="E1" s="85"/>
      <c r="F1" s="85"/>
    </row>
    <row r="2" spans="1:7" x14ac:dyDescent="0.25">
      <c r="A2" s="86" t="s">
        <v>108</v>
      </c>
      <c r="B2" s="86"/>
      <c r="C2" s="86"/>
      <c r="D2" s="86"/>
      <c r="E2" s="86"/>
      <c r="F2" s="86"/>
    </row>
    <row r="3" spans="1:7" x14ac:dyDescent="0.25">
      <c r="A3" s="86" t="s">
        <v>102</v>
      </c>
      <c r="B3" s="86"/>
      <c r="C3" s="86"/>
      <c r="D3" s="86"/>
      <c r="E3" s="86"/>
      <c r="F3" s="86"/>
    </row>
    <row r="5" spans="1:7" x14ac:dyDescent="0.25">
      <c r="A5" s="64" t="s">
        <v>74</v>
      </c>
      <c r="B5" s="18" t="s">
        <v>50</v>
      </c>
      <c r="C5" s="18" t="s">
        <v>51</v>
      </c>
      <c r="D5" s="26" t="s">
        <v>68</v>
      </c>
      <c r="E5" s="26" t="s">
        <v>46</v>
      </c>
      <c r="F5" s="26" t="s">
        <v>47</v>
      </c>
    </row>
    <row r="6" spans="1:7" x14ac:dyDescent="0.25">
      <c r="A6" s="19" t="s">
        <v>49</v>
      </c>
      <c r="B6" s="19" t="s">
        <v>29</v>
      </c>
      <c r="C6" s="19" t="s">
        <v>52</v>
      </c>
      <c r="D6" s="27" t="s">
        <v>54</v>
      </c>
      <c r="E6" s="27" t="s">
        <v>54</v>
      </c>
      <c r="F6" s="27" t="s">
        <v>58</v>
      </c>
    </row>
    <row r="7" spans="1:7" x14ac:dyDescent="0.25">
      <c r="A7" s="18">
        <v>2003</v>
      </c>
      <c r="B7" s="20">
        <v>20883645</v>
      </c>
      <c r="C7" s="25">
        <v>46614</v>
      </c>
      <c r="D7" s="20">
        <v>2669134</v>
      </c>
      <c r="E7" s="20">
        <v>8480866.4000000004</v>
      </c>
      <c r="F7" s="20">
        <f>D7+E7</f>
        <v>11150000.4</v>
      </c>
    </row>
    <row r="8" spans="1:7" x14ac:dyDescent="0.25">
      <c r="A8" s="18" t="s">
        <v>61</v>
      </c>
      <c r="B8" s="20">
        <v>30574884</v>
      </c>
      <c r="C8" s="25">
        <v>44788</v>
      </c>
      <c r="D8" s="20">
        <v>503450</v>
      </c>
      <c r="E8" s="20">
        <v>2766550.8</v>
      </c>
      <c r="F8" s="20">
        <f t="shared" ref="F8:F13" si="0">D8+E8</f>
        <v>3270000.8</v>
      </c>
    </row>
    <row r="9" spans="1:7" x14ac:dyDescent="0.25">
      <c r="A9" s="18" t="s">
        <v>62</v>
      </c>
      <c r="B9" s="20">
        <v>40160142</v>
      </c>
      <c r="C9" s="25">
        <v>45153</v>
      </c>
      <c r="D9" s="20">
        <v>1165000</v>
      </c>
      <c r="E9" s="20">
        <v>32475</v>
      </c>
      <c r="F9" s="20">
        <f t="shared" si="0"/>
        <v>1197475</v>
      </c>
    </row>
    <row r="10" spans="1:7" x14ac:dyDescent="0.25">
      <c r="A10" s="18" t="s">
        <v>63</v>
      </c>
      <c r="B10" s="20">
        <v>49374874</v>
      </c>
      <c r="C10" s="25">
        <v>53189</v>
      </c>
      <c r="D10" s="20">
        <v>65948</v>
      </c>
      <c r="E10" s="20">
        <v>294051.59999999998</v>
      </c>
      <c r="F10" s="20">
        <f t="shared" si="0"/>
        <v>359999.6</v>
      </c>
    </row>
    <row r="11" spans="1:7" x14ac:dyDescent="0.25">
      <c r="A11" s="18" t="s">
        <v>64</v>
      </c>
      <c r="B11" s="20">
        <v>16155000</v>
      </c>
      <c r="C11" s="25">
        <v>50267</v>
      </c>
      <c r="D11" s="20">
        <v>11940000</v>
      </c>
      <c r="E11" s="20">
        <v>4380422</v>
      </c>
      <c r="F11" s="20">
        <f t="shared" si="0"/>
        <v>16320422</v>
      </c>
      <c r="G11" s="43" t="s">
        <v>48</v>
      </c>
    </row>
    <row r="12" spans="1:7" x14ac:dyDescent="0.25">
      <c r="A12" s="18" t="s">
        <v>65</v>
      </c>
      <c r="B12" s="20">
        <v>7268826</v>
      </c>
      <c r="C12" s="25">
        <v>53189</v>
      </c>
      <c r="D12" s="20">
        <v>1763826</v>
      </c>
      <c r="E12" s="20">
        <v>7165159</v>
      </c>
      <c r="F12" s="20">
        <f t="shared" si="0"/>
        <v>8928985</v>
      </c>
      <c r="G12" s="43" t="s">
        <v>48</v>
      </c>
    </row>
    <row r="13" spans="1:7" x14ac:dyDescent="0.25">
      <c r="A13" s="18" t="s">
        <v>66</v>
      </c>
      <c r="B13" s="20">
        <v>2115000</v>
      </c>
      <c r="C13" s="25">
        <v>48441</v>
      </c>
      <c r="D13" s="20">
        <v>915000</v>
      </c>
      <c r="E13" s="20">
        <v>164525</v>
      </c>
      <c r="F13" s="20">
        <f t="shared" si="0"/>
        <v>1079525</v>
      </c>
    </row>
    <row r="14" spans="1:7" x14ac:dyDescent="0.25">
      <c r="A14" s="65" t="s">
        <v>91</v>
      </c>
      <c r="B14" s="20">
        <v>7661645</v>
      </c>
      <c r="C14" s="25">
        <v>49171</v>
      </c>
      <c r="D14" s="20">
        <v>7661645</v>
      </c>
      <c r="E14" s="20">
        <v>4250555.5</v>
      </c>
      <c r="F14" s="20">
        <f t="shared" ref="F14:F16" si="1">D14+E14</f>
        <v>11912200.5</v>
      </c>
    </row>
    <row r="15" spans="1:7" x14ac:dyDescent="0.25">
      <c r="A15" s="65" t="s">
        <v>90</v>
      </c>
      <c r="B15" s="20">
        <v>112649286</v>
      </c>
      <c r="C15" s="25">
        <v>53189</v>
      </c>
      <c r="D15" s="20">
        <v>109849286</v>
      </c>
      <c r="E15" s="20">
        <v>115861658.52</v>
      </c>
      <c r="F15" s="20">
        <f t="shared" si="1"/>
        <v>225710944.51999998</v>
      </c>
    </row>
    <row r="16" spans="1:7" x14ac:dyDescent="0.25">
      <c r="A16" s="72">
        <v>2022</v>
      </c>
      <c r="B16" s="20">
        <v>4596880</v>
      </c>
      <c r="C16" s="25">
        <v>53189</v>
      </c>
      <c r="D16" s="20">
        <v>4596880</v>
      </c>
      <c r="E16" s="20">
        <v>3995802.14</v>
      </c>
      <c r="F16" s="20">
        <f t="shared" si="1"/>
        <v>8592682.1400000006</v>
      </c>
    </row>
    <row r="17" spans="1:7" ht="15.75" thickBot="1" x14ac:dyDescent="0.3">
      <c r="A17" s="18" t="s">
        <v>77</v>
      </c>
      <c r="B17" s="30">
        <f>SUM(B7:B16)</f>
        <v>291440182</v>
      </c>
      <c r="D17" s="30">
        <f t="shared" ref="D17:E17" si="2">SUM(D7:D16)</f>
        <v>141130169</v>
      </c>
      <c r="E17" s="30">
        <f t="shared" si="2"/>
        <v>147392065.95999998</v>
      </c>
      <c r="F17" s="30">
        <f>SUM(F7:F16)</f>
        <v>288522234.95999998</v>
      </c>
    </row>
    <row r="18" spans="1:7" ht="15.75" thickTop="1" x14ac:dyDescent="0.25">
      <c r="E18" s="20" t="s">
        <v>48</v>
      </c>
      <c r="F18" s="20" t="s">
        <v>48</v>
      </c>
    </row>
    <row r="19" spans="1:7" x14ac:dyDescent="0.25">
      <c r="A19" s="64" t="s">
        <v>75</v>
      </c>
      <c r="E19" s="20" t="s">
        <v>48</v>
      </c>
      <c r="F19" s="20" t="s">
        <v>48</v>
      </c>
    </row>
    <row r="20" spans="1:7" x14ac:dyDescent="0.25">
      <c r="B20" s="24" t="s">
        <v>50</v>
      </c>
      <c r="C20" s="58" t="s">
        <v>51</v>
      </c>
      <c r="D20" s="26" t="s">
        <v>68</v>
      </c>
      <c r="E20" s="26" t="s">
        <v>46</v>
      </c>
      <c r="F20" s="26" t="s">
        <v>47</v>
      </c>
    </row>
    <row r="21" spans="1:7" x14ac:dyDescent="0.25">
      <c r="A21" s="19" t="s">
        <v>48</v>
      </c>
      <c r="B21" s="19" t="s">
        <v>29</v>
      </c>
      <c r="C21" s="19" t="s">
        <v>52</v>
      </c>
      <c r="D21" s="27" t="s">
        <v>54</v>
      </c>
      <c r="E21" s="27" t="s">
        <v>54</v>
      </c>
      <c r="F21" s="27" t="s">
        <v>58</v>
      </c>
    </row>
    <row r="22" spans="1:7" x14ac:dyDescent="0.25">
      <c r="A22" s="24">
        <v>2013</v>
      </c>
      <c r="B22" s="48">
        <v>4610000</v>
      </c>
      <c r="C22" s="25">
        <v>46996</v>
      </c>
      <c r="D22" s="20">
        <v>1995000</v>
      </c>
      <c r="E22" s="20">
        <v>167790</v>
      </c>
      <c r="F22" s="20">
        <f t="shared" ref="F22:F24" si="3">D22+E22</f>
        <v>2162790</v>
      </c>
    </row>
    <row r="23" spans="1:7" x14ac:dyDescent="0.25">
      <c r="A23" s="41">
        <v>2015</v>
      </c>
      <c r="B23" s="48">
        <v>1400000</v>
      </c>
      <c r="C23" s="25">
        <v>45900</v>
      </c>
      <c r="D23" s="20">
        <v>600000</v>
      </c>
      <c r="E23" s="20">
        <v>30253.5</v>
      </c>
      <c r="F23" s="20">
        <f t="shared" ref="F23" si="4">D23+E23</f>
        <v>630253.5</v>
      </c>
    </row>
    <row r="24" spans="1:7" x14ac:dyDescent="0.25">
      <c r="A24" s="24">
        <v>2017</v>
      </c>
      <c r="B24" s="48">
        <v>825000</v>
      </c>
      <c r="C24" s="25">
        <v>46600</v>
      </c>
      <c r="D24" s="20">
        <v>520000</v>
      </c>
      <c r="E24" s="20">
        <v>37323</v>
      </c>
      <c r="F24" s="20">
        <f t="shared" si="3"/>
        <v>557323</v>
      </c>
      <c r="G24" t="s">
        <v>48</v>
      </c>
    </row>
    <row r="25" spans="1:7" ht="15.75" thickBot="1" x14ac:dyDescent="0.3">
      <c r="A25" s="24" t="s">
        <v>78</v>
      </c>
      <c r="B25" s="49">
        <f>SUM(B22:B24)</f>
        <v>6835000</v>
      </c>
      <c r="C25" t="s">
        <v>48</v>
      </c>
      <c r="D25" s="30">
        <f t="shared" ref="D25:F25" si="5">SUM(D22:D24)</f>
        <v>3115000</v>
      </c>
      <c r="E25" s="30">
        <f t="shared" si="5"/>
        <v>235366.5</v>
      </c>
      <c r="F25" s="30">
        <f t="shared" si="5"/>
        <v>3350366.5</v>
      </c>
    </row>
    <row r="26" spans="1:7" ht="15.75" thickTop="1" x14ac:dyDescent="0.25">
      <c r="D26" s="20" t="s">
        <v>48</v>
      </c>
      <c r="E26" s="20" t="s">
        <v>48</v>
      </c>
      <c r="F26" s="20" t="s">
        <v>48</v>
      </c>
    </row>
    <row r="27" spans="1:7" x14ac:dyDescent="0.25">
      <c r="A27" s="64" t="s">
        <v>101</v>
      </c>
      <c r="E27" s="26" t="s">
        <v>48</v>
      </c>
    </row>
    <row r="28" spans="1:7" x14ac:dyDescent="0.25">
      <c r="B28" s="45" t="s">
        <v>50</v>
      </c>
      <c r="C28" s="45" t="s">
        <v>51</v>
      </c>
      <c r="D28" s="26" t="s">
        <v>68</v>
      </c>
      <c r="E28" s="26" t="s">
        <v>46</v>
      </c>
      <c r="F28" s="26" t="s">
        <v>47</v>
      </c>
    </row>
    <row r="29" spans="1:7" x14ac:dyDescent="0.25">
      <c r="A29" s="19"/>
      <c r="B29" s="19" t="s">
        <v>29</v>
      </c>
      <c r="C29" s="19" t="s">
        <v>52</v>
      </c>
      <c r="D29" s="27" t="s">
        <v>54</v>
      </c>
      <c r="E29" s="27" t="s">
        <v>54</v>
      </c>
      <c r="F29" s="27" t="s">
        <v>58</v>
      </c>
    </row>
    <row r="30" spans="1:7" x14ac:dyDescent="0.25">
      <c r="A30" s="45">
        <v>2019</v>
      </c>
      <c r="B30" s="48">
        <v>758034</v>
      </c>
      <c r="C30" s="25">
        <v>46249</v>
      </c>
      <c r="D30" s="20">
        <v>554099.5</v>
      </c>
      <c r="E30" s="20">
        <v>33876.65</v>
      </c>
      <c r="F30" s="20">
        <f>D30+E30</f>
        <v>587976.15</v>
      </c>
    </row>
    <row r="31" spans="1:7" ht="15.75" thickBot="1" x14ac:dyDescent="0.3">
      <c r="A31" s="45" t="s">
        <v>67</v>
      </c>
      <c r="B31" s="49">
        <f>SUM(B30:B30)</f>
        <v>758034</v>
      </c>
      <c r="D31" s="30">
        <f>SUM(D30:D30)</f>
        <v>554099.5</v>
      </c>
      <c r="E31" s="30">
        <f>SUM(E30:E30)</f>
        <v>33876.65</v>
      </c>
      <c r="F31" s="30">
        <f>SUM(F30:F30)</f>
        <v>587976.15</v>
      </c>
    </row>
    <row r="32" spans="1:7" ht="15.75" thickTop="1" x14ac:dyDescent="0.25">
      <c r="E32" s="20" t="s">
        <v>48</v>
      </c>
    </row>
    <row r="34" spans="1:6" ht="15.75" thickBot="1" x14ac:dyDescent="0.3">
      <c r="A34" t="s">
        <v>76</v>
      </c>
      <c r="B34" s="31">
        <f>B25+B17+B31</f>
        <v>299033216</v>
      </c>
      <c r="D34" s="31">
        <f>D25+D17+D31</f>
        <v>144799268.5</v>
      </c>
      <c r="E34" s="31">
        <f>E25+E17+E31</f>
        <v>147661309.10999998</v>
      </c>
      <c r="F34" s="31">
        <f>F25+F17+F31</f>
        <v>292460577.60999995</v>
      </c>
    </row>
    <row r="36" spans="1:6" x14ac:dyDescent="0.25">
      <c r="A36" s="3" t="s">
        <v>48</v>
      </c>
      <c r="D36" s="20" t="s">
        <v>48</v>
      </c>
    </row>
    <row r="37" spans="1:6" x14ac:dyDescent="0.25">
      <c r="D37" s="20" t="s">
        <v>48</v>
      </c>
    </row>
  </sheetData>
  <mergeCells count="3">
    <mergeCell ref="A1:F1"/>
    <mergeCell ref="A3:F3"/>
    <mergeCell ref="A2:F2"/>
  </mergeCells>
  <printOptions horizontalCentered="1"/>
  <pageMargins left="0.7" right="0.7" top="0.75" bottom="0.75" header="0.3" footer="0.3"/>
  <pageSetup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2"/>
  <sheetViews>
    <sheetView workbookViewId="0">
      <selection activeCell="A18" sqref="A18"/>
    </sheetView>
  </sheetViews>
  <sheetFormatPr defaultRowHeight="15" x14ac:dyDescent="0.25"/>
  <cols>
    <col min="1" max="1" width="22.7109375" customWidth="1"/>
    <col min="2" max="2" width="21.28515625" customWidth="1"/>
    <col min="3" max="3" width="11.5703125" customWidth="1"/>
    <col min="4" max="8" width="17.42578125" style="20" customWidth="1"/>
    <col min="9" max="9" width="15.28515625" bestFit="1" customWidth="1"/>
    <col min="10" max="10" width="13.140625" customWidth="1"/>
  </cols>
  <sheetData>
    <row r="1" spans="1:9" ht="15" customHeight="1" x14ac:dyDescent="0.25">
      <c r="A1" s="85" t="s">
        <v>0</v>
      </c>
      <c r="B1" s="85"/>
      <c r="C1" s="85"/>
      <c r="D1" s="85"/>
      <c r="E1" s="85"/>
      <c r="F1" s="85"/>
      <c r="G1" s="85"/>
      <c r="H1" s="85"/>
    </row>
    <row r="2" spans="1:9" ht="15" customHeight="1" x14ac:dyDescent="0.25">
      <c r="A2" s="86" t="s">
        <v>109</v>
      </c>
      <c r="B2" s="86"/>
      <c r="C2" s="86"/>
      <c r="D2" s="86"/>
      <c r="E2" s="86"/>
      <c r="F2" s="86"/>
      <c r="G2" s="86"/>
      <c r="H2" s="86"/>
    </row>
    <row r="3" spans="1:9" x14ac:dyDescent="0.25">
      <c r="A3" s="86" t="s">
        <v>103</v>
      </c>
      <c r="B3" s="86"/>
      <c r="C3" s="86"/>
      <c r="D3" s="86"/>
      <c r="E3" s="86"/>
      <c r="F3" s="86"/>
      <c r="G3" s="86"/>
      <c r="H3" s="86"/>
    </row>
    <row r="5" spans="1:9" x14ac:dyDescent="0.25">
      <c r="A5" s="62" t="s">
        <v>74</v>
      </c>
      <c r="E5" s="26" t="s">
        <v>55</v>
      </c>
      <c r="F5" s="26" t="s">
        <v>93</v>
      </c>
      <c r="H5" s="26" t="s">
        <v>58</v>
      </c>
    </row>
    <row r="6" spans="1:9" x14ac:dyDescent="0.25">
      <c r="B6" s="1" t="s">
        <v>50</v>
      </c>
      <c r="C6" s="1" t="s">
        <v>51</v>
      </c>
      <c r="D6" s="26" t="s">
        <v>53</v>
      </c>
      <c r="E6" s="26" t="s">
        <v>56</v>
      </c>
      <c r="F6" s="26" t="s">
        <v>36</v>
      </c>
      <c r="G6" s="26" t="s">
        <v>57</v>
      </c>
      <c r="H6" s="26" t="s">
        <v>59</v>
      </c>
    </row>
    <row r="7" spans="1:9" x14ac:dyDescent="0.25">
      <c r="A7" s="19" t="s">
        <v>49</v>
      </c>
      <c r="B7" s="19" t="s">
        <v>29</v>
      </c>
      <c r="C7" s="19" t="s">
        <v>52</v>
      </c>
      <c r="D7" s="27" t="s">
        <v>54</v>
      </c>
      <c r="E7" s="27" t="s">
        <v>29</v>
      </c>
      <c r="F7" s="27" t="s">
        <v>29</v>
      </c>
      <c r="G7" s="27" t="s">
        <v>54</v>
      </c>
      <c r="H7" s="74">
        <v>35666</v>
      </c>
    </row>
    <row r="8" spans="1:9" x14ac:dyDescent="0.25">
      <c r="A8" s="1">
        <v>2003</v>
      </c>
      <c r="B8" s="20">
        <v>20883645</v>
      </c>
      <c r="C8" s="25">
        <v>46614</v>
      </c>
      <c r="D8" s="20">
        <v>2669134</v>
      </c>
      <c r="E8" s="20">
        <v>0</v>
      </c>
      <c r="F8" s="20">
        <v>0</v>
      </c>
      <c r="G8" s="20">
        <f>D8-E8+F8</f>
        <v>2669134</v>
      </c>
      <c r="H8" s="20">
        <f>G8/H7</f>
        <v>74.836931531430494</v>
      </c>
    </row>
    <row r="9" spans="1:9" x14ac:dyDescent="0.25">
      <c r="A9" s="1" t="s">
        <v>60</v>
      </c>
      <c r="B9" s="20">
        <v>8328990</v>
      </c>
      <c r="C9" s="25">
        <v>44423</v>
      </c>
      <c r="D9" s="20">
        <v>70000</v>
      </c>
      <c r="E9" s="20">
        <v>70000</v>
      </c>
      <c r="F9" s="20">
        <v>0</v>
      </c>
      <c r="G9" s="20">
        <f t="shared" ref="G9:G18" si="0">D9-E9+F9</f>
        <v>0</v>
      </c>
      <c r="H9" s="20">
        <f>G9/H7</f>
        <v>0</v>
      </c>
    </row>
    <row r="10" spans="1:9" x14ac:dyDescent="0.25">
      <c r="A10" s="1" t="s">
        <v>61</v>
      </c>
      <c r="B10" s="20">
        <v>30574884</v>
      </c>
      <c r="C10" s="25">
        <v>44788</v>
      </c>
      <c r="D10" s="20">
        <v>1102474</v>
      </c>
      <c r="E10" s="20">
        <v>599025</v>
      </c>
      <c r="F10" s="20">
        <v>0</v>
      </c>
      <c r="G10" s="20">
        <f t="shared" si="0"/>
        <v>503449</v>
      </c>
      <c r="H10" s="20">
        <f>G10/H7</f>
        <v>14.115656367408736</v>
      </c>
    </row>
    <row r="11" spans="1:9" x14ac:dyDescent="0.25">
      <c r="A11" s="1" t="s">
        <v>62</v>
      </c>
      <c r="B11" s="20">
        <v>40160142</v>
      </c>
      <c r="C11" s="25">
        <v>45153</v>
      </c>
      <c r="D11" s="20">
        <v>1700000</v>
      </c>
      <c r="E11" s="20">
        <v>535000</v>
      </c>
      <c r="F11" s="20">
        <v>0</v>
      </c>
      <c r="G11" s="20">
        <f t="shared" si="0"/>
        <v>1165000</v>
      </c>
      <c r="H11" s="20">
        <f>G11/H7</f>
        <v>32.664161946952277</v>
      </c>
    </row>
    <row r="12" spans="1:9" x14ac:dyDescent="0.25">
      <c r="A12" s="1" t="s">
        <v>63</v>
      </c>
      <c r="B12" s="20">
        <v>49374874</v>
      </c>
      <c r="C12" s="25">
        <v>53189</v>
      </c>
      <c r="D12" s="20">
        <v>772000</v>
      </c>
      <c r="E12" s="20">
        <v>620125</v>
      </c>
      <c r="F12" s="20">
        <v>-85927</v>
      </c>
      <c r="G12" s="20">
        <f t="shared" si="0"/>
        <v>65948</v>
      </c>
      <c r="H12" s="20">
        <f>G12/H7</f>
        <v>1.8490439073627545</v>
      </c>
    </row>
    <row r="13" spans="1:9" x14ac:dyDescent="0.25">
      <c r="A13" s="1" t="s">
        <v>64</v>
      </c>
      <c r="B13" s="20">
        <v>16155000</v>
      </c>
      <c r="C13" s="25">
        <v>50267</v>
      </c>
      <c r="D13" s="20">
        <v>12490000</v>
      </c>
      <c r="E13" s="20">
        <v>550000</v>
      </c>
      <c r="F13" s="20">
        <v>0</v>
      </c>
      <c r="G13" s="20">
        <f t="shared" si="0"/>
        <v>11940000</v>
      </c>
      <c r="H13" s="20">
        <f>G13/H7</f>
        <v>334.7726125721976</v>
      </c>
    </row>
    <row r="14" spans="1:9" x14ac:dyDescent="0.25">
      <c r="A14" s="1" t="s">
        <v>65</v>
      </c>
      <c r="B14" s="20">
        <v>7268826</v>
      </c>
      <c r="C14" s="25">
        <v>53189</v>
      </c>
      <c r="D14" s="20">
        <v>6983826</v>
      </c>
      <c r="E14" s="20">
        <v>1250000</v>
      </c>
      <c r="F14" s="20">
        <v>-3970000</v>
      </c>
      <c r="G14" s="20">
        <f t="shared" si="0"/>
        <v>1763826</v>
      </c>
      <c r="H14" s="20">
        <f>G14/H7</f>
        <v>49.45398979420176</v>
      </c>
    </row>
    <row r="15" spans="1:9" x14ac:dyDescent="0.25">
      <c r="A15" s="1" t="s">
        <v>66</v>
      </c>
      <c r="B15" s="20">
        <v>2115000</v>
      </c>
      <c r="C15" s="25">
        <v>48441</v>
      </c>
      <c r="D15" s="20">
        <v>1150000</v>
      </c>
      <c r="E15" s="20">
        <v>235000</v>
      </c>
      <c r="F15" s="20">
        <v>0</v>
      </c>
      <c r="G15" s="20">
        <f t="shared" si="0"/>
        <v>915000</v>
      </c>
      <c r="H15" s="20">
        <f>G15/H7</f>
        <v>25.654685134301577</v>
      </c>
    </row>
    <row r="16" spans="1:9" x14ac:dyDescent="0.25">
      <c r="A16" s="65" t="s">
        <v>91</v>
      </c>
      <c r="B16" s="20">
        <v>7661645</v>
      </c>
      <c r="C16" s="25">
        <v>49171</v>
      </c>
      <c r="D16" s="20">
        <v>7661645</v>
      </c>
      <c r="E16" s="20">
        <v>0</v>
      </c>
      <c r="F16" s="20">
        <v>0</v>
      </c>
      <c r="G16" s="20">
        <f t="shared" si="0"/>
        <v>7661645</v>
      </c>
      <c r="H16" s="20">
        <f>G16/H7</f>
        <v>214.81649189704481</v>
      </c>
      <c r="I16" s="20"/>
    </row>
    <row r="17" spans="1:8" x14ac:dyDescent="0.25">
      <c r="A17" s="65" t="s">
        <v>92</v>
      </c>
      <c r="B17" s="20">
        <v>112649286</v>
      </c>
      <c r="C17" s="25">
        <v>53189</v>
      </c>
      <c r="D17" s="20">
        <v>112649287</v>
      </c>
      <c r="E17" s="20">
        <v>2800000</v>
      </c>
      <c r="F17" s="20">
        <v>0</v>
      </c>
      <c r="G17" s="20">
        <f t="shared" si="0"/>
        <v>109849287</v>
      </c>
      <c r="H17" s="20">
        <f>G17/H7</f>
        <v>3079.9441204508494</v>
      </c>
    </row>
    <row r="18" spans="1:8" x14ac:dyDescent="0.25">
      <c r="A18" s="72">
        <v>2022</v>
      </c>
      <c r="B18" s="20">
        <v>4596880</v>
      </c>
      <c r="C18" s="25">
        <v>53189</v>
      </c>
      <c r="D18" s="20">
        <v>0</v>
      </c>
      <c r="E18" s="20">
        <v>0</v>
      </c>
      <c r="F18" s="20">
        <v>4596880</v>
      </c>
      <c r="G18" s="20">
        <f t="shared" si="0"/>
        <v>4596880</v>
      </c>
      <c r="H18" s="20">
        <f>G18/H7</f>
        <v>128.88689508215106</v>
      </c>
    </row>
    <row r="19" spans="1:8" ht="15.75" thickBot="1" x14ac:dyDescent="0.3">
      <c r="A19" s="18" t="s">
        <v>67</v>
      </c>
      <c r="B19" s="30">
        <f>SUM(B8:B18)</f>
        <v>299769172</v>
      </c>
      <c r="D19" s="30">
        <f>SUM(D8:D18)</f>
        <v>147248366</v>
      </c>
      <c r="E19" s="30">
        <f t="shared" ref="E19:G19" si="1">SUM(E8:E18)</f>
        <v>6659150</v>
      </c>
      <c r="F19" s="30">
        <f t="shared" si="1"/>
        <v>540953</v>
      </c>
      <c r="G19" s="30">
        <f t="shared" si="1"/>
        <v>141130169</v>
      </c>
      <c r="H19" s="30">
        <f>SUM(H8:H18)</f>
        <v>3956.9945886839005</v>
      </c>
    </row>
    <row r="20" spans="1:8" ht="15.75" thickTop="1" x14ac:dyDescent="0.25">
      <c r="E20" s="20" t="s">
        <v>48</v>
      </c>
      <c r="F20" s="20" t="s">
        <v>48</v>
      </c>
    </row>
    <row r="21" spans="1:8" x14ac:dyDescent="0.25">
      <c r="A21" s="62" t="s">
        <v>75</v>
      </c>
      <c r="E21" s="26" t="s">
        <v>55</v>
      </c>
      <c r="F21" s="26" t="s">
        <v>93</v>
      </c>
      <c r="H21" s="26" t="s">
        <v>58</v>
      </c>
    </row>
    <row r="22" spans="1:8" x14ac:dyDescent="0.25">
      <c r="B22" s="24" t="s">
        <v>50</v>
      </c>
      <c r="C22" s="24" t="s">
        <v>51</v>
      </c>
      <c r="D22" s="26" t="s">
        <v>53</v>
      </c>
      <c r="E22" s="26" t="s">
        <v>56</v>
      </c>
      <c r="F22" s="26" t="s">
        <v>36</v>
      </c>
      <c r="G22" s="26" t="s">
        <v>57</v>
      </c>
      <c r="H22" s="26" t="s">
        <v>59</v>
      </c>
    </row>
    <row r="23" spans="1:8" x14ac:dyDescent="0.25">
      <c r="A23" s="19" t="s">
        <v>48</v>
      </c>
      <c r="B23" s="19" t="s">
        <v>29</v>
      </c>
      <c r="C23" s="19" t="s">
        <v>52</v>
      </c>
      <c r="D23" s="27" t="s">
        <v>54</v>
      </c>
      <c r="E23" s="27" t="s">
        <v>29</v>
      </c>
      <c r="F23" s="27" t="s">
        <v>29</v>
      </c>
      <c r="G23" s="27" t="s">
        <v>54</v>
      </c>
      <c r="H23" s="74">
        <v>35666</v>
      </c>
    </row>
    <row r="24" spans="1:8" x14ac:dyDescent="0.25">
      <c r="A24" s="24">
        <v>2013</v>
      </c>
      <c r="B24" s="20">
        <v>4610000</v>
      </c>
      <c r="C24" s="25">
        <v>46996</v>
      </c>
      <c r="D24" s="20">
        <v>2315000</v>
      </c>
      <c r="E24" s="20">
        <v>320000</v>
      </c>
      <c r="F24" s="20">
        <v>0</v>
      </c>
      <c r="G24" s="20">
        <f t="shared" ref="G24:G26" si="2">D24-E24+F24</f>
        <v>1995000</v>
      </c>
      <c r="H24" s="20">
        <f>G24/H23</f>
        <v>55.935624964952616</v>
      </c>
    </row>
    <row r="25" spans="1:8" x14ac:dyDescent="0.25">
      <c r="A25" s="24">
        <v>2015</v>
      </c>
      <c r="B25" s="20">
        <v>1400000</v>
      </c>
      <c r="C25" s="25">
        <v>45900</v>
      </c>
      <c r="D25" s="20">
        <v>740000</v>
      </c>
      <c r="E25" s="20">
        <v>140000</v>
      </c>
      <c r="F25" s="20">
        <v>0</v>
      </c>
      <c r="G25" s="20">
        <f t="shared" si="2"/>
        <v>600000</v>
      </c>
      <c r="H25" s="20">
        <f>G25/H23</f>
        <v>16.822744350361688</v>
      </c>
    </row>
    <row r="26" spans="1:8" x14ac:dyDescent="0.25">
      <c r="A26" s="41">
        <v>2017</v>
      </c>
      <c r="B26" s="20">
        <v>825000</v>
      </c>
      <c r="C26" s="25">
        <v>46630</v>
      </c>
      <c r="D26" s="20">
        <v>600000</v>
      </c>
      <c r="E26" s="20">
        <v>80000</v>
      </c>
      <c r="F26" s="20">
        <v>0</v>
      </c>
      <c r="G26" s="20">
        <f t="shared" si="2"/>
        <v>520000</v>
      </c>
      <c r="H26" s="20">
        <f>G26/H23</f>
        <v>14.579711770313464</v>
      </c>
    </row>
    <row r="27" spans="1:8" ht="15.75" thickBot="1" x14ac:dyDescent="0.3">
      <c r="A27" s="24" t="s">
        <v>67</v>
      </c>
      <c r="B27" s="30">
        <f>SUM(B24:B26)</f>
        <v>6835000</v>
      </c>
      <c r="D27" s="30">
        <f t="shared" ref="D27:G27" si="3">SUM(D24:D26)</f>
        <v>3655000</v>
      </c>
      <c r="E27" s="30">
        <f t="shared" si="3"/>
        <v>540000</v>
      </c>
      <c r="F27" s="30">
        <f t="shared" ref="F27" si="4">SUM(F24:F26)</f>
        <v>0</v>
      </c>
      <c r="G27" s="30">
        <f t="shared" si="3"/>
        <v>3115000</v>
      </c>
      <c r="H27" s="30">
        <f>SUM(H24:H26)</f>
        <v>87.338081085627763</v>
      </c>
    </row>
    <row r="28" spans="1:8" ht="15.75" thickTop="1" x14ac:dyDescent="0.25"/>
    <row r="29" spans="1:8" x14ac:dyDescent="0.25">
      <c r="A29" s="62" t="s">
        <v>101</v>
      </c>
      <c r="E29" s="26" t="s">
        <v>55</v>
      </c>
      <c r="F29" s="26" t="s">
        <v>93</v>
      </c>
      <c r="H29" s="26" t="s">
        <v>58</v>
      </c>
    </row>
    <row r="30" spans="1:8" x14ac:dyDescent="0.25">
      <c r="B30" s="45" t="s">
        <v>50</v>
      </c>
      <c r="C30" s="45" t="s">
        <v>51</v>
      </c>
      <c r="D30" s="26" t="s">
        <v>53</v>
      </c>
      <c r="E30" s="26" t="s">
        <v>56</v>
      </c>
      <c r="F30" s="26" t="s">
        <v>36</v>
      </c>
      <c r="G30" s="26" t="s">
        <v>57</v>
      </c>
      <c r="H30" s="26" t="s">
        <v>59</v>
      </c>
    </row>
    <row r="31" spans="1:8" x14ac:dyDescent="0.25">
      <c r="A31" s="19"/>
      <c r="B31" s="19" t="s">
        <v>29</v>
      </c>
      <c r="C31" s="19" t="s">
        <v>52</v>
      </c>
      <c r="D31" s="27" t="s">
        <v>54</v>
      </c>
      <c r="E31" s="27" t="s">
        <v>29</v>
      </c>
      <c r="F31" s="27" t="s">
        <v>29</v>
      </c>
      <c r="G31" s="27" t="s">
        <v>54</v>
      </c>
      <c r="H31" s="74">
        <v>35666</v>
      </c>
    </row>
    <row r="32" spans="1:8" x14ac:dyDescent="0.25">
      <c r="A32" s="45">
        <v>2019</v>
      </c>
      <c r="B32" s="48">
        <v>758034</v>
      </c>
      <c r="C32" s="25">
        <v>46249</v>
      </c>
      <c r="D32" s="20">
        <v>657251</v>
      </c>
      <c r="E32" s="20">
        <v>103151</v>
      </c>
      <c r="F32" s="20">
        <v>0</v>
      </c>
      <c r="G32" s="20">
        <f t="shared" ref="G32" si="5">D32-E32+F32</f>
        <v>554100</v>
      </c>
      <c r="H32" s="20">
        <f>G32/H31</f>
        <v>15.53580440755902</v>
      </c>
    </row>
    <row r="33" spans="1:8" ht="15.75" thickBot="1" x14ac:dyDescent="0.3">
      <c r="A33" s="45" t="s">
        <v>67</v>
      </c>
      <c r="B33" s="49">
        <f>SUM(B32:B32)</f>
        <v>758034</v>
      </c>
      <c r="D33" s="30">
        <f>SUM(D32:D32)</f>
        <v>657251</v>
      </c>
      <c r="E33" s="30">
        <f>SUM(E32:E32)</f>
        <v>103151</v>
      </c>
      <c r="F33" s="30">
        <f>SUM(F32:F32)</f>
        <v>0</v>
      </c>
      <c r="G33" s="30">
        <f>SUM(G32:G32)</f>
        <v>554100</v>
      </c>
      <c r="H33" s="47">
        <f>SUM(H32:H32)</f>
        <v>15.53580440755902</v>
      </c>
    </row>
    <row r="34" spans="1:8" ht="15.75" thickTop="1" x14ac:dyDescent="0.25">
      <c r="D34" s="20" t="s">
        <v>48</v>
      </c>
      <c r="G34" s="20" t="s">
        <v>48</v>
      </c>
    </row>
    <row r="35" spans="1:8" ht="15.75" thickBot="1" x14ac:dyDescent="0.3">
      <c r="A35" s="35" t="s">
        <v>76</v>
      </c>
      <c r="B35" s="36">
        <f>B19+B27+B33</f>
        <v>307362206</v>
      </c>
      <c r="C35" s="35"/>
      <c r="D35" s="36">
        <f>D19+D27+D33</f>
        <v>151560617</v>
      </c>
      <c r="E35" s="36">
        <f>E19+E27+E33</f>
        <v>7302301</v>
      </c>
      <c r="F35" s="36">
        <f>F19+F27+F33</f>
        <v>540953</v>
      </c>
      <c r="G35" s="36">
        <f>G19+G27+G33</f>
        <v>144799269</v>
      </c>
      <c r="H35" s="36">
        <f>H19+H27+H33</f>
        <v>4059.8684741770876</v>
      </c>
    </row>
    <row r="37" spans="1:8" x14ac:dyDescent="0.25">
      <c r="A37" t="s">
        <v>83</v>
      </c>
      <c r="H37" s="20" t="s">
        <v>48</v>
      </c>
    </row>
    <row r="38" spans="1:8" x14ac:dyDescent="0.25">
      <c r="A38" t="s">
        <v>94</v>
      </c>
    </row>
    <row r="39" spans="1:8" x14ac:dyDescent="0.25">
      <c r="A39" s="59" t="s">
        <v>105</v>
      </c>
    </row>
    <row r="40" spans="1:8" x14ac:dyDescent="0.25">
      <c r="A40" s="59" t="s">
        <v>106</v>
      </c>
    </row>
    <row r="41" spans="1:8" x14ac:dyDescent="0.25">
      <c r="A41" s="3"/>
    </row>
    <row r="42" spans="1:8" x14ac:dyDescent="0.25">
      <c r="A42" s="59" t="s">
        <v>104</v>
      </c>
    </row>
  </sheetData>
  <mergeCells count="3">
    <mergeCell ref="A1:H1"/>
    <mergeCell ref="A3:H3"/>
    <mergeCell ref="A2:H2"/>
  </mergeCells>
  <printOptions horizontalCentered="1"/>
  <pageMargins left="0.7" right="0.7" top="0.75" bottom="0.75" header="0.3" footer="0.3"/>
  <pageSetup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2"/>
  <sheetViews>
    <sheetView workbookViewId="0">
      <selection activeCell="A18" sqref="A18"/>
    </sheetView>
  </sheetViews>
  <sheetFormatPr defaultRowHeight="15" x14ac:dyDescent="0.25"/>
  <cols>
    <col min="1" max="1" width="18.85546875" customWidth="1"/>
    <col min="2" max="2" width="21.28515625" customWidth="1"/>
    <col min="3" max="3" width="11.5703125" customWidth="1"/>
    <col min="4" max="8" width="17.42578125" style="20" customWidth="1"/>
  </cols>
  <sheetData>
    <row r="1" spans="1:8" ht="15" customHeight="1" x14ac:dyDescent="0.25">
      <c r="A1" s="85" t="s">
        <v>0</v>
      </c>
      <c r="B1" s="85"/>
      <c r="C1" s="85"/>
      <c r="D1" s="85"/>
      <c r="E1" s="85"/>
      <c r="F1" s="85"/>
      <c r="G1" s="85"/>
      <c r="H1" s="85"/>
    </row>
    <row r="2" spans="1:8" ht="15" customHeight="1" x14ac:dyDescent="0.25">
      <c r="A2" s="86" t="s">
        <v>110</v>
      </c>
      <c r="B2" s="86"/>
      <c r="C2" s="86"/>
      <c r="D2" s="86"/>
      <c r="E2" s="86"/>
      <c r="F2" s="86"/>
      <c r="G2" s="86"/>
      <c r="H2" s="86"/>
    </row>
    <row r="3" spans="1:8" x14ac:dyDescent="0.25">
      <c r="A3" s="86" t="s">
        <v>114</v>
      </c>
      <c r="B3" s="86"/>
      <c r="C3" s="86"/>
      <c r="D3" s="86"/>
      <c r="E3" s="86"/>
      <c r="F3" s="86"/>
      <c r="G3" s="86"/>
      <c r="H3" s="86"/>
    </row>
    <row r="5" spans="1:8" x14ac:dyDescent="0.25">
      <c r="A5" s="71" t="s">
        <v>74</v>
      </c>
      <c r="E5" s="26" t="s">
        <v>55</v>
      </c>
      <c r="F5" s="26" t="s">
        <v>93</v>
      </c>
      <c r="H5" s="26" t="s">
        <v>58</v>
      </c>
    </row>
    <row r="6" spans="1:8" x14ac:dyDescent="0.25">
      <c r="B6" s="40" t="s">
        <v>50</v>
      </c>
      <c r="C6" s="40" t="s">
        <v>51</v>
      </c>
      <c r="D6" s="26" t="s">
        <v>53</v>
      </c>
      <c r="E6" s="26" t="s">
        <v>56</v>
      </c>
      <c r="F6" s="26" t="s">
        <v>36</v>
      </c>
      <c r="G6" s="26" t="s">
        <v>57</v>
      </c>
      <c r="H6" s="26" t="s">
        <v>80</v>
      </c>
    </row>
    <row r="7" spans="1:8" x14ac:dyDescent="0.25">
      <c r="A7" s="19" t="s">
        <v>49</v>
      </c>
      <c r="B7" s="19" t="s">
        <v>29</v>
      </c>
      <c r="C7" s="19" t="s">
        <v>52</v>
      </c>
      <c r="D7" s="27" t="s">
        <v>54</v>
      </c>
      <c r="E7" s="27" t="s">
        <v>29</v>
      </c>
      <c r="F7" s="27" t="s">
        <v>29</v>
      </c>
      <c r="G7" s="27" t="s">
        <v>54</v>
      </c>
      <c r="H7" s="76">
        <v>7036</v>
      </c>
    </row>
    <row r="8" spans="1:8" x14ac:dyDescent="0.25">
      <c r="A8" s="40">
        <v>2003</v>
      </c>
      <c r="B8" s="20">
        <v>20883645</v>
      </c>
      <c r="C8" s="25">
        <v>46614</v>
      </c>
      <c r="D8" s="20">
        <v>2669134</v>
      </c>
      <c r="E8" s="20">
        <v>0</v>
      </c>
      <c r="F8" s="20">
        <v>0</v>
      </c>
      <c r="G8" s="20">
        <f>D8-E8+F8</f>
        <v>2669134</v>
      </c>
      <c r="H8" s="20">
        <f>G8/H7</f>
        <v>379.35389425810121</v>
      </c>
    </row>
    <row r="9" spans="1:8" x14ac:dyDescent="0.25">
      <c r="A9" s="40" t="s">
        <v>60</v>
      </c>
      <c r="B9" s="20">
        <v>8328990</v>
      </c>
      <c r="C9" s="25">
        <v>49171</v>
      </c>
      <c r="D9" s="20">
        <v>70000</v>
      </c>
      <c r="E9" s="20">
        <v>70000</v>
      </c>
      <c r="F9" s="20">
        <v>0</v>
      </c>
      <c r="G9" s="20">
        <f t="shared" ref="G9:G18" si="0">D9-E9+F9</f>
        <v>0</v>
      </c>
      <c r="H9" s="20">
        <f>G9/H7</f>
        <v>0</v>
      </c>
    </row>
    <row r="10" spans="1:8" x14ac:dyDescent="0.25">
      <c r="A10" s="40" t="s">
        <v>61</v>
      </c>
      <c r="B10" s="20">
        <v>30574884</v>
      </c>
      <c r="C10" s="25">
        <v>48806</v>
      </c>
      <c r="D10" s="20">
        <v>1102474</v>
      </c>
      <c r="E10" s="20">
        <v>599025</v>
      </c>
      <c r="F10" s="20">
        <v>0</v>
      </c>
      <c r="G10" s="20">
        <f t="shared" si="0"/>
        <v>503449</v>
      </c>
      <c r="H10" s="20">
        <f>G10/H7</f>
        <v>71.553297328027284</v>
      </c>
    </row>
    <row r="11" spans="1:8" x14ac:dyDescent="0.25">
      <c r="A11" s="40" t="s">
        <v>62</v>
      </c>
      <c r="B11" s="20">
        <v>40160142</v>
      </c>
      <c r="C11" s="25">
        <v>53189</v>
      </c>
      <c r="D11" s="20">
        <v>1700000</v>
      </c>
      <c r="E11" s="20">
        <v>535000</v>
      </c>
      <c r="F11" s="20">
        <v>0</v>
      </c>
      <c r="G11" s="20">
        <f t="shared" si="0"/>
        <v>1165000</v>
      </c>
      <c r="H11" s="20">
        <f>G11/H7</f>
        <v>165.57703240477545</v>
      </c>
    </row>
    <row r="12" spans="1:8" x14ac:dyDescent="0.25">
      <c r="A12" s="40" t="s">
        <v>63</v>
      </c>
      <c r="B12" s="20">
        <v>49374874</v>
      </c>
      <c r="C12" s="25">
        <v>53189</v>
      </c>
      <c r="D12" s="20">
        <v>772000</v>
      </c>
      <c r="E12" s="20">
        <v>620125</v>
      </c>
      <c r="F12" s="20">
        <v>-85927</v>
      </c>
      <c r="G12" s="20">
        <f t="shared" si="0"/>
        <v>65948</v>
      </c>
      <c r="H12" s="20">
        <f>G12/H7</f>
        <v>9.3729391699829456</v>
      </c>
    </row>
    <row r="13" spans="1:8" x14ac:dyDescent="0.25">
      <c r="A13" s="40" t="s">
        <v>64</v>
      </c>
      <c r="B13" s="20">
        <v>16155000</v>
      </c>
      <c r="C13" s="25">
        <v>50267</v>
      </c>
      <c r="D13" s="20">
        <v>12490000</v>
      </c>
      <c r="E13" s="20">
        <v>550000</v>
      </c>
      <c r="F13" s="20">
        <v>0</v>
      </c>
      <c r="G13" s="20">
        <f t="shared" si="0"/>
        <v>11940000</v>
      </c>
      <c r="H13" s="20">
        <f>G13/H7</f>
        <v>1696.9869243888572</v>
      </c>
    </row>
    <row r="14" spans="1:8" x14ac:dyDescent="0.25">
      <c r="A14" s="40" t="s">
        <v>65</v>
      </c>
      <c r="B14" s="20">
        <v>7268826</v>
      </c>
      <c r="C14" s="25">
        <v>53189</v>
      </c>
      <c r="D14" s="20">
        <v>6983826</v>
      </c>
      <c r="E14" s="20">
        <v>1250000</v>
      </c>
      <c r="F14" s="20">
        <v>-3970000</v>
      </c>
      <c r="G14" s="20">
        <f t="shared" si="0"/>
        <v>1763826</v>
      </c>
      <c r="H14" s="20">
        <f>G14/H7</f>
        <v>250.68590108015917</v>
      </c>
    </row>
    <row r="15" spans="1:8" x14ac:dyDescent="0.25">
      <c r="A15" s="40" t="s">
        <v>66</v>
      </c>
      <c r="B15" s="20">
        <v>2115000</v>
      </c>
      <c r="C15" s="25">
        <v>48441</v>
      </c>
      <c r="D15" s="20">
        <v>1150000</v>
      </c>
      <c r="E15" s="20">
        <v>235000</v>
      </c>
      <c r="F15" s="20">
        <v>0</v>
      </c>
      <c r="G15" s="20">
        <f t="shared" si="0"/>
        <v>915000</v>
      </c>
      <c r="H15" s="20">
        <f>G15/H7</f>
        <v>130.04548038658328</v>
      </c>
    </row>
    <row r="16" spans="1:8" x14ac:dyDescent="0.25">
      <c r="A16" s="65" t="s">
        <v>91</v>
      </c>
      <c r="B16" s="20">
        <v>7661645</v>
      </c>
      <c r="C16" s="25">
        <v>49171</v>
      </c>
      <c r="D16" s="20">
        <v>7661645</v>
      </c>
      <c r="E16" s="20">
        <v>0</v>
      </c>
      <c r="F16" s="20">
        <v>0</v>
      </c>
      <c r="G16" s="20">
        <f t="shared" si="0"/>
        <v>7661645</v>
      </c>
      <c r="H16" s="20">
        <f>G16/H7</f>
        <v>1088.9205514496873</v>
      </c>
    </row>
    <row r="17" spans="1:8" x14ac:dyDescent="0.25">
      <c r="A17" s="65" t="s">
        <v>92</v>
      </c>
      <c r="B17" s="20">
        <v>112649286</v>
      </c>
      <c r="C17" s="25">
        <v>53189</v>
      </c>
      <c r="D17" s="20">
        <v>112649287</v>
      </c>
      <c r="E17" s="20">
        <v>2800000</v>
      </c>
      <c r="F17" s="20">
        <v>0</v>
      </c>
      <c r="G17" s="20">
        <f t="shared" si="0"/>
        <v>109849287</v>
      </c>
      <c r="H17" s="20">
        <f>G17/H7</f>
        <v>15612.462620807277</v>
      </c>
    </row>
    <row r="18" spans="1:8" x14ac:dyDescent="0.25">
      <c r="A18" s="73">
        <v>2022</v>
      </c>
      <c r="B18" s="20">
        <v>4596880</v>
      </c>
      <c r="C18" s="25">
        <v>53189</v>
      </c>
      <c r="D18" s="20">
        <v>0</v>
      </c>
      <c r="E18" s="20">
        <v>0</v>
      </c>
      <c r="F18" s="20">
        <v>4596880</v>
      </c>
      <c r="G18" s="20">
        <f t="shared" si="0"/>
        <v>4596880</v>
      </c>
      <c r="H18" s="75">
        <f>G18/H7</f>
        <v>653.33712336554856</v>
      </c>
    </row>
    <row r="19" spans="1:8" ht="15.75" thickBot="1" x14ac:dyDescent="0.3">
      <c r="A19" s="40" t="s">
        <v>67</v>
      </c>
      <c r="B19" s="30">
        <f>SUM(B8:B18)</f>
        <v>299769172</v>
      </c>
      <c r="D19" s="30">
        <f>SUM(D8:D18)</f>
        <v>147248366</v>
      </c>
      <c r="E19" s="30">
        <f>SUM(E8:E18)</f>
        <v>6659150</v>
      </c>
      <c r="F19" s="30">
        <f>SUM(F8:F18)</f>
        <v>540953</v>
      </c>
      <c r="G19" s="30">
        <f>SUM(G8:G18)</f>
        <v>141130169</v>
      </c>
      <c r="H19" s="30">
        <f>SUM(H8:H18)</f>
        <v>20058.295764638999</v>
      </c>
    </row>
    <row r="20" spans="1:8" ht="15.75" thickTop="1" x14ac:dyDescent="0.25"/>
    <row r="21" spans="1:8" x14ac:dyDescent="0.25">
      <c r="A21" s="71" t="s">
        <v>75</v>
      </c>
      <c r="E21" s="26" t="s">
        <v>55</v>
      </c>
      <c r="F21" s="26" t="s">
        <v>93</v>
      </c>
      <c r="H21" s="26" t="s">
        <v>58</v>
      </c>
    </row>
    <row r="22" spans="1:8" x14ac:dyDescent="0.25">
      <c r="B22" s="40" t="s">
        <v>50</v>
      </c>
      <c r="C22" s="40" t="s">
        <v>51</v>
      </c>
      <c r="D22" s="26" t="s">
        <v>53</v>
      </c>
      <c r="E22" s="26" t="s">
        <v>56</v>
      </c>
      <c r="F22" s="26" t="s">
        <v>36</v>
      </c>
      <c r="G22" s="26" t="s">
        <v>57</v>
      </c>
      <c r="H22" s="26" t="s">
        <v>80</v>
      </c>
    </row>
    <row r="23" spans="1:8" x14ac:dyDescent="0.25">
      <c r="A23" s="19"/>
      <c r="B23" s="19" t="s">
        <v>29</v>
      </c>
      <c r="C23" s="19" t="s">
        <v>52</v>
      </c>
      <c r="D23" s="27" t="s">
        <v>54</v>
      </c>
      <c r="E23" s="27" t="s">
        <v>29</v>
      </c>
      <c r="F23" s="27" t="s">
        <v>29</v>
      </c>
      <c r="G23" s="27" t="s">
        <v>54</v>
      </c>
      <c r="H23" s="46">
        <f>H7</f>
        <v>7036</v>
      </c>
    </row>
    <row r="24" spans="1:8" x14ac:dyDescent="0.25">
      <c r="A24" s="40">
        <v>2013</v>
      </c>
      <c r="B24" s="48">
        <v>4610000</v>
      </c>
      <c r="C24" s="25">
        <v>46996</v>
      </c>
      <c r="D24" s="20">
        <v>2315000</v>
      </c>
      <c r="E24" s="20">
        <v>320000</v>
      </c>
      <c r="F24" s="20">
        <v>0</v>
      </c>
      <c r="G24" s="20">
        <f>D24-E24</f>
        <v>1995000</v>
      </c>
      <c r="H24" s="20">
        <f>G24/H23</f>
        <v>283.5417851051734</v>
      </c>
    </row>
    <row r="25" spans="1:8" x14ac:dyDescent="0.25">
      <c r="A25" s="40">
        <v>2015</v>
      </c>
      <c r="B25" s="48">
        <v>1400000</v>
      </c>
      <c r="C25" s="25">
        <v>45900</v>
      </c>
      <c r="D25" s="20">
        <v>740000</v>
      </c>
      <c r="E25" s="20">
        <v>140000</v>
      </c>
      <c r="F25" s="20">
        <v>0</v>
      </c>
      <c r="G25" s="20">
        <f>D25-E25</f>
        <v>600000</v>
      </c>
      <c r="H25" s="20">
        <f>G25/H23</f>
        <v>85.275724843661166</v>
      </c>
    </row>
    <row r="26" spans="1:8" x14ac:dyDescent="0.25">
      <c r="A26" s="42">
        <v>2017</v>
      </c>
      <c r="B26" s="48">
        <v>825000</v>
      </c>
      <c r="C26" s="25">
        <v>46630</v>
      </c>
      <c r="D26" s="20">
        <v>600000</v>
      </c>
      <c r="E26" s="20">
        <v>80000</v>
      </c>
      <c r="F26" s="20">
        <v>0</v>
      </c>
      <c r="G26" s="20">
        <f>D26-E26</f>
        <v>520000</v>
      </c>
      <c r="H26" s="20">
        <f>G26/H23</f>
        <v>73.905628197839675</v>
      </c>
    </row>
    <row r="27" spans="1:8" ht="15.75" thickBot="1" x14ac:dyDescent="0.3">
      <c r="A27" s="40" t="s">
        <v>67</v>
      </c>
      <c r="B27" s="49">
        <f>SUM(B24:B26)</f>
        <v>6835000</v>
      </c>
      <c r="D27" s="30">
        <f>SUM(D24:D26)</f>
        <v>3655000</v>
      </c>
      <c r="E27" s="30">
        <f t="shared" ref="E27:G27" si="1">SUM(E24:E26)</f>
        <v>540000</v>
      </c>
      <c r="F27" s="30">
        <f t="shared" si="1"/>
        <v>0</v>
      </c>
      <c r="G27" s="30">
        <f t="shared" si="1"/>
        <v>3115000</v>
      </c>
      <c r="H27" s="47">
        <f>SUM(H24:H26)</f>
        <v>442.72313814667427</v>
      </c>
    </row>
    <row r="28" spans="1:8" ht="15.75" thickTop="1" x14ac:dyDescent="0.25"/>
    <row r="29" spans="1:8" x14ac:dyDescent="0.25">
      <c r="A29" s="71" t="s">
        <v>101</v>
      </c>
      <c r="E29" s="26" t="s">
        <v>55</v>
      </c>
      <c r="F29" s="26" t="s">
        <v>93</v>
      </c>
      <c r="H29" s="26" t="s">
        <v>58</v>
      </c>
    </row>
    <row r="30" spans="1:8" x14ac:dyDescent="0.25">
      <c r="B30" s="45" t="s">
        <v>50</v>
      </c>
      <c r="C30" s="45" t="s">
        <v>51</v>
      </c>
      <c r="D30" s="26" t="s">
        <v>53</v>
      </c>
      <c r="E30" s="26" t="s">
        <v>56</v>
      </c>
      <c r="F30" s="26" t="s">
        <v>36</v>
      </c>
      <c r="G30" s="26" t="s">
        <v>57</v>
      </c>
      <c r="H30" s="26" t="s">
        <v>80</v>
      </c>
    </row>
    <row r="31" spans="1:8" x14ac:dyDescent="0.25">
      <c r="A31" s="19"/>
      <c r="B31" s="19" t="s">
        <v>29</v>
      </c>
      <c r="C31" s="19" t="s">
        <v>52</v>
      </c>
      <c r="D31" s="27" t="s">
        <v>54</v>
      </c>
      <c r="E31" s="27" t="s">
        <v>29</v>
      </c>
      <c r="F31" s="27" t="s">
        <v>29</v>
      </c>
      <c r="G31" s="27" t="s">
        <v>54</v>
      </c>
      <c r="H31" s="46">
        <f>H7</f>
        <v>7036</v>
      </c>
    </row>
    <row r="32" spans="1:8" x14ac:dyDescent="0.25">
      <c r="A32" s="45">
        <v>2019</v>
      </c>
      <c r="B32" s="48">
        <v>758034</v>
      </c>
      <c r="C32" s="25">
        <v>46249</v>
      </c>
      <c r="D32" s="20">
        <v>657251</v>
      </c>
      <c r="E32" s="20">
        <v>103151</v>
      </c>
      <c r="G32" s="20">
        <f>D32-E32</f>
        <v>554100</v>
      </c>
      <c r="H32" s="20">
        <f>G32/H31</f>
        <v>78.752131893121089</v>
      </c>
    </row>
    <row r="33" spans="1:8" ht="15.75" thickBot="1" x14ac:dyDescent="0.3">
      <c r="A33" s="45" t="s">
        <v>67</v>
      </c>
      <c r="B33" s="49">
        <f>SUM(B32:B32)</f>
        <v>758034</v>
      </c>
      <c r="D33" s="30">
        <f>SUM(D32:D32)</f>
        <v>657251</v>
      </c>
      <c r="E33" s="30">
        <f>SUM(E32:E32)</f>
        <v>103151</v>
      </c>
      <c r="F33" s="30"/>
      <c r="G33" s="30">
        <f>SUM(G32:G32)</f>
        <v>554100</v>
      </c>
      <c r="H33" s="47">
        <f>SUM(H32:H32)</f>
        <v>78.752131893121089</v>
      </c>
    </row>
    <row r="34" spans="1:8" ht="15.75" thickTop="1" x14ac:dyDescent="0.25"/>
    <row r="35" spans="1:8" ht="15.75" thickBot="1" x14ac:dyDescent="0.3">
      <c r="A35" s="35" t="s">
        <v>76</v>
      </c>
      <c r="B35" s="36">
        <f>B19+B27+B33</f>
        <v>307362206</v>
      </c>
      <c r="C35" s="35"/>
      <c r="D35" s="36">
        <f>D19+D27+D33</f>
        <v>151560617</v>
      </c>
      <c r="E35" s="36">
        <f>E19+E27+E33</f>
        <v>7302301</v>
      </c>
      <c r="F35" s="36"/>
      <c r="G35" s="36">
        <f>G19+G27+G33</f>
        <v>144799269</v>
      </c>
      <c r="H35" s="36">
        <f>H19+H27+H33</f>
        <v>20579.771034678794</v>
      </c>
    </row>
    <row r="37" spans="1:8" x14ac:dyDescent="0.25">
      <c r="A37" t="s">
        <v>83</v>
      </c>
      <c r="G37" s="20" t="s">
        <v>48</v>
      </c>
      <c r="H37" s="20" t="s">
        <v>48</v>
      </c>
    </row>
    <row r="38" spans="1:8" x14ac:dyDescent="0.25">
      <c r="A38" t="s">
        <v>94</v>
      </c>
    </row>
    <row r="39" spans="1:8" x14ac:dyDescent="0.25">
      <c r="A39" s="59" t="s">
        <v>105</v>
      </c>
      <c r="G39" s="20" t="s">
        <v>48</v>
      </c>
    </row>
    <row r="40" spans="1:8" x14ac:dyDescent="0.25">
      <c r="A40" s="59" t="s">
        <v>106</v>
      </c>
    </row>
    <row r="42" spans="1:8" x14ac:dyDescent="0.25">
      <c r="A42" s="59" t="s">
        <v>107</v>
      </c>
    </row>
  </sheetData>
  <mergeCells count="3">
    <mergeCell ref="A1:H1"/>
    <mergeCell ref="A3:H3"/>
    <mergeCell ref="A2:H2"/>
  </mergeCells>
  <printOptions horizontalCentered="1"/>
  <pageMargins left="0.7" right="0.7" top="0.75" bottom="0.75" header="0.3" footer="0.3"/>
  <pageSetup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1"/>
  <sheetViews>
    <sheetView workbookViewId="0">
      <selection activeCell="B26" sqref="B26"/>
    </sheetView>
  </sheetViews>
  <sheetFormatPr defaultRowHeight="15" x14ac:dyDescent="0.25"/>
  <cols>
    <col min="1" max="4" width="16.28515625" customWidth="1"/>
  </cols>
  <sheetData>
    <row r="1" spans="1:4" x14ac:dyDescent="0.25">
      <c r="A1" s="85" t="s">
        <v>0</v>
      </c>
      <c r="B1" s="85"/>
      <c r="C1" s="85"/>
      <c r="D1" s="85"/>
    </row>
    <row r="2" spans="1:4" x14ac:dyDescent="0.25">
      <c r="A2" s="86" t="s">
        <v>111</v>
      </c>
      <c r="B2" s="86"/>
      <c r="C2" s="86"/>
      <c r="D2" s="86"/>
    </row>
    <row r="4" spans="1:4" x14ac:dyDescent="0.25">
      <c r="A4" s="1" t="s">
        <v>43</v>
      </c>
      <c r="B4" s="1"/>
      <c r="C4" s="1"/>
      <c r="D4" s="1"/>
    </row>
    <row r="5" spans="1:4" x14ac:dyDescent="0.25">
      <c r="A5" s="19" t="s">
        <v>44</v>
      </c>
      <c r="B5" s="19" t="s">
        <v>45</v>
      </c>
      <c r="C5" s="19" t="s">
        <v>46</v>
      </c>
      <c r="D5" s="19" t="s">
        <v>47</v>
      </c>
    </row>
    <row r="6" spans="1:4" x14ac:dyDescent="0.25">
      <c r="A6" s="60">
        <v>2022</v>
      </c>
      <c r="B6" s="20">
        <v>2659397.6</v>
      </c>
      <c r="C6" s="20">
        <f>5034814.25+1969344.76</f>
        <v>7004159.0099999998</v>
      </c>
      <c r="D6" s="20">
        <f t="shared" ref="D6:D29" si="0">C6+B6</f>
        <v>9663556.6099999994</v>
      </c>
    </row>
    <row r="7" spans="1:4" x14ac:dyDescent="0.25">
      <c r="A7" s="60">
        <v>2023</v>
      </c>
      <c r="B7" s="20">
        <v>2850987.4</v>
      </c>
      <c r="C7" s="20">
        <f>5138357.36+1946294.76</f>
        <v>7084652.1200000001</v>
      </c>
      <c r="D7" s="20">
        <f t="shared" si="0"/>
        <v>9935639.5199999996</v>
      </c>
    </row>
    <row r="8" spans="1:4" x14ac:dyDescent="0.25">
      <c r="A8" s="60">
        <v>2024</v>
      </c>
      <c r="B8" s="20">
        <v>2334182.65</v>
      </c>
      <c r="C8" s="20">
        <f>5982112.11+1923719.76</f>
        <v>7905831.8700000001</v>
      </c>
      <c r="D8" s="20">
        <f t="shared" si="0"/>
        <v>10240014.52</v>
      </c>
    </row>
    <row r="9" spans="1:4" x14ac:dyDescent="0.25">
      <c r="A9" s="60">
        <v>2025</v>
      </c>
      <c r="B9" s="20">
        <v>1222460.75</v>
      </c>
      <c r="C9" s="20">
        <f>6951259.01+1922744.76</f>
        <v>8874003.7699999996</v>
      </c>
      <c r="D9" s="20">
        <f t="shared" si="0"/>
        <v>10096464.52</v>
      </c>
    </row>
    <row r="10" spans="1:4" x14ac:dyDescent="0.25">
      <c r="A10" s="60">
        <v>2026</v>
      </c>
      <c r="B10" s="20">
        <v>1967991.9</v>
      </c>
      <c r="C10" s="20">
        <f>6329752.86+1901832.26</f>
        <v>8231585.1200000001</v>
      </c>
      <c r="D10" s="20">
        <f t="shared" si="0"/>
        <v>10199577.02</v>
      </c>
    </row>
    <row r="11" spans="1:4" x14ac:dyDescent="0.25">
      <c r="A11" s="60">
        <v>2027</v>
      </c>
      <c r="B11" s="20">
        <v>1982096.15</v>
      </c>
      <c r="C11" s="20">
        <f>7154736.11+1874257.26</f>
        <v>9028993.370000001</v>
      </c>
      <c r="D11" s="20">
        <f t="shared" si="0"/>
        <v>11011089.520000001</v>
      </c>
    </row>
    <row r="12" spans="1:4" x14ac:dyDescent="0.25">
      <c r="A12" s="60">
        <v>2028</v>
      </c>
      <c r="B12" s="20">
        <v>1480159.55</v>
      </c>
      <c r="C12" s="20">
        <f>7834097.71+1844507.26</f>
        <v>9678604.9700000007</v>
      </c>
      <c r="D12" s="20">
        <f t="shared" si="0"/>
        <v>11158764.520000001</v>
      </c>
    </row>
    <row r="13" spans="1:4" x14ac:dyDescent="0.25">
      <c r="A13" s="60">
        <v>2029</v>
      </c>
      <c r="B13" s="20">
        <v>1459840</v>
      </c>
      <c r="C13" s="20">
        <f>8019667.26+1813822.88</f>
        <v>9833490.1400000006</v>
      </c>
      <c r="D13" s="20">
        <f t="shared" si="0"/>
        <v>11293330.140000001</v>
      </c>
    </row>
    <row r="14" spans="1:4" x14ac:dyDescent="0.25">
      <c r="A14" s="60">
        <v>2030</v>
      </c>
      <c r="B14" s="20">
        <v>1466557.2</v>
      </c>
      <c r="C14" s="20">
        <f>8222265.68+1781704.13</f>
        <v>10003969.809999999</v>
      </c>
      <c r="D14" s="20">
        <f t="shared" si="0"/>
        <v>11470527.009999998</v>
      </c>
    </row>
    <row r="15" spans="1:4" x14ac:dyDescent="0.25">
      <c r="A15" s="60">
        <v>2031</v>
      </c>
      <c r="B15" s="20">
        <v>1761941.8</v>
      </c>
      <c r="C15" s="20">
        <f>7814762.33+1748104.13</f>
        <v>9562866.4600000009</v>
      </c>
      <c r="D15" s="20">
        <f t="shared" si="0"/>
        <v>11324808.260000002</v>
      </c>
    </row>
    <row r="16" spans="1:4" x14ac:dyDescent="0.25">
      <c r="A16" s="60">
        <v>2032</v>
      </c>
      <c r="B16" s="20">
        <v>2937457.55</v>
      </c>
      <c r="C16" s="20">
        <f>6765646.58+1684197.88</f>
        <v>8449844.4600000009</v>
      </c>
      <c r="D16" s="20">
        <f t="shared" si="0"/>
        <v>11387302.010000002</v>
      </c>
    </row>
    <row r="17" spans="1:4" x14ac:dyDescent="0.25">
      <c r="A17" s="60">
        <v>2033</v>
      </c>
      <c r="B17" s="20">
        <v>2060047.9</v>
      </c>
      <c r="C17" s="20">
        <f>7824149.98+1644244.75</f>
        <v>9468394.7300000004</v>
      </c>
      <c r="D17" s="20">
        <f t="shared" si="0"/>
        <v>11528442.630000001</v>
      </c>
    </row>
    <row r="18" spans="1:4" x14ac:dyDescent="0.25">
      <c r="A18" s="60">
        <v>2034</v>
      </c>
      <c r="B18" s="20">
        <v>5055560</v>
      </c>
      <c r="C18" s="20">
        <f>4933684.75+1544413.5</f>
        <v>6478098.25</v>
      </c>
      <c r="D18" s="20">
        <f t="shared" si="0"/>
        <v>11533658.25</v>
      </c>
    </row>
    <row r="19" spans="1:4" x14ac:dyDescent="0.25">
      <c r="A19" s="60">
        <v>2035</v>
      </c>
      <c r="B19" s="20">
        <v>657660.69999999995</v>
      </c>
      <c r="C19" s="20">
        <f>9896752.8+1532413.5</f>
        <v>11429166.300000001</v>
      </c>
      <c r="D19" s="20">
        <f t="shared" si="0"/>
        <v>12086827</v>
      </c>
    </row>
    <row r="20" spans="1:4" x14ac:dyDescent="0.25">
      <c r="A20" s="60">
        <v>2036</v>
      </c>
      <c r="B20" s="20">
        <v>8148818.7000000002</v>
      </c>
      <c r="C20" s="20">
        <f>2713594.8+1436563.5</f>
        <v>4150158.3</v>
      </c>
      <c r="D20" s="20">
        <f t="shared" si="0"/>
        <v>12298977</v>
      </c>
    </row>
    <row r="21" spans="1:4" x14ac:dyDescent="0.25">
      <c r="A21" s="60">
        <v>2037</v>
      </c>
      <c r="B21" s="20">
        <v>8446918.4000000004</v>
      </c>
      <c r="C21" s="20">
        <f>2624645.1+1337107.25</f>
        <v>3961752.35</v>
      </c>
      <c r="D21" s="20">
        <f t="shared" si="0"/>
        <v>12408670.75</v>
      </c>
    </row>
    <row r="22" spans="1:4" x14ac:dyDescent="0.25">
      <c r="A22" s="60">
        <v>2038</v>
      </c>
      <c r="B22" s="20">
        <v>9316002.0999999996</v>
      </c>
      <c r="C22" s="20">
        <f>2531105.15+1215864.05</f>
        <v>3746969.2</v>
      </c>
      <c r="D22" s="20">
        <f t="shared" si="0"/>
        <v>13062971.300000001</v>
      </c>
    </row>
    <row r="23" spans="1:4" x14ac:dyDescent="0.25">
      <c r="A23" s="60">
        <v>2039</v>
      </c>
      <c r="B23" s="20">
        <v>9675922.1999999993</v>
      </c>
      <c r="C23" s="20">
        <f>2414941.85+1089273.43</f>
        <v>3504215.2800000003</v>
      </c>
      <c r="D23" s="20">
        <f t="shared" si="0"/>
        <v>13180137.48</v>
      </c>
    </row>
    <row r="24" spans="1:4" x14ac:dyDescent="0.25">
      <c r="A24" s="60">
        <v>2040</v>
      </c>
      <c r="B24" s="20">
        <v>10881555.699999999</v>
      </c>
      <c r="C24" s="20">
        <f>2292717.73+939311.6</f>
        <v>3232029.33</v>
      </c>
      <c r="D24" s="20">
        <f t="shared" si="0"/>
        <v>14113585.029999999</v>
      </c>
    </row>
    <row r="25" spans="1:4" x14ac:dyDescent="0.25">
      <c r="A25" s="60">
        <v>2041</v>
      </c>
      <c r="B25" s="20">
        <f>11624608.8+2</f>
        <v>11624610.800000001</v>
      </c>
      <c r="C25" s="20">
        <f>1794702.8+779392.85</f>
        <v>2574095.65</v>
      </c>
      <c r="D25" s="20">
        <f t="shared" si="0"/>
        <v>14198706.450000001</v>
      </c>
    </row>
    <row r="26" spans="1:4" x14ac:dyDescent="0.25">
      <c r="A26" s="60">
        <v>2042</v>
      </c>
      <c r="B26" s="20">
        <v>12600000</v>
      </c>
      <c r="C26" s="20">
        <f>779392.85+595048.43</f>
        <v>1374441.28</v>
      </c>
      <c r="D26" s="20">
        <f t="shared" si="0"/>
        <v>13974441.279999999</v>
      </c>
    </row>
    <row r="27" spans="1:4" x14ac:dyDescent="0.25">
      <c r="A27" s="60">
        <v>2043</v>
      </c>
      <c r="B27" s="20">
        <v>13095000</v>
      </c>
      <c r="C27" s="20">
        <f>595048.43+403407.45</f>
        <v>998455.88000000012</v>
      </c>
      <c r="D27" s="20">
        <f t="shared" si="0"/>
        <v>14093455.880000001</v>
      </c>
    </row>
    <row r="28" spans="1:4" x14ac:dyDescent="0.25">
      <c r="A28" s="60">
        <v>2044</v>
      </c>
      <c r="B28" s="20">
        <v>13490000</v>
      </c>
      <c r="C28" s="20">
        <f>403407.25+206440.4</f>
        <v>609847.65</v>
      </c>
      <c r="D28" s="20">
        <f t="shared" si="0"/>
        <v>14099847.65</v>
      </c>
    </row>
    <row r="29" spans="1:4" x14ac:dyDescent="0.25">
      <c r="A29" s="60">
        <v>2045</v>
      </c>
      <c r="B29" s="20">
        <v>13955000</v>
      </c>
      <c r="C29" s="20">
        <v>206440.4</v>
      </c>
      <c r="D29" s="20">
        <f t="shared" si="0"/>
        <v>14161440.4</v>
      </c>
    </row>
    <row r="30" spans="1:4" ht="15.75" thickBot="1" x14ac:dyDescent="0.3">
      <c r="A30" s="17" t="s">
        <v>47</v>
      </c>
      <c r="B30" s="22">
        <f>SUM(B6:B29)</f>
        <v>141130169.05000001</v>
      </c>
      <c r="C30" s="22">
        <f>SUM(C6:C29)</f>
        <v>147392065.70000005</v>
      </c>
      <c r="D30" s="22">
        <f>SUM(D6:D29)</f>
        <v>288522234.74999994</v>
      </c>
    </row>
    <row r="31" spans="1:4" ht="15.75" thickTop="1" x14ac:dyDescent="0.25">
      <c r="B31" s="20" t="s">
        <v>48</v>
      </c>
      <c r="D31" s="43" t="s">
        <v>48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6"/>
  <sheetViews>
    <sheetView workbookViewId="0">
      <selection activeCell="C6" sqref="C6"/>
    </sheetView>
  </sheetViews>
  <sheetFormatPr defaultRowHeight="15" x14ac:dyDescent="0.25"/>
  <cols>
    <col min="1" max="4" width="16.28515625" customWidth="1"/>
  </cols>
  <sheetData>
    <row r="1" spans="1:4" x14ac:dyDescent="0.25">
      <c r="A1" s="85" t="s">
        <v>0</v>
      </c>
      <c r="B1" s="85"/>
      <c r="C1" s="85"/>
      <c r="D1" s="85"/>
    </row>
    <row r="2" spans="1:4" x14ac:dyDescent="0.25">
      <c r="A2" s="86" t="s">
        <v>112</v>
      </c>
      <c r="B2" s="86"/>
      <c r="C2" s="86"/>
      <c r="D2" s="86"/>
    </row>
    <row r="3" spans="1:4" x14ac:dyDescent="0.25">
      <c r="A3" t="s">
        <v>48</v>
      </c>
    </row>
    <row r="4" spans="1:4" x14ac:dyDescent="0.25">
      <c r="A4" s="24" t="s">
        <v>43</v>
      </c>
      <c r="B4" s="24"/>
      <c r="C4" s="24"/>
      <c r="D4" s="24"/>
    </row>
    <row r="5" spans="1:4" x14ac:dyDescent="0.25">
      <c r="A5" s="19" t="s">
        <v>44</v>
      </c>
      <c r="B5" s="19" t="s">
        <v>45</v>
      </c>
      <c r="C5" s="19" t="s">
        <v>46</v>
      </c>
      <c r="D5" s="19" t="s">
        <v>47</v>
      </c>
    </row>
    <row r="6" spans="1:4" x14ac:dyDescent="0.25">
      <c r="A6" s="61">
        <v>2023</v>
      </c>
      <c r="B6" s="20">
        <v>550000</v>
      </c>
      <c r="C6" s="20">
        <v>71847.75</v>
      </c>
      <c r="D6" s="20">
        <f t="shared" ref="D6:D11" si="0">B6+C6</f>
        <v>621847.75</v>
      </c>
    </row>
    <row r="7" spans="1:4" x14ac:dyDescent="0.25">
      <c r="A7" s="61">
        <v>2024</v>
      </c>
      <c r="B7" s="20">
        <v>565000</v>
      </c>
      <c r="C7" s="20">
        <v>58509.5</v>
      </c>
      <c r="D7" s="20">
        <f t="shared" si="0"/>
        <v>623509.5</v>
      </c>
    </row>
    <row r="8" spans="1:4" x14ac:dyDescent="0.25">
      <c r="A8" s="61">
        <v>2025</v>
      </c>
      <c r="B8" s="20">
        <v>560000</v>
      </c>
      <c r="C8" s="20">
        <v>44931.5</v>
      </c>
      <c r="D8" s="20">
        <f t="shared" si="0"/>
        <v>604931.5</v>
      </c>
    </row>
    <row r="9" spans="1:4" x14ac:dyDescent="0.25">
      <c r="A9" s="61">
        <v>2026</v>
      </c>
      <c r="B9" s="20">
        <v>575000</v>
      </c>
      <c r="C9" s="20">
        <v>31351.75</v>
      </c>
      <c r="D9" s="20">
        <f t="shared" si="0"/>
        <v>606351.75</v>
      </c>
    </row>
    <row r="10" spans="1:4" x14ac:dyDescent="0.25">
      <c r="A10" s="61">
        <v>2027</v>
      </c>
      <c r="B10" s="20">
        <v>430000</v>
      </c>
      <c r="C10" s="20">
        <v>19462</v>
      </c>
      <c r="D10" s="20">
        <f t="shared" si="0"/>
        <v>449462</v>
      </c>
    </row>
    <row r="11" spans="1:4" x14ac:dyDescent="0.25">
      <c r="A11" s="61">
        <v>2028</v>
      </c>
      <c r="B11" s="20">
        <v>435000</v>
      </c>
      <c r="C11" s="20">
        <v>9264</v>
      </c>
      <c r="D11" s="20">
        <f t="shared" si="0"/>
        <v>444264</v>
      </c>
    </row>
    <row r="12" spans="1:4" ht="15.75" thickBot="1" x14ac:dyDescent="0.3">
      <c r="A12" s="23" t="s">
        <v>47</v>
      </c>
      <c r="B12" s="22">
        <f>SUM(B6:B11)</f>
        <v>3115000</v>
      </c>
      <c r="C12" s="22">
        <f>SUM(C6:C11)</f>
        <v>235366.5</v>
      </c>
      <c r="D12" s="22">
        <f>SUM(D6:D11)</f>
        <v>3350366.5</v>
      </c>
    </row>
    <row r="13" spans="1:4" ht="15.75" thickTop="1" x14ac:dyDescent="0.25">
      <c r="D13" s="21" t="s">
        <v>48</v>
      </c>
    </row>
    <row r="14" spans="1:4" x14ac:dyDescent="0.25">
      <c r="A14" s="3" t="s">
        <v>48</v>
      </c>
    </row>
    <row r="16" spans="1:4" x14ac:dyDescent="0.25">
      <c r="D16" s="21" t="s">
        <v>48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15"/>
  <sheetViews>
    <sheetView workbookViewId="0">
      <selection activeCell="A3" sqref="A3"/>
    </sheetView>
  </sheetViews>
  <sheetFormatPr defaultRowHeight="15" x14ac:dyDescent="0.25"/>
  <cols>
    <col min="1" max="4" width="16.28515625" customWidth="1"/>
  </cols>
  <sheetData>
    <row r="1" spans="1:4" x14ac:dyDescent="0.25">
      <c r="A1" s="85" t="s">
        <v>0</v>
      </c>
      <c r="B1" s="85"/>
      <c r="C1" s="85"/>
      <c r="D1" s="85"/>
    </row>
    <row r="2" spans="1:4" x14ac:dyDescent="0.25">
      <c r="A2" s="86" t="s">
        <v>113</v>
      </c>
      <c r="B2" s="86"/>
      <c r="C2" s="86"/>
      <c r="D2" s="86"/>
    </row>
    <row r="3" spans="1:4" x14ac:dyDescent="0.25">
      <c r="A3" t="s">
        <v>48</v>
      </c>
    </row>
    <row r="4" spans="1:4" x14ac:dyDescent="0.25">
      <c r="A4" s="45" t="s">
        <v>43</v>
      </c>
      <c r="B4" s="45"/>
      <c r="C4" s="45"/>
      <c r="D4" s="45"/>
    </row>
    <row r="5" spans="1:4" x14ac:dyDescent="0.25">
      <c r="A5" s="19" t="s">
        <v>44</v>
      </c>
      <c r="B5" s="19" t="s">
        <v>45</v>
      </c>
      <c r="C5" s="19" t="s">
        <v>46</v>
      </c>
      <c r="D5" s="19" t="s">
        <v>47</v>
      </c>
    </row>
    <row r="6" spans="1:4" x14ac:dyDescent="0.25">
      <c r="A6" s="61">
        <v>2023</v>
      </c>
      <c r="B6" s="20">
        <v>105627</v>
      </c>
      <c r="C6" s="20">
        <f>6649.19+5381.68</f>
        <v>12030.869999999999</v>
      </c>
      <c r="D6" s="20">
        <f t="shared" ref="D6:D10" si="0">SUM(B6:C6)</f>
        <v>117657.87</v>
      </c>
    </row>
    <row r="7" spans="1:4" x14ac:dyDescent="0.25">
      <c r="A7" s="61">
        <v>2024</v>
      </c>
      <c r="B7" s="20">
        <v>108162</v>
      </c>
      <c r="C7" s="20">
        <f>5381.68+4083.74</f>
        <v>9465.42</v>
      </c>
      <c r="D7" s="20">
        <f t="shared" si="0"/>
        <v>117627.42</v>
      </c>
    </row>
    <row r="8" spans="1:4" x14ac:dyDescent="0.25">
      <c r="A8" s="61">
        <v>2025</v>
      </c>
      <c r="B8" s="20">
        <v>110757</v>
      </c>
      <c r="C8" s="20">
        <f>4083.74+2754.65</f>
        <v>6838.3899999999994</v>
      </c>
      <c r="D8" s="20">
        <f t="shared" si="0"/>
        <v>117595.39</v>
      </c>
    </row>
    <row r="9" spans="1:4" x14ac:dyDescent="0.25">
      <c r="A9" s="61">
        <v>2026</v>
      </c>
      <c r="B9" s="20">
        <v>113416</v>
      </c>
      <c r="C9" s="20">
        <f>2754.65+1393.66</f>
        <v>4148.3100000000004</v>
      </c>
      <c r="D9" s="20">
        <f t="shared" si="0"/>
        <v>117564.31</v>
      </c>
    </row>
    <row r="10" spans="1:4" x14ac:dyDescent="0.25">
      <c r="A10" s="61">
        <v>2027</v>
      </c>
      <c r="B10" s="20">
        <v>116138</v>
      </c>
      <c r="C10" s="20">
        <v>1393.66</v>
      </c>
      <c r="D10" s="20">
        <f t="shared" si="0"/>
        <v>117531.66</v>
      </c>
    </row>
    <row r="11" spans="1:4" ht="15.75" thickBot="1" x14ac:dyDescent="0.3">
      <c r="A11" s="44" t="s">
        <v>47</v>
      </c>
      <c r="B11" s="22">
        <f>SUM(B6:B10)</f>
        <v>554100</v>
      </c>
      <c r="C11" s="22">
        <f>SUM(C6:C10)</f>
        <v>33876.65</v>
      </c>
      <c r="D11" s="22">
        <f>SUM(D6:D10)</f>
        <v>587976.65</v>
      </c>
    </row>
    <row r="12" spans="1:4" ht="15.75" thickTop="1" x14ac:dyDescent="0.25">
      <c r="D12" s="21" t="s">
        <v>48</v>
      </c>
    </row>
    <row r="13" spans="1:4" x14ac:dyDescent="0.25">
      <c r="A13" s="3" t="s">
        <v>48</v>
      </c>
    </row>
    <row r="15" spans="1:4" x14ac:dyDescent="0.25">
      <c r="D15" s="21" t="s">
        <v>48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r:id="rId1"/>
  <ignoredErrors>
    <ignoredError sqref="D6:D10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3" ma:contentTypeDescription="Create a new document." ma:contentTypeScope="" ma:versionID="46b592398f8927dfaa80ab669e6a9a16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a156a7370d89e1f219e703afcf2e894f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BC256-C49C-45A9-9F64-DD9A8E047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D5B433-3140-4C5B-8B02-349497135E83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aea6dde8-b92e-45bd-bbc7-1369b6f59449"/>
    <ds:schemaRef ds:uri="http://schemas.microsoft.com/office/2006/metadata/properties"/>
    <ds:schemaRef ds:uri="http://schemas.microsoft.com/office/infopath/2007/PartnerControls"/>
    <ds:schemaRef ds:uri="a9a22b25-a74b-4699-99df-4f8b8fa0ca59"/>
  </ds:schemaRefs>
</ds:datastoreItem>
</file>

<file path=customXml/itemProps3.xml><?xml version="1.0" encoding="utf-8"?>
<ds:datastoreItem xmlns:ds="http://schemas.openxmlformats.org/officeDocument/2006/customXml" ds:itemID="{F7EA28B6-F7C4-4692-94EE-9E6E732309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Title Page</vt:lpstr>
      <vt:lpstr>Fund FS</vt:lpstr>
      <vt:lpstr>List of Bond Issues</vt:lpstr>
      <vt:lpstr>General Obligation Bonds wP&amp;I</vt:lpstr>
      <vt:lpstr>General Obligation wper capita</vt:lpstr>
      <vt:lpstr>General Obligation per Student</vt:lpstr>
      <vt:lpstr>Total Bonded Debt OS</vt:lpstr>
      <vt:lpstr>Maint Tax Note</vt:lpstr>
      <vt:lpstr>Notes Payable</vt:lpstr>
      <vt:lpstr>'General Obligation Bonds wP&amp;I'!Print_Area</vt:lpstr>
      <vt:lpstr>'General Obligation per Student'!Print_Area</vt:lpstr>
      <vt:lpstr>'General Obligation wper capita'!Print_Area</vt:lpstr>
      <vt:lpstr>'List of Bond Issues'!Print_Area</vt:lpstr>
      <vt:lpstr>'Maint Tax Note'!Print_Area</vt:lpstr>
      <vt:lpstr>'Notes Payable'!Print_Area</vt:lpstr>
      <vt:lpstr>'Total Bonded Debt OS'!Print_Area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2022-11-17T16:43:02Z</cp:lastPrinted>
  <dcterms:created xsi:type="dcterms:W3CDTF">2016-11-07T18:29:07Z</dcterms:created>
  <dcterms:modified xsi:type="dcterms:W3CDTF">2022-11-17T19:29:38Z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