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https://fayettekyschools-my.sharepoint.com/personal/tresine_logsdon_fayette_kyschools_us/Documents/This Is It/School Teams/"/>
    </mc:Choice>
  </mc:AlternateContent>
  <workbookProtection workbookAlgorithmName="SHA-512" workbookHashValue="yc1Q2CfkItvU4njIwnJPWJtzRy9xJQxDIqcm3zV6NF2a53ZIqwoQGjhJHDtLC2CwvInWWk+ZSFx4ZXrTKpnegA==" workbookSaltValue="Drx95jnziqRbOPf0m/2NyA==" workbookSpinCount="100000" lockStructure="1"/>
  <bookViews>
    <workbookView xWindow="0" yWindow="0" windowWidth="20490" windowHeight="8310" tabRatio="739" firstSheet="1" activeTab="6"/>
  </bookViews>
  <sheets>
    <sheet name="Introduction" sheetId="5" r:id="rId1"/>
    <sheet name="Energy" sheetId="1" r:id="rId2"/>
    <sheet name="Water" sheetId="11" r:id="rId3"/>
    <sheet name="Healthy School Buildings" sheetId="12" r:id="rId4"/>
    <sheet name="Waste and Recycling" sheetId="6" r:id="rId5"/>
    <sheet name="Transportation" sheetId="10" r:id="rId6"/>
    <sheet name="School Grounds &amp; Gardens" sheetId="8" r:id="rId7"/>
    <sheet name="Results Summary" sheetId="14" r:id="rId8"/>
    <sheet name="Conversion factors" sheetId="2" r:id="rId9"/>
    <sheet name="Glossary" sheetId="4" r:id="rId10"/>
  </sheets>
  <definedNames>
    <definedName name="_edn2" localSheetId="4">'Waste and Recycling'!#REF!</definedName>
    <definedName name="_edn3" localSheetId="4">'Waste and Recycling'!$N$41</definedName>
    <definedName name="_edn4" localSheetId="4">'Waste and Recycling'!$N$42</definedName>
    <definedName name="_edn5" localSheetId="4">'Waste and Recycling'!$N$43</definedName>
    <definedName name="_edn6" localSheetId="4">'Waste and Recycling'!$N$44</definedName>
    <definedName name="_edn7" localSheetId="4">'Waste and Recycling'!$N$45</definedName>
    <definedName name="_ednref1" localSheetId="6">'School Grounds &amp; Gardens'!$O$44</definedName>
    <definedName name="_ednref10" localSheetId="6">'School Grounds &amp; Gardens'!$O$69</definedName>
    <definedName name="_ednref11" localSheetId="6">'School Grounds &amp; Gardens'!$O$70</definedName>
    <definedName name="_ednref12" localSheetId="6">'School Grounds &amp; Gardens'!$G$146</definedName>
    <definedName name="_ednref13" localSheetId="6">'School Grounds &amp; Gardens'!$G$147</definedName>
    <definedName name="_ednref14" localSheetId="6">'School Grounds &amp; Gardens'!#REF!</definedName>
    <definedName name="_ednref17" localSheetId="6">'School Grounds &amp; Gardens'!#REF!</definedName>
    <definedName name="_ednref2" localSheetId="4">'Waste and Recycling'!$N$13</definedName>
    <definedName name="_ednref3" localSheetId="4">'Waste and Recycling'!$N$19</definedName>
    <definedName name="_ednref4" localSheetId="4">'Waste and Recycling'!$N$20</definedName>
    <definedName name="_ednref5" localSheetId="4">'Waste and Recycling'!#REF!</definedName>
    <definedName name="_ednref6" localSheetId="4">'Waste and Recycling'!$N$27</definedName>
    <definedName name="_ednref7" localSheetId="4">'Waste and Recycling'!$N$29</definedName>
    <definedName name="_ednref8" localSheetId="6">'School Grounds &amp; Gardens'!$O$67</definedName>
    <definedName name="_ednref9" localSheetId="6">'School Grounds &amp; Gardens'!$O$68</definedName>
    <definedName name="_Hlk13060454" localSheetId="3">'Healthy School Buildings'!$I$3</definedName>
    <definedName name="_Hlk13060473" localSheetId="2">Water!$I$15</definedName>
    <definedName name="_Hlk13669401" localSheetId="4">'Waste and Recycling'!$N$9</definedName>
    <definedName name="_Hlk13669419" localSheetId="4">'Waste and Recycling'!$N$13</definedName>
    <definedName name="_Hlk13669427" localSheetId="4">'Waste and Recycling'!$N$12</definedName>
    <definedName name="_Hlk13669450" localSheetId="4">'Waste and Recycling'!$N$21</definedName>
    <definedName name="CFL_Lighting">'Conversion factors'!$D$108:$D$111</definedName>
    <definedName name="Halogen_Lighting">'Conversion factors'!$C$108:$C$111</definedName>
    <definedName name="Incandescent_Lighting">'Conversion factors'!$B$108:$B$111</definedName>
    <definedName name="Not_sure">'Conversion factors'!$E$108:$E$111</definedName>
    <definedName name="_xlnm.Print_Area" localSheetId="7">'Results Summary'!$B$2:$D$55</definedName>
    <definedName name="ProOne" localSheetId="5">Transportation!$D$19:$D$20</definedName>
    <definedName name="Select_from_the_list">'Conversion factors'!$A$108:$A$111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2" i="8" l="1"/>
  <c r="B249" i="2" l="1"/>
  <c r="B250" i="2" s="1"/>
  <c r="G58" i="8" s="1"/>
  <c r="G46" i="8"/>
  <c r="G62" i="8" l="1"/>
  <c r="D133" i="6"/>
  <c r="G78" i="6"/>
  <c r="C99" i="2" l="1"/>
  <c r="C170" i="6"/>
  <c r="B165" i="2"/>
  <c r="C127" i="8" l="1"/>
  <c r="C114" i="10"/>
  <c r="C193" i="6"/>
  <c r="C112" i="12"/>
  <c r="C147" i="11"/>
  <c r="C163" i="1"/>
  <c r="D24" i="1" l="1"/>
  <c r="G18" i="1" s="1"/>
  <c r="G76" i="6" l="1"/>
  <c r="G60" i="6"/>
  <c r="G16" i="6" l="1"/>
  <c r="G14" i="6"/>
  <c r="G58" i="11"/>
  <c r="G59" i="11" s="1"/>
  <c r="G130" i="1"/>
  <c r="D98" i="1"/>
  <c r="D99" i="1" s="1"/>
  <c r="G96" i="1" l="1"/>
  <c r="I104" i="8"/>
  <c r="I170" i="6"/>
  <c r="I89" i="12"/>
  <c r="I140" i="1"/>
  <c r="B333" i="2" l="1"/>
  <c r="G31" i="11" s="1"/>
  <c r="B264" i="2" l="1"/>
  <c r="B261" i="2"/>
  <c r="F210" i="2"/>
  <c r="B265" i="2" l="1"/>
  <c r="I113" i="11"/>
  <c r="C104" i="8"/>
  <c r="C140" i="1"/>
  <c r="B454" i="2"/>
  <c r="C91" i="10" l="1"/>
  <c r="I91" i="10"/>
  <c r="C48" i="14" s="1"/>
  <c r="C113" i="11"/>
  <c r="B432" i="2"/>
  <c r="B433" i="2" s="1"/>
  <c r="B427" i="2"/>
  <c r="C441" i="2"/>
  <c r="D441" i="2"/>
  <c r="B412" i="2"/>
  <c r="B416" i="2"/>
  <c r="D422" i="2"/>
  <c r="C422" i="2"/>
  <c r="B2" i="14" l="1"/>
  <c r="B434" i="2"/>
  <c r="G58" i="10"/>
  <c r="B458" i="2"/>
  <c r="B455" i="2"/>
  <c r="G29" i="10"/>
  <c r="G30" i="10" s="1"/>
  <c r="B447" i="2"/>
  <c r="B436" i="2"/>
  <c r="B417" i="2"/>
  <c r="G40" i="10" s="1"/>
  <c r="B428" i="2"/>
  <c r="G42" i="10"/>
  <c r="G18" i="10"/>
  <c r="G19" i="10" s="1"/>
  <c r="G55" i="10" l="1"/>
  <c r="G16" i="10"/>
  <c r="G17" i="10" s="1"/>
  <c r="G20" i="10" s="1"/>
  <c r="G27" i="10"/>
  <c r="G28" i="10" s="1"/>
  <c r="G31" i="10" s="1"/>
  <c r="G80" i="10"/>
  <c r="G81" i="10" s="1"/>
  <c r="G84" i="10" s="1"/>
  <c r="G82" i="10"/>
  <c r="G83" i="10" s="1"/>
  <c r="B449" i="2"/>
  <c r="B448" i="2"/>
  <c r="B288" i="2"/>
  <c r="G59" i="10" l="1"/>
  <c r="G60" i="10" s="1"/>
  <c r="G105" i="10" s="1"/>
  <c r="G56" i="10"/>
  <c r="B299" i="2"/>
  <c r="B300" i="2" s="1"/>
  <c r="G33" i="12"/>
  <c r="G34" i="12" s="1"/>
  <c r="G15" i="12"/>
  <c r="D358" i="2"/>
  <c r="B377" i="2"/>
  <c r="B346" i="2"/>
  <c r="B345" i="2"/>
  <c r="B344" i="2"/>
  <c r="B343" i="2"/>
  <c r="B318" i="2"/>
  <c r="G57" i="10" l="1"/>
  <c r="G45" i="11"/>
  <c r="G46" i="11" s="1"/>
  <c r="G56" i="12"/>
  <c r="G32" i="11"/>
  <c r="G101" i="11"/>
  <c r="G102" i="11" s="1"/>
  <c r="B399" i="2"/>
  <c r="B371" i="2"/>
  <c r="B368" i="2"/>
  <c r="D377" i="2"/>
  <c r="D365" i="2"/>
  <c r="D367" i="2"/>
  <c r="D373" i="2"/>
  <c r="D374" i="2"/>
  <c r="D384" i="2"/>
  <c r="D387" i="2"/>
  <c r="D391" i="2"/>
  <c r="D392" i="2"/>
  <c r="D393" i="2"/>
  <c r="D394" i="2"/>
  <c r="D360" i="2"/>
  <c r="D361" i="2"/>
  <c r="D378" i="2"/>
  <c r="D379" i="2"/>
  <c r="D385" i="2"/>
  <c r="D388" i="2"/>
  <c r="D359" i="2"/>
  <c r="D362" i="2"/>
  <c r="D364" i="2"/>
  <c r="D369" i="2"/>
  <c r="D376" i="2"/>
  <c r="D380" i="2"/>
  <c r="D381" i="2"/>
  <c r="D383" i="2"/>
  <c r="D386" i="2"/>
  <c r="D389" i="2"/>
  <c r="D390" i="2"/>
  <c r="D366" i="2"/>
  <c r="D370" i="2"/>
  <c r="D372" i="2"/>
  <c r="D375" i="2"/>
  <c r="D382" i="2"/>
  <c r="D363" i="2"/>
  <c r="B320" i="2"/>
  <c r="G13" i="11" s="1"/>
  <c r="D137" i="11" s="1"/>
  <c r="D76" i="11" l="1"/>
  <c r="G72" i="11" s="1"/>
  <c r="G61" i="10"/>
  <c r="G104" i="10"/>
  <c r="C53" i="14"/>
  <c r="D19" i="14" s="1"/>
  <c r="C127" i="11"/>
  <c r="G18" i="11"/>
  <c r="G15" i="11"/>
  <c r="D138" i="11"/>
  <c r="G17" i="11"/>
  <c r="C89" i="12"/>
  <c r="B294" i="2"/>
  <c r="G54" i="12" s="1"/>
  <c r="B284" i="2"/>
  <c r="B286" i="2" s="1"/>
  <c r="B241" i="2"/>
  <c r="G42" i="12" l="1"/>
  <c r="G43" i="12"/>
  <c r="G73" i="11"/>
  <c r="G19" i="11"/>
  <c r="G16" i="11"/>
  <c r="G137" i="11" l="1"/>
  <c r="D161" i="11" s="1"/>
  <c r="G139" i="11" l="1"/>
  <c r="G14" i="8"/>
  <c r="B274" i="2"/>
  <c r="F117" i="11" l="1"/>
  <c r="D163" i="11"/>
  <c r="F152" i="11" s="1"/>
  <c r="G19" i="12"/>
  <c r="G102" i="12" s="1"/>
  <c r="D126" i="12" s="1"/>
  <c r="B255" i="2"/>
  <c r="B257" i="2"/>
  <c r="D102" i="12"/>
  <c r="C54" i="14" l="1"/>
  <c r="D6" i="14" s="1"/>
  <c r="G16" i="12"/>
  <c r="D103" i="12" s="1"/>
  <c r="G20" i="12"/>
  <c r="C274" i="2"/>
  <c r="B269" i="2" l="1"/>
  <c r="B277" i="2" s="1"/>
  <c r="G31" i="12" s="1"/>
  <c r="G32" i="12" s="1"/>
  <c r="G72" i="8"/>
  <c r="D36" i="8"/>
  <c r="B228" i="2"/>
  <c r="G19" i="8"/>
  <c r="G13" i="8"/>
  <c r="D117" i="8" s="1"/>
  <c r="G60" i="11" l="1"/>
  <c r="G47" i="8"/>
  <c r="G59" i="8"/>
  <c r="G32" i="8"/>
  <c r="G33" i="8" s="1"/>
  <c r="G117" i="8" s="1"/>
  <c r="G119" i="8" s="1"/>
  <c r="G61" i="11"/>
  <c r="D119" i="8"/>
  <c r="G33" i="11"/>
  <c r="G48" i="11"/>
  <c r="G47" i="11"/>
  <c r="G103" i="11"/>
  <c r="G104" i="11" s="1"/>
  <c r="G74" i="11"/>
  <c r="G34" i="11"/>
  <c r="G75" i="11"/>
  <c r="G15" i="8"/>
  <c r="G18" i="8"/>
  <c r="C51" i="14" l="1"/>
  <c r="B19" i="14" s="1"/>
  <c r="D141" i="8"/>
  <c r="G20" i="8"/>
  <c r="D118" i="8"/>
  <c r="G121" i="8"/>
  <c r="D143" i="8" s="1"/>
  <c r="G138" i="11"/>
  <c r="C52" i="14" l="1"/>
  <c r="C19" i="14" s="1"/>
  <c r="F132" i="8"/>
  <c r="C117" i="11"/>
  <c r="D162" i="11"/>
  <c r="C152" i="11" s="1"/>
  <c r="F108" i="8"/>
  <c r="G79" i="6"/>
  <c r="G77" i="6"/>
  <c r="G80" i="6" l="1"/>
  <c r="G48" i="8"/>
  <c r="B36" i="2"/>
  <c r="B133" i="2"/>
  <c r="D35" i="8" l="1"/>
  <c r="D52" i="6"/>
  <c r="B64" i="2"/>
  <c r="B39" i="2"/>
  <c r="G34" i="8" l="1"/>
  <c r="G35" i="8"/>
  <c r="D201" i="2"/>
  <c r="G61" i="6"/>
  <c r="G66" i="6" s="1"/>
  <c r="B195" i="2"/>
  <c r="G31" i="6"/>
  <c r="D53" i="6"/>
  <c r="F26" i="2"/>
  <c r="G26" i="2"/>
  <c r="G118" i="8" l="1"/>
  <c r="G120" i="8" s="1"/>
  <c r="B196" i="2"/>
  <c r="B169" i="2"/>
  <c r="D142" i="8" l="1"/>
  <c r="C132" i="8" s="1"/>
  <c r="C108" i="8"/>
  <c r="G58" i="6"/>
  <c r="G59" i="6" s="1"/>
  <c r="B175" i="2"/>
  <c r="B176" i="2" s="1"/>
  <c r="G46" i="12"/>
  <c r="B147" i="2"/>
  <c r="B148" i="2"/>
  <c r="B145" i="2"/>
  <c r="B139" i="2"/>
  <c r="D36" i="6" s="1"/>
  <c r="B120" i="2"/>
  <c r="B125" i="2" s="1"/>
  <c r="D23" i="6" s="1"/>
  <c r="B44" i="2"/>
  <c r="B42" i="2"/>
  <c r="B150" i="2"/>
  <c r="G90" i="6" l="1"/>
  <c r="G91" i="6" s="1"/>
  <c r="G102" i="6"/>
  <c r="G103" i="6" s="1"/>
  <c r="G114" i="6"/>
  <c r="G115" i="6" s="1"/>
  <c r="G126" i="6"/>
  <c r="G127" i="6" s="1"/>
  <c r="G45" i="6"/>
  <c r="G46" i="6"/>
  <c r="G51" i="6" s="1"/>
  <c r="G65" i="6"/>
  <c r="G67" i="6" s="1"/>
  <c r="G62" i="6"/>
  <c r="G41" i="10"/>
  <c r="D104" i="10" s="1"/>
  <c r="G156" i="6"/>
  <c r="G157" i="6" s="1"/>
  <c r="G43" i="10"/>
  <c r="D105" i="10" s="1"/>
  <c r="G107" i="10" s="1"/>
  <c r="D129" i="10" s="1"/>
  <c r="G17" i="6"/>
  <c r="G57" i="12"/>
  <c r="G104" i="12" s="1"/>
  <c r="D128" i="12" s="1"/>
  <c r="G55" i="12"/>
  <c r="G58" i="12" s="1"/>
  <c r="D37" i="6"/>
  <c r="D38" i="6"/>
  <c r="G32" i="6"/>
  <c r="G37" i="6" s="1"/>
  <c r="D204" i="2"/>
  <c r="G184" i="6" l="1"/>
  <c r="G22" i="6"/>
  <c r="D184" i="6"/>
  <c r="G44" i="10"/>
  <c r="D106" i="10" s="1"/>
  <c r="G106" i="10"/>
  <c r="D128" i="10" s="1"/>
  <c r="G29" i="6"/>
  <c r="G186" i="6" l="1"/>
  <c r="D208" i="6" s="1"/>
  <c r="G30" i="6"/>
  <c r="G36" i="6" s="1"/>
  <c r="G38" i="6" s="1"/>
  <c r="C119" i="10"/>
  <c r="G108" i="10"/>
  <c r="D130" i="10" s="1"/>
  <c r="C95" i="10"/>
  <c r="B164" i="2"/>
  <c r="B158" i="2"/>
  <c r="F119" i="10" l="1"/>
  <c r="F95" i="10"/>
  <c r="B163" i="2"/>
  <c r="B149" i="2"/>
  <c r="B151" i="2"/>
  <c r="G124" i="6" l="1"/>
  <c r="G125" i="6" s="1"/>
  <c r="G128" i="6" s="1"/>
  <c r="G88" i="6"/>
  <c r="G112" i="6"/>
  <c r="G113" i="6" s="1"/>
  <c r="G116" i="6" s="1"/>
  <c r="G100" i="6"/>
  <c r="G101" i="6" s="1"/>
  <c r="G104" i="6" s="1"/>
  <c r="G89" i="6"/>
  <c r="G43" i="6"/>
  <c r="G44" i="6"/>
  <c r="G45" i="12"/>
  <c r="G44" i="12"/>
  <c r="G154" i="6"/>
  <c r="G155" i="6" s="1"/>
  <c r="G33" i="6"/>
  <c r="G15" i="6"/>
  <c r="D183" i="6" l="1"/>
  <c r="G92" i="6"/>
  <c r="G183" i="6"/>
  <c r="G158" i="6"/>
  <c r="G50" i="6"/>
  <c r="G52" i="6" s="1"/>
  <c r="G21" i="6"/>
  <c r="G23" i="6" s="1"/>
  <c r="G47" i="12"/>
  <c r="G103" i="12"/>
  <c r="G18" i="6"/>
  <c r="G47" i="6"/>
  <c r="G19" i="1"/>
  <c r="G24" i="1" s="1"/>
  <c r="G133" i="1"/>
  <c r="G134" i="1" s="1"/>
  <c r="G98" i="1"/>
  <c r="G185" i="6" l="1"/>
  <c r="C93" i="12"/>
  <c r="D127" i="12"/>
  <c r="C117" i="12" s="1"/>
  <c r="G105" i="12"/>
  <c r="D129" i="12" s="1"/>
  <c r="D185" i="6"/>
  <c r="G187" i="6" l="1"/>
  <c r="D209" i="6" s="1"/>
  <c r="F198" i="6" s="1"/>
  <c r="D207" i="6"/>
  <c r="F117" i="12"/>
  <c r="F93" i="12"/>
  <c r="C100" i="2"/>
  <c r="C101" i="2"/>
  <c r="C102" i="2"/>
  <c r="C103" i="2"/>
  <c r="C198" i="6" l="1"/>
  <c r="C174" i="6"/>
  <c r="D112" i="1"/>
  <c r="G107" i="1" l="1"/>
  <c r="G110" i="1" s="1"/>
  <c r="G111" i="1" s="1"/>
  <c r="G154" i="1" s="1"/>
  <c r="F174" i="6"/>
  <c r="D59" i="1"/>
  <c r="D58" i="1" l="1"/>
  <c r="G49" i="1" s="1"/>
  <c r="E26" i="2"/>
  <c r="H26" i="2" s="1"/>
  <c r="G52" i="1" l="1"/>
  <c r="G53" i="1" s="1"/>
  <c r="G74" i="1" s="1"/>
  <c r="G56" i="1"/>
  <c r="G97" i="1"/>
  <c r="G99" i="1" s="1"/>
  <c r="G59" i="1" l="1"/>
  <c r="G60" i="1" s="1"/>
  <c r="G78" i="1" s="1"/>
  <c r="G82" i="1" s="1"/>
  <c r="G65" i="1" l="1"/>
  <c r="G66" i="1"/>
  <c r="C90" i="2"/>
  <c r="C91" i="2"/>
  <c r="C92" i="2"/>
  <c r="C93" i="2"/>
  <c r="C94" i="2"/>
  <c r="C95" i="2"/>
  <c r="C96" i="2"/>
  <c r="C97" i="2"/>
  <c r="C98" i="2"/>
  <c r="C89" i="2"/>
  <c r="D41" i="1" l="1"/>
  <c r="G30" i="1" s="1"/>
  <c r="G33" i="1" s="1"/>
  <c r="G34" i="1" s="1"/>
  <c r="G40" i="1" s="1"/>
  <c r="G55" i="2"/>
  <c r="F56" i="2" l="1"/>
  <c r="B53" i="2"/>
  <c r="D154" i="1"/>
  <c r="G156" i="1" s="1"/>
  <c r="H30" i="2"/>
  <c r="I30" i="2"/>
  <c r="G30" i="2"/>
  <c r="B54" i="2" l="1"/>
  <c r="C55" i="14"/>
  <c r="C32" i="14" s="1"/>
  <c r="D178" i="1"/>
  <c r="J30" i="2"/>
  <c r="D25" i="1" l="1"/>
  <c r="D42" i="1"/>
  <c r="G131" i="1"/>
  <c r="G132" i="1" s="1"/>
  <c r="G135" i="1" s="1"/>
  <c r="G108" i="1"/>
  <c r="G109" i="1" s="1"/>
  <c r="G57" i="1"/>
  <c r="G50" i="1"/>
  <c r="G16" i="1" l="1"/>
  <c r="G17" i="1" s="1"/>
  <c r="G153" i="1"/>
  <c r="G112" i="1"/>
  <c r="G51" i="1"/>
  <c r="G73" i="1" s="1"/>
  <c r="G75" i="1" s="1"/>
  <c r="G63" i="1"/>
  <c r="G31" i="1"/>
  <c r="G32" i="1" s="1"/>
  <c r="G58" i="1"/>
  <c r="G77" i="1" s="1"/>
  <c r="G81" i="1" l="1"/>
  <c r="G79" i="1"/>
  <c r="G83" i="1" s="1"/>
  <c r="G23" i="1"/>
  <c r="G25" i="1" s="1"/>
  <c r="G20" i="1"/>
  <c r="G61" i="1"/>
  <c r="G35" i="1"/>
  <c r="G54" i="1"/>
  <c r="G38" i="1"/>
  <c r="G64" i="1"/>
  <c r="D153" i="1" s="1"/>
  <c r="G155" i="1" s="1"/>
  <c r="D177" i="1" s="1"/>
  <c r="C49" i="14" l="1"/>
  <c r="B6" i="14" s="1"/>
  <c r="G67" i="1"/>
  <c r="D155" i="1" s="1"/>
  <c r="G41" i="1"/>
  <c r="G157" i="1" s="1"/>
  <c r="C50" i="14" l="1"/>
  <c r="C6" i="14" s="1"/>
  <c r="D179" i="1"/>
  <c r="F168" i="1" s="1"/>
  <c r="C168" i="1"/>
  <c r="C144" i="1"/>
  <c r="F144" i="1"/>
  <c r="D368" i="2" l="1"/>
  <c r="D371" i="2"/>
</calcChain>
</file>

<file path=xl/comments1.xml><?xml version="1.0" encoding="utf-8"?>
<comments xmlns="http://schemas.openxmlformats.org/spreadsheetml/2006/main">
  <authors>
    <author>Ruth</author>
  </authors>
  <commentList>
    <comment ref="C24" authorId="0" shapeId="0">
      <text>
        <r>
          <rPr>
            <b/>
            <sz val="9"/>
            <color indexed="81"/>
            <rFont val="Tahoma"/>
            <family val="2"/>
          </rPr>
          <t>Ruth:</t>
        </r>
        <r>
          <rPr>
            <sz val="9"/>
            <color indexed="81"/>
            <rFont val="Tahoma"/>
            <family val="2"/>
          </rPr>
          <t xml:space="preserve">
Converted from grams to kilograms
</t>
        </r>
      </text>
    </comment>
    <comment ref="D24" authorId="0" shapeId="0">
      <text>
        <r>
          <rPr>
            <b/>
            <sz val="9"/>
            <color indexed="81"/>
            <rFont val="Tahoma"/>
            <family val="2"/>
          </rPr>
          <t>Ruth:</t>
        </r>
        <r>
          <rPr>
            <sz val="9"/>
            <color indexed="81"/>
            <rFont val="Tahoma"/>
            <family val="2"/>
          </rPr>
          <t xml:space="preserve">
Converted from grams to kilograms
</t>
        </r>
      </text>
    </comment>
    <comment ref="F24" authorId="0" shapeId="0">
      <text>
        <r>
          <rPr>
            <b/>
            <sz val="9"/>
            <color indexed="81"/>
            <rFont val="Tahoma"/>
            <family val="2"/>
          </rPr>
          <t>Ruth:</t>
        </r>
        <r>
          <rPr>
            <sz val="9"/>
            <color indexed="81"/>
            <rFont val="Tahoma"/>
            <family val="2"/>
          </rPr>
          <t xml:space="preserve">
Converted from grams to kilograms
</t>
        </r>
      </text>
    </comment>
    <comment ref="G24" authorId="0" shapeId="0">
      <text>
        <r>
          <rPr>
            <b/>
            <sz val="9"/>
            <color rgb="FF000000"/>
            <rFont val="Tahoma"/>
            <family val="2"/>
          </rPr>
          <t>Ruth:</t>
        </r>
        <r>
          <rPr>
            <sz val="9"/>
            <color rgb="FF000000"/>
            <rFont val="Tahoma"/>
            <family val="2"/>
          </rPr>
          <t xml:space="preserve">
</t>
        </r>
        <r>
          <rPr>
            <sz val="9"/>
            <color rgb="FF000000"/>
            <rFont val="Tahoma"/>
            <family val="2"/>
          </rPr>
          <t xml:space="preserve">Converted from grams to kilograms
</t>
        </r>
      </text>
    </comment>
  </commentList>
</comments>
</file>

<file path=xl/sharedStrings.xml><?xml version="1.0" encoding="utf-8"?>
<sst xmlns="http://schemas.openxmlformats.org/spreadsheetml/2006/main" count="1626" uniqueCount="908">
  <si>
    <t>Value</t>
  </si>
  <si>
    <t>Cost Savings ($/year)</t>
  </si>
  <si>
    <t>Classroom lighting watts/hour</t>
  </si>
  <si>
    <t>CFL lighting</t>
  </si>
  <si>
    <t>LED lighting</t>
  </si>
  <si>
    <t>Incandescent lighting</t>
  </si>
  <si>
    <t>Not sure</t>
  </si>
  <si>
    <t>https://www.currentbyge.com/ideas/cfl-vs-halogen-vs-led</t>
  </si>
  <si>
    <t>NWPP</t>
  </si>
  <si>
    <t>WECC Northwest</t>
  </si>
  <si>
    <t>1 MWh =</t>
  </si>
  <si>
    <t>KWh</t>
  </si>
  <si>
    <t>1 pound =</t>
  </si>
  <si>
    <t>metric tons</t>
  </si>
  <si>
    <t xml:space="preserve">1 metric ton = </t>
  </si>
  <si>
    <t>Global Warming Potential</t>
  </si>
  <si>
    <t>Average cost of electricity/kWh</t>
  </si>
  <si>
    <t>https://nces.ed.gov/programs/statereform/tab5_14.asp</t>
  </si>
  <si>
    <t>1 Watt</t>
  </si>
  <si>
    <t>KiloWatt</t>
  </si>
  <si>
    <t>lbs CO2 / Wh saved</t>
  </si>
  <si>
    <t>Average cost of electricity/Wh</t>
  </si>
  <si>
    <t>1 pound of Co2e</t>
  </si>
  <si>
    <t>tree seedlings grown for 10 years</t>
  </si>
  <si>
    <t>Tree seedlings grown for 10 years</t>
  </si>
  <si>
    <t>Number of classrooms in your school</t>
  </si>
  <si>
    <t>SETUP</t>
  </si>
  <si>
    <t>YOUR SCHOOL'S IMPACT</t>
  </si>
  <si>
    <t>Select from the list</t>
  </si>
  <si>
    <t>PROJECT #1</t>
  </si>
  <si>
    <t>Electricity emission factors</t>
  </si>
  <si>
    <t>Source: eGRID 2016, SRL16, Subregion Output Emission Rates, Feb, 2018</t>
  </si>
  <si>
    <t>Average number of school days/year in Washington</t>
  </si>
  <si>
    <t>Equivalences</t>
  </si>
  <si>
    <t>Average Watts per classroom</t>
  </si>
  <si>
    <t>https://www.energy.gov/sites/prod/files/2017/10/f37/2017_gateway_tuning-classroom_0.pdf</t>
  </si>
  <si>
    <t>PROJECT #2</t>
  </si>
  <si>
    <t>Type of lighting</t>
  </si>
  <si>
    <t>Average single lamp Watts</t>
  </si>
  <si>
    <t>Comparable wattage</t>
  </si>
  <si>
    <t>40 W incandescent</t>
  </si>
  <si>
    <t>29 W halogen (40 equivalent)</t>
  </si>
  <si>
    <t>60 W incandescent</t>
  </si>
  <si>
    <t>43 W halogen (60 equivalent)</t>
  </si>
  <si>
    <t>75 W incandescent</t>
  </si>
  <si>
    <t>53 W halogen (75 equivalent)</t>
  </si>
  <si>
    <t>100 W incandescent</t>
  </si>
  <si>
    <t>72 W halogen (100 equivalent)</t>
  </si>
  <si>
    <t>150 W incandescent</t>
  </si>
  <si>
    <t>Corresponding commonly available CFL/LED wattages</t>
  </si>
  <si>
    <t>4.0 W LED</t>
  </si>
  <si>
    <t>6.0 W LED</t>
  </si>
  <si>
    <t>10.0 W LED</t>
  </si>
  <si>
    <t>11.0 W LED</t>
  </si>
  <si>
    <t>40.0 W CFL</t>
  </si>
  <si>
    <t>5.0 W LED</t>
  </si>
  <si>
    <t>7.0 W LED</t>
  </si>
  <si>
    <t>15.0 W LED</t>
  </si>
  <si>
    <t>42.0 W CFL</t>
  </si>
  <si>
    <t>8.5 W LED</t>
  </si>
  <si>
    <t>12.0 W LED</t>
  </si>
  <si>
    <t>16.0 W LED</t>
  </si>
  <si>
    <t>9.0 W LED</t>
  </si>
  <si>
    <t>13.0 W LED</t>
  </si>
  <si>
    <t>17.0 W LED</t>
  </si>
  <si>
    <t>7.0 W CFL</t>
  </si>
  <si>
    <t>9.5 W LED</t>
  </si>
  <si>
    <t>18.0 W CFL</t>
  </si>
  <si>
    <t>18.0 W LED</t>
  </si>
  <si>
    <t>9.0 W CFL</t>
  </si>
  <si>
    <t>19.0 W CFL</t>
  </si>
  <si>
    <t>15.0 W CFL</t>
  </si>
  <si>
    <t>10.0 W CFL</t>
  </si>
  <si>
    <t>10.5 W LED</t>
  </si>
  <si>
    <t>20.0 W CFL</t>
  </si>
  <si>
    <t>23.0 W CFL</t>
  </si>
  <si>
    <t>26.0 W CFL</t>
  </si>
  <si>
    <t>13.0 W CFL</t>
  </si>
  <si>
    <t>14.0 W CFL</t>
  </si>
  <si>
    <t>Watts</t>
  </si>
  <si>
    <t>Equivalent LED Watts</t>
  </si>
  <si>
    <t>https://www.usailighting.com/stuff/contentmgr/files/1/92ffeb328de0f4878257999e7d46d6e4/misc/lighting_comparison_chart.pdf</t>
  </si>
  <si>
    <t>light_bulb_calculator_0</t>
  </si>
  <si>
    <t>Select_from_the_list</t>
  </si>
  <si>
    <t>Incandescent_Lighting</t>
  </si>
  <si>
    <t>Halogen_Lighting</t>
  </si>
  <si>
    <t>CFL_Lighting</t>
  </si>
  <si>
    <t>Not_sure</t>
  </si>
  <si>
    <t>Watts consumed with LED light bulbs</t>
  </si>
  <si>
    <t>Cost savings per day</t>
  </si>
  <si>
    <t>Minimum amount of instructional times 
per school year</t>
  </si>
  <si>
    <t>Minimum hours of instruction per school day</t>
  </si>
  <si>
    <t>Carbon savings  if all classrooms did the same (lbs/year)</t>
  </si>
  <si>
    <t>Cost savings if all classrooms did the same ($/year)</t>
  </si>
  <si>
    <t>YOUR CLASSROOM IMPACT</t>
  </si>
  <si>
    <t>PROJECT #3</t>
  </si>
  <si>
    <t>Adjust your thermostat by turning down the heat</t>
  </si>
  <si>
    <t>Average natural gas consumption (cubic feet/sqft)</t>
  </si>
  <si>
    <t>https://www.bls.gov/regions/mid-atlantic/news-release/averageenergyprices_washingtondc.htm</t>
  </si>
  <si>
    <t>Natural gas average price/therm in WA</t>
  </si>
  <si>
    <t>Natural gas average price/cubic feet in WA</t>
  </si>
  <si>
    <t>1 cubic feet of natural gas =</t>
  </si>
  <si>
    <t>therms (U.S.)</t>
  </si>
  <si>
    <t>CO2 Factor (kg/scf)</t>
  </si>
  <si>
    <t>CH4 Factor (kg/scf)</t>
  </si>
  <si>
    <t>N2O Factor (kg/scf)</t>
  </si>
  <si>
    <t>Natural Gas</t>
  </si>
  <si>
    <t>1 kilogram =</t>
  </si>
  <si>
    <t>pounds</t>
  </si>
  <si>
    <t>SCF = CUBIC FEET</t>
  </si>
  <si>
    <t>PROJECT #4</t>
  </si>
  <si>
    <t xml:space="preserve">Install motion sensing light switches in hallways, bathrooms, etc. </t>
  </si>
  <si>
    <t>Install motion sensing light switches</t>
  </si>
  <si>
    <t>PROJECT #5</t>
  </si>
  <si>
    <t>Turn off computers and printers at the end of the day, rather than putting them in sleep mode</t>
  </si>
  <si>
    <t>Turn off computers and printers at the end of the day</t>
  </si>
  <si>
    <t>https://www.energuide.be/en/questions-answers/how-much-power-does-a-computer-use-and-how-much-co2-does-that-represent/54/</t>
  </si>
  <si>
    <t>Average electricity consumption of a desktop computer in sleep mode( in Watts)</t>
  </si>
  <si>
    <t>Average electricity consumption of a desktop computer ( in Watts)</t>
  </si>
  <si>
    <t>Average electricity consumption of a printer ( in Watts)</t>
  </si>
  <si>
    <t>Carbon difference between sleep mode and turned off (lbs/day)</t>
  </si>
  <si>
    <t>Carbon difference between sleep mode and turned off (lbs/year)</t>
  </si>
  <si>
    <t>Cost difference between sleep mode and turned off ($/day)</t>
  </si>
  <si>
    <t>Cost difference between sleep mode and turned off ($/year)</t>
  </si>
  <si>
    <t>SLEEP MODE</t>
  </si>
  <si>
    <t>TURNED OFF</t>
  </si>
  <si>
    <t>Number of computers in your classroom</t>
  </si>
  <si>
    <t>Number of computers in your school</t>
  </si>
  <si>
    <t>Classroom projects cost savings ($/year)</t>
  </si>
  <si>
    <t>Classroom projects carbon savings (lbs/year)</t>
  </si>
  <si>
    <t>School projects carbon saving (lbs/year)</t>
  </si>
  <si>
    <t>Total carbon savings (lbs/year)</t>
  </si>
  <si>
    <t>Total cost savings ($/year)</t>
  </si>
  <si>
    <t>TOTAL SCHOOL IMPACTS</t>
  </si>
  <si>
    <t>DIFFERENCE</t>
  </si>
  <si>
    <t>Additional tree seedlings</t>
  </si>
  <si>
    <t>Carbon savings (lbs/year)</t>
  </si>
  <si>
    <t>Cost savings ($/year)</t>
  </si>
  <si>
    <t>SUMMARY</t>
  </si>
  <si>
    <t>SCHOOL PROJECTS</t>
  </si>
  <si>
    <t>Energy</t>
  </si>
  <si>
    <t>Weight</t>
  </si>
  <si>
    <t>Power</t>
  </si>
  <si>
    <t>ENERGY</t>
  </si>
  <si>
    <t>CLASSROOM PROJECTS</t>
  </si>
  <si>
    <t>LED Lighting</t>
  </si>
  <si>
    <t>LED stands for light emitting diode.  An electrical current passes through a microchip, which illuminates the tiny light sources we call LEDs and the result is visible light.</t>
  </si>
  <si>
    <t>GLOSSARY</t>
  </si>
  <si>
    <t>Term</t>
  </si>
  <si>
    <t>Definition</t>
  </si>
  <si>
    <t>https://www.eia.gov/electricity/data/browser/#/topic/7?agg=0,1&amp;geo=g00000000001&amp;endsec=vg&amp;linechart=ELEC.PRICE.US-ALL.A&amp;columnchart=ELEC.PRICE.US-ALL.A&amp;map=ELEC.PRICE.US-ALL.A&amp;freq=A&amp;ctype=linechart&amp;ltype=pin&amp;rtype=s&amp;pin=&amp;rse=0&amp;maptype=0</t>
  </si>
  <si>
    <t>PROJECT #6</t>
  </si>
  <si>
    <t>YOUR IMPACT</t>
  </si>
  <si>
    <t>Number of months in a school year</t>
  </si>
  <si>
    <t>Cost savings ($/month)</t>
  </si>
  <si>
    <t>School natural gas consumption</t>
  </si>
  <si>
    <t>TOTAL IMPACT OF ALL YOUR CLASSROOM PROJECTS</t>
  </si>
  <si>
    <t>Electricity consumption when in use (in Watts)</t>
  </si>
  <si>
    <t>Electricity consumption when in sleep mode (in Watts)</t>
  </si>
  <si>
    <t>Electricity consumption when turned off (in Watts)</t>
  </si>
  <si>
    <t>Energy savings per day (in kWh)</t>
  </si>
  <si>
    <t>Open project: Are you planning to implement a project that is not listed above?
Here is the opportunity to record your impact!</t>
  </si>
  <si>
    <t>WASTE AND RECYCLING</t>
  </si>
  <si>
    <t>Number of light bulbs changed in your classroom</t>
  </si>
  <si>
    <t>In order to avoid double counting, please make sure that the open project does not include any projects that you already accounted for above.</t>
  </si>
  <si>
    <t>Classroom projects</t>
  </si>
  <si>
    <t>School projects</t>
  </si>
  <si>
    <t>ounces</t>
  </si>
  <si>
    <t>http://www.petresin.org/news_didyouknow.asp</t>
  </si>
  <si>
    <t>Average weight of a 0.5 liter PET water bottle (grams)</t>
  </si>
  <si>
    <t>1 gram =</t>
  </si>
  <si>
    <t>https://www.plasticpollutioncoalition.org/pft/2015/11/17/plastic-pollution-and-climate-change</t>
  </si>
  <si>
    <t>Average Co2 emission per PET water bottle (pound)</t>
  </si>
  <si>
    <t>CO2 impact per 0.5 liter plastic water bottle (pounds)</t>
  </si>
  <si>
    <t>Total number of water bottles bought per week before the project</t>
  </si>
  <si>
    <t>Total number of water bottles bought per week after the project</t>
  </si>
  <si>
    <t>Average number of school weeks/year in Washington</t>
  </si>
  <si>
    <t>Average price of a bottle of 0.5 liter water ($)</t>
  </si>
  <si>
    <t>Cost savings / week</t>
  </si>
  <si>
    <t>Use recycled paper instead of virgin paper</t>
  </si>
  <si>
    <t>Use recycled paper</t>
  </si>
  <si>
    <t>Number of pages printed per week in/for your classroom</t>
  </si>
  <si>
    <t>https://composting.ces.ncsu.edu/wp-content/uploads/2017/04/vermicomposting_earthworms_q_a-2017.pdf?fwd=no</t>
  </si>
  <si>
    <t>Sheets per ream:</t>
  </si>
  <si>
    <t>sheets</t>
  </si>
  <si>
    <t>Average cost:</t>
  </si>
  <si>
    <t>per ream</t>
  </si>
  <si>
    <t>https://www.officedepot.com/a/browse/copy-and-multipurpose-paper/N=5+530730&amp;cbxRefine=553630&amp;cbxRefine=722807/</t>
  </si>
  <si>
    <t>Average "weight" of paper:</t>
  </si>
  <si>
    <t>Actual weight per ream:</t>
  </si>
  <si>
    <t>https://www.papersizes.org/weight-of-sheets.htm</t>
  </si>
  <si>
    <t>Standard paper weights are between 75gsm and 100gsm for common business applications</t>
  </si>
  <si>
    <t>http://www.officexpress.co.uk/paper-guide/</t>
  </si>
  <si>
    <t>Reams per box:</t>
  </si>
  <si>
    <t>Paper calculator by the environmental paper network</t>
  </si>
  <si>
    <t>Assumptions</t>
  </si>
  <si>
    <t>Emission Factor, virgin</t>
  </si>
  <si>
    <t>lbsCO2e/ton paper</t>
  </si>
  <si>
    <t>https://c.environmentalpaper.org/individual.html</t>
  </si>
  <si>
    <t>Uncoated Freesheet</t>
  </si>
  <si>
    <t>1 U.S. Short Tons</t>
  </si>
  <si>
    <t>Emission Factor, 100% recycled</t>
  </si>
  <si>
    <t>Emission Factor, x% recycled</t>
  </si>
  <si>
    <t>(slope of the best fit line through two end-points )</t>
  </si>
  <si>
    <t>Weight of paper used for your classroom (pounds)</t>
  </si>
  <si>
    <t>Carbon impact if virgin paper is used (lbs/week)</t>
  </si>
  <si>
    <t xml:space="preserve">U.S. short tons </t>
  </si>
  <si>
    <t>lbsCO2e/pound paper</t>
  </si>
  <si>
    <t>Carbon impact if 100% recycled paper is used (lbs/week)</t>
  </si>
  <si>
    <t>Average cost of virgin paper ($/sheet)</t>
  </si>
  <si>
    <t>Average cost of 100% recycled paper ($/sheet)</t>
  </si>
  <si>
    <t>Extra cost ($/week)</t>
  </si>
  <si>
    <t>Extra yearly cost ($/year)</t>
  </si>
  <si>
    <t>Waste</t>
  </si>
  <si>
    <t>MTCO2E/Short Ton</t>
  </si>
  <si>
    <t>https://www.epa.gov/sites/production/files/2019-06/documents/warm_v15_management_practices.pdf</t>
  </si>
  <si>
    <t>Exhibit 6-16: Net GHG Emissions from Landfilling (MTCO2E/Short Ton)</t>
  </si>
  <si>
    <t>Recycling</t>
  </si>
  <si>
    <t>Exhibit 2-2: Emission Factor for Recycling (MTCO2E/Short Ton of Material Recovered)</t>
  </si>
  <si>
    <t>Yard/Food waste</t>
  </si>
  <si>
    <t>Exhibit 4-1: Components of the Composting Net Emission Factor for Food Waste, Yard Trimmings, and Mixed Organics</t>
  </si>
  <si>
    <t>Carbon Savings compared to landfill (lbs/year)</t>
  </si>
  <si>
    <t>http://www.wm.com/location/california/bay_area/castrovalley/commercial/rates.jsp</t>
  </si>
  <si>
    <t xml:space="preserve">Cost of 20 gallons of waste ($) </t>
  </si>
  <si>
    <t>Number of worm bins installed in your classroom</t>
  </si>
  <si>
    <t>Cost per gallon ($)</t>
  </si>
  <si>
    <t>pounds per cubic yard</t>
  </si>
  <si>
    <t>https://www.epa.gov/sites/production/files/2016-04/documents/volume_to_weight_conversion_factors_memorandum_04192016_508fnl.pdf</t>
  </si>
  <si>
    <t>Mixed MSW - Residential, Institutional, Commercial (Uncompacted)</t>
  </si>
  <si>
    <t>1 gallon</t>
  </si>
  <si>
    <t>cubic yard</t>
  </si>
  <si>
    <t>Carbon Savings compared to landfill (lbs/month)</t>
  </si>
  <si>
    <t>Only applicable if the majority of students bring their own lunch to school</t>
  </si>
  <si>
    <t>Bring a zero waste lunch</t>
  </si>
  <si>
    <t>Number of students bringing their own lunch and snack to school</t>
  </si>
  <si>
    <t>Packaging cost difference between disposable and zero-waste lunch packaging ($/day)</t>
  </si>
  <si>
    <t>https://www.huffpost.com/entry/reusable-waste-free-lunch_b_5634600</t>
  </si>
  <si>
    <t>WASTE references</t>
  </si>
  <si>
    <t>ENERGY references</t>
  </si>
  <si>
    <t>Lighting type</t>
  </si>
  <si>
    <t>Lighting type &amp; Watts</t>
  </si>
  <si>
    <t>Units of measurement of the emission factors</t>
  </si>
  <si>
    <t>Disposition mode</t>
  </si>
  <si>
    <t xml:space="preserve">Co2e impact </t>
  </si>
  <si>
    <t>Unit of measurement</t>
  </si>
  <si>
    <t>Volume</t>
  </si>
  <si>
    <t>Cost per pound ($/pound)</t>
  </si>
  <si>
    <t>Cost per cubic yard ($/cubic yard)</t>
  </si>
  <si>
    <t>Cost savings for students ($/day)</t>
  </si>
  <si>
    <t>Cost Savings for students ($/year)</t>
  </si>
  <si>
    <t>Purchase remanufactured Ink and Toner cartridges</t>
  </si>
  <si>
    <t>https://www.jeffjournal.org/papers/Volume7/7.1.3Muthu.pdf</t>
  </si>
  <si>
    <t>#of bags</t>
  </si>
  <si>
    <t>Emissions for 520 bags</t>
  </si>
  <si>
    <t>Emissions for 1 bag</t>
  </si>
  <si>
    <t>kgs Co2e</t>
  </si>
  <si>
    <t>Toner cartridges LCA impact</t>
  </si>
  <si>
    <t>New cartridge</t>
  </si>
  <si>
    <t>Remanufactured cartridge</t>
  </si>
  <si>
    <t>kgCO2 e</t>
  </si>
  <si>
    <t>With use phase</t>
  </si>
  <si>
    <t>Without use phase</t>
  </si>
  <si>
    <t>Variation</t>
  </si>
  <si>
    <t>http://www.remanufacturing.org.uk/pdf/story/1p265.pdf</t>
  </si>
  <si>
    <t xml:space="preserve">Price difference </t>
  </si>
  <si>
    <t>25-30%</t>
  </si>
  <si>
    <t>Used for calculations</t>
  </si>
  <si>
    <t>https://www.cartridgeworld.com/how-much-are-printer-ink-and-toner-costing-you/</t>
  </si>
  <si>
    <t>Average cost of a monochrome cartridge ($)</t>
  </si>
  <si>
    <t>Cost Savings per year ($/year)</t>
  </si>
  <si>
    <t>School projects cost saving ($/year)</t>
  </si>
  <si>
    <t>Mulch the base of trees and plants regularly to increase absorbency and reduce runoff</t>
  </si>
  <si>
    <t>Mulch the base of trees and plants</t>
  </si>
  <si>
    <t>https://pnwisa.org/tree-care/maintenance/providing-water-nutrients/</t>
  </si>
  <si>
    <t>http://irrigation.wsu.edu/Content/Calculators/Residential/Tree-Water-Management.php</t>
  </si>
  <si>
    <t>Average water need of a mature tree in the Pacific Northwest (gallon)</t>
  </si>
  <si>
    <t>Moisture in the soil needed (inch)</t>
  </si>
  <si>
    <t>inches</t>
  </si>
  <si>
    <t>Evaporation from silt loam soils</t>
  </si>
  <si>
    <t>gallons</t>
  </si>
  <si>
    <t>https://www.ksre.k-state.edu/irrigate/reports/Klocke.pdf</t>
  </si>
  <si>
    <t>Water evaporation</t>
  </si>
  <si>
    <t>https://ucanr.edu/sites/UrbanHort/files/80212.pdf</t>
  </si>
  <si>
    <t>http://www.seattle.gov/utilities/services/rates/water-rates/residential-water-rates</t>
  </si>
  <si>
    <t xml:space="preserve"> US gallons</t>
  </si>
  <si>
    <t>centum cubic feet (CCF)</t>
  </si>
  <si>
    <t>Price of water per CCF ($/CCF)</t>
  </si>
  <si>
    <t>Price of water per gallon ($/gallon)</t>
  </si>
  <si>
    <t>YOUR SCHOOL IMPACT</t>
  </si>
  <si>
    <t>Reuse your plastic lunch bag or pack your lunch in other reusable lunch packaging</t>
  </si>
  <si>
    <t>pounds Co2e</t>
  </si>
  <si>
    <t>Number of trees in your school garden</t>
  </si>
  <si>
    <t>Cost of electricity at your school ($/kWh)*</t>
  </si>
  <si>
    <t>https://unclejimswormfarm.com/how-much-feed-composting-worms/</t>
  </si>
  <si>
    <t>Volume of water needed for your trees (gallons/week)</t>
  </si>
  <si>
    <t>Volume of water lost to evaporation per tree in the Pacific Northwest (gallons per week)</t>
  </si>
  <si>
    <t>Average ounce of CO2 emissions per ounce of PET bottle (ounce)</t>
  </si>
  <si>
    <t>Average pounds CO2 emissions per pound of PET bottle (pound)</t>
  </si>
  <si>
    <t>Cost savings per quarter ($)</t>
  </si>
  <si>
    <t>https://19january2017snapshot.epa.gov/www3/watersense/commercial/docs/factsheets/education_fact_sheet_508.pdf</t>
  </si>
  <si>
    <t>Total volume of water consumed at your school (gallons/year)</t>
  </si>
  <si>
    <t>Plant a native plants garden</t>
  </si>
  <si>
    <t>Native gardens' water use compared to traditional gardens</t>
  </si>
  <si>
    <t>https://www.theecologycenter.org/6-proven-reasons-to-have-a-native-garden/</t>
  </si>
  <si>
    <t>Average yield of a tomato plant (pounds)</t>
  </si>
  <si>
    <t>https://homeguides.sfgate.com/average-yield-tomato-plant-60969.html</t>
  </si>
  <si>
    <t>https://www.nasa.gov/vision/earth/technologies/aeroponic_plants.html</t>
  </si>
  <si>
    <t>https://living.thebump.com/many-gallons-water-should-fullsized-tomato-plant-need-week-11140.html</t>
  </si>
  <si>
    <t>Water requirement of a tomato plant every 5 days (gallon)</t>
  </si>
  <si>
    <t>Water savings in a aeroponic system</t>
  </si>
  <si>
    <t>https://www.towergarden.com/blog.read.html/en/2015/4/5_research-backedbe.html</t>
  </si>
  <si>
    <t>Average yield increase thanks to aeroponic systems</t>
  </si>
  <si>
    <t xml:space="preserve">Create an aeroponic gardening project </t>
  </si>
  <si>
    <t>https://homeguides.sfgate.com/long-before-plant-starts-grow-tomatoes-59989.html</t>
  </si>
  <si>
    <t>Tomato growing cycle (days)</t>
  </si>
  <si>
    <t>Extra yield (pounds)</t>
  </si>
  <si>
    <t>Create an aeroponic gardening project with tomatoes (or other vegetables)</t>
  </si>
  <si>
    <t>Plant a vegetable garden</t>
  </si>
  <si>
    <t>Amount invested in establishing a vegetable garden ($)</t>
  </si>
  <si>
    <t>Plant native plants in your garden</t>
  </si>
  <si>
    <t>Bring a reusable bottle</t>
  </si>
  <si>
    <t>Typical weight of matter eaten by 1000 earthworms in a month (lbs)</t>
  </si>
  <si>
    <t>Typical weight of matter eaten by 1000 earthworms in a year (lbs)</t>
  </si>
  <si>
    <t>Turn off lights when the classroom is empty - during lunch, planning periods, etc.</t>
  </si>
  <si>
    <t>Potential yield ($)</t>
  </si>
  <si>
    <t>http://www.nbcnews.com/id/29708619/ns/business-personal_finance/t/economy-turns-gardening-growth-industry/#.XRvuOOhKjcs</t>
  </si>
  <si>
    <t>Plant a community vegetable garden</t>
  </si>
  <si>
    <t xml:space="preserve">Turn Off Lighting </t>
  </si>
  <si>
    <t>Change all light bulbs to LEDs in your classroom</t>
  </si>
  <si>
    <t>Change the light bulbs to LEDs</t>
  </si>
  <si>
    <t>TRANSPORTATION</t>
  </si>
  <si>
    <t>WATER</t>
  </si>
  <si>
    <t>Create a rain garden to absorb extra water, create less runoff</t>
  </si>
  <si>
    <t>Create a rain garden</t>
  </si>
  <si>
    <t>HEALTHY SCHOOL BUILDINGS</t>
  </si>
  <si>
    <t>Learn how to make DIY natural cleaning products (ex. vinegar + water mix) and use them for cleaning</t>
  </si>
  <si>
    <t>DIY natural cleaning</t>
  </si>
  <si>
    <t xml:space="preserve"> Walk to school campaign</t>
  </si>
  <si>
    <t>https://greencleaningproductsllc.com/consider-vocs-when-going-for-the-best-commercial-cleaning-products/</t>
  </si>
  <si>
    <t>https://www.target.com/p/pine-sol-multi-surface-cleaner-original-100-oz/-/A-12969917</t>
  </si>
  <si>
    <t>https://www.target.com/p/white-vinegar-128oz-market-pantry-153/-/A-15295279</t>
  </si>
  <si>
    <t>Anti-Idling Campaign</t>
  </si>
  <si>
    <t>Implement an anti-idling campaign</t>
  </si>
  <si>
    <t>Number of cars turned off</t>
  </si>
  <si>
    <t>Idling car uses 7/10 of a gallon of fuel an hour (gallons)</t>
  </si>
  <si>
    <t>https://www.edf.org/attention-drivers-turn-your-idling-engines</t>
  </si>
  <si>
    <t>CO2 kgs</t>
  </si>
  <si>
    <t>N2O grams to kgs</t>
  </si>
  <si>
    <t>CH4 grams to kgs</t>
  </si>
  <si>
    <t>Cost per gallon of fuel (Aug 2019) in Washington State</t>
  </si>
  <si>
    <t>https://gasprices.aaa.com/?state=WA</t>
  </si>
  <si>
    <t>https://www.govinfo.gov/content/pkg/FR-1998-09-11/pdf/98-22660.pdf</t>
  </si>
  <si>
    <t>Bathroom and tile cleaners: Aerosols</t>
  </si>
  <si>
    <t>Maximum % of VOC in cleaning products</t>
  </si>
  <si>
    <t>Total amount of natural cleaner mixed for your classroom (oz)</t>
  </si>
  <si>
    <t>Avoided VOCs (oz)</t>
  </si>
  <si>
    <t>Total amount of natural cleaner mixed for the school (oz)</t>
  </si>
  <si>
    <t>Cost of Pine sol (100 oz)</t>
  </si>
  <si>
    <t>Cost of vinegar (128 oz)</t>
  </si>
  <si>
    <t>Cost of vinegar (1 oz)</t>
  </si>
  <si>
    <t>Cost of Pine sol (1 oz)</t>
  </si>
  <si>
    <t>GHG emissions of mobile combustion assuming a gasoline car of model year 2008</t>
  </si>
  <si>
    <t>https://www.epa.gov/sites/production/files/2018-03/documents/emission-factors_mar_2018_0.pdf</t>
  </si>
  <si>
    <t>Waiting time in front of schools/day/car (minutes)</t>
  </si>
  <si>
    <t>Irrigation period in the PNW - April to October (months)</t>
  </si>
  <si>
    <t>Full water need of a tomato plants (gallons)</t>
  </si>
  <si>
    <t>https://www.youtube.com/watch?v=RzZ76-KVVOA</t>
  </si>
  <si>
    <t>Number of schools in the San Diego school district</t>
  </si>
  <si>
    <t>San Diego Unified - Love Food Not Waste</t>
  </si>
  <si>
    <t>http://www.ed-data.org/district/San-Diego/San-Diego-Unified</t>
  </si>
  <si>
    <t>Average number of students per school</t>
  </si>
  <si>
    <t>School Share Table, donate and compost</t>
  </si>
  <si>
    <t>Minimum meat/meat alternate requirement per week for K-5 (oz)</t>
  </si>
  <si>
    <t>Average meat/meat alternate requirement per day for K-5 (oz)</t>
  </si>
  <si>
    <t>https://www.fns.usda.gov/school-meals/certification-compliance-worksheets-5-day-schedule</t>
  </si>
  <si>
    <t>http://trophiccascades.forestry.oregonstate.edu/sites/trophic/files/Beans_for_Beef.pdf</t>
  </si>
  <si>
    <t>CO2 e per kg of consumed beef (kg)</t>
  </si>
  <si>
    <t>CO2 e per kg of consumed beans (kg)</t>
  </si>
  <si>
    <t>https://www.bls.gov/regions/mid-atlantic/data/averageretailfoodandenergyprices_usandmidwest_table.htm</t>
  </si>
  <si>
    <t>Price of ground beef, 100% beef, per lb. in June 2019 ($)</t>
  </si>
  <si>
    <t>Beans, dried, any type, all sizes, per lb. ($)</t>
  </si>
  <si>
    <t>http://www.12000raingardens.org/about-rain-gardens/benefits/</t>
  </si>
  <si>
    <t>Assuming rainfall conditions in the Puget Sound</t>
  </si>
  <si>
    <t>Volume of water absorbed by a 120 sqft, 3" deep rain garden in a year (gallons)</t>
  </si>
  <si>
    <t>Volume of water absorbed per sqft of  3" deep rain garden in a year (gallons)</t>
  </si>
  <si>
    <t>https://ag.umass.edu/landscape/fact-sheets/rain-gardens-way-to-improve-water-quality</t>
  </si>
  <si>
    <t>https://www.asla.org/raingardens.aspx</t>
  </si>
  <si>
    <t>lead</t>
  </si>
  <si>
    <t>zinc</t>
  </si>
  <si>
    <t>nitrogen</t>
  </si>
  <si>
    <t>phosphorus</t>
  </si>
  <si>
    <t>copper</t>
  </si>
  <si>
    <t>YOUR  IMPACT</t>
  </si>
  <si>
    <t>Area of your 3"deep rain garden (sqft)</t>
  </si>
  <si>
    <t>Area of your 6" deep rain garden (sqft)</t>
  </si>
  <si>
    <t>Volume of water absorbed per sqft of  6" deep rain garden in a year (gallons)</t>
  </si>
  <si>
    <t>Volume of water absorbed by a 60 sqft, 6" deep rain garden in a year (gallons)</t>
  </si>
  <si>
    <t>Install aerators</t>
  </si>
  <si>
    <t>Install WaterSense aerators on sinks to increase pressure and reduce flow</t>
  </si>
  <si>
    <t>https://www.epa.gov/watersense/bathroom-faucets</t>
  </si>
  <si>
    <t>Volume of water used per minute with WaterSense aerators (gallons)</t>
  </si>
  <si>
    <t>Volume of water used per minute without WaterSense aerators (gallons)</t>
  </si>
  <si>
    <t>Fix any leaks inside the building and/or on school grounds</t>
  </si>
  <si>
    <t xml:space="preserve">Fix any leaks </t>
  </si>
  <si>
    <t>https://www.chandleraz.gov/residents/water/water-conservation/education-and-resources/indoor-water-conservation-tips?pageid=710</t>
  </si>
  <si>
    <t>Volume of water saved by fixing a leaking toilet in a month (gallons)</t>
  </si>
  <si>
    <t>https://www.epa.gov/watersense/fix-leak-week</t>
  </si>
  <si>
    <t>Volume of water saved by fixing a leaking faucet in a year (gallons)</t>
  </si>
  <si>
    <t>Volume of water saved by fixing a leaking shower in a year (gallons)</t>
  </si>
  <si>
    <t>https://www.watercalculator.org/save-water/outdoor-water-leaks/</t>
  </si>
  <si>
    <t>Volume of water saved by fixing a leaking irrigation system in a month (gallons)</t>
  </si>
  <si>
    <t>Assuming a leak as small as 1/32 inch in diameter</t>
  </si>
  <si>
    <t>Assuming 10 drips per minute</t>
  </si>
  <si>
    <t>Assuming one drip per second</t>
  </si>
  <si>
    <t>Volume of water saved by fixing a leaking toilet in a day (gallons)</t>
  </si>
  <si>
    <t>Volume of water saved by fixing a leaking faucet in a day (gallons)</t>
  </si>
  <si>
    <t>Volume of water saved by fixing a leaking shower in a day (gallons)</t>
  </si>
  <si>
    <t>Volume of water saved by fixing a leaking irrigation system in a day (gallons)</t>
  </si>
  <si>
    <t>Volume of water saved per flush with a tank bank (gallons)</t>
  </si>
  <si>
    <t xml:space="preserve">Volume of water saved per flush with a fill cycle diverter (gallons) </t>
  </si>
  <si>
    <t>https://www.thepennyhoarder.com/save-money/how-to-save-water-and-money-with-your-toilet/</t>
  </si>
  <si>
    <t>Place water savers in toilet tanks</t>
  </si>
  <si>
    <t>https://www.currentresults.com/Weather/Washington/average-yearly-precipitation.php</t>
  </si>
  <si>
    <t>Days</t>
  </si>
  <si>
    <t>Place</t>
  </si>
  <si>
    <t>Inches</t>
  </si>
  <si>
    <t>Boundary Dam</t>
  </si>
  <si>
    <t>Chelan</t>
  </si>
  <si>
    <t>Coulee Dam</t>
  </si>
  <si>
    <t>Kennewick</t>
  </si>
  <si>
    <t>Leavenworth</t>
  </si>
  <si>
    <t>Pullman</t>
  </si>
  <si>
    <t>Spokane</t>
  </si>
  <si>
    <t>Walla Walla</t>
  </si>
  <si>
    <t>Wenatchee</t>
  </si>
  <si>
    <t>Winthrop</t>
  </si>
  <si>
    <t>Yakima</t>
  </si>
  <si>
    <t>Baker Lake Dam</t>
  </si>
  <si>
    <t>Baring</t>
  </si>
  <si>
    <t>Darrington</t>
  </si>
  <si>
    <t>Mt Adams Ranger Station</t>
  </si>
  <si>
    <t>Mt Rainier Paradise Ranger Station</t>
  </si>
  <si>
    <t>Mud Mountain Lake Dam</t>
  </si>
  <si>
    <t>Ross Dam</t>
  </si>
  <si>
    <t>Stampede Pass</t>
  </si>
  <si>
    <t>Anacortes</t>
  </si>
  <si>
    <t>Bellingham</t>
  </si>
  <si>
    <t>Bremerton</t>
  </si>
  <si>
    <t>Everett</t>
  </si>
  <si>
    <t>Longview</t>
  </si>
  <si>
    <t>Olga, Orcas Island</t>
  </si>
  <si>
    <t>Olympia</t>
  </si>
  <si>
    <t>Port Townsend</t>
  </si>
  <si>
    <t>Seattle</t>
  </si>
  <si>
    <t>Tacoma</t>
  </si>
  <si>
    <t>Vancouver</t>
  </si>
  <si>
    <t>Aberdeen</t>
  </si>
  <si>
    <t>Clearwater</t>
  </si>
  <si>
    <t>Forks</t>
  </si>
  <si>
    <t>Friday Harbor, San Juan Island</t>
  </si>
  <si>
    <t>Grayland</t>
  </si>
  <si>
    <t>Long Beach</t>
  </si>
  <si>
    <t>Port Angeles</t>
  </si>
  <si>
    <t>Rainfall needed to fill in a 55 gallons rain barrel (inch)</t>
  </si>
  <si>
    <t>Average precipitation per rainy day</t>
  </si>
  <si>
    <t>Install rain barrels to use “free water” for your lawn and plants</t>
  </si>
  <si>
    <t>Install rain barrels</t>
  </si>
  <si>
    <t>Water collected in a rain barrel per 1 inch of rainwater (gallons)</t>
  </si>
  <si>
    <t>School projects water saving (gallons/year)</t>
  </si>
  <si>
    <t>Classroom projects water filtered (gallons/year)</t>
  </si>
  <si>
    <t>Volume of a common bathtub (gallons)</t>
  </si>
  <si>
    <t>https://www.badeloftusa.com/ideas/how-much-does-bathtub-hold/</t>
  </si>
  <si>
    <t>Water savings per month (in gallon)</t>
  </si>
  <si>
    <t>Water savings per year (in gallon)</t>
  </si>
  <si>
    <t>Water Savings in your garden (gallons/year)</t>
  </si>
  <si>
    <t>Average precipitation per rainy day at your location</t>
  </si>
  <si>
    <t>According to the EPA, on average, schools use 28% of their water consumption for landscaping purposes.</t>
  </si>
  <si>
    <t>Copper captured and treated</t>
  </si>
  <si>
    <t>Lead captured and treated</t>
  </si>
  <si>
    <t>Zinc captured and treated</t>
  </si>
  <si>
    <t>Nitrogen captured and treated</t>
  </si>
  <si>
    <t>Phosphorus captured and treated</t>
  </si>
  <si>
    <t>Number of students in the school district</t>
  </si>
  <si>
    <t>Average fuel consumption (mpg)</t>
  </si>
  <si>
    <t>https://www.bts.gov/content/average-fuel-efficiency-us-passenger-cars-and-light-trucks</t>
  </si>
  <si>
    <t>N2O kgs</t>
  </si>
  <si>
    <t>CH4 kgs</t>
  </si>
  <si>
    <t>GHG</t>
  </si>
  <si>
    <t>Emission factor</t>
  </si>
  <si>
    <t xml:space="preserve"> Bike to school campaign</t>
  </si>
  <si>
    <t>Carpooling system</t>
  </si>
  <si>
    <t>Distance from school</t>
  </si>
  <si>
    <t>&lt; 1 mile</t>
  </si>
  <si>
    <t>1 - 2 miles</t>
  </si>
  <si>
    <t>2 - 5 miles</t>
  </si>
  <si>
    <t>&gt; 5 miles</t>
  </si>
  <si>
    <t>https://wsdot.wa.gov/sites/default/files/2009/01/09/ATP_WA-2016-Student-Travel-Survey-Report.pdf</t>
  </si>
  <si>
    <t>Average distance that students in Washington travel to school (miles)</t>
  </si>
  <si>
    <t>https://www.schoolbusfleet.com/article/611951/why-miles-matter</t>
  </si>
  <si>
    <t>Average miles travelled per year by a school bus</t>
  </si>
  <si>
    <t>Average MPG for school buses</t>
  </si>
  <si>
    <t>https://afdc.energy.gov/data/10310</t>
  </si>
  <si>
    <t>Average gallons/year</t>
  </si>
  <si>
    <t>https://www.lowcvp.org.uk/Hubs/leb/LEBTechnologies/leb-hybrid.htm</t>
  </si>
  <si>
    <t>MPG improvement thanks to hybrid buses</t>
  </si>
  <si>
    <t>Average MPG for hybrid school buses</t>
  </si>
  <si>
    <t xml:space="preserve">GHG emissions of mobile combustion assuming diesel </t>
  </si>
  <si>
    <t>https://afdc.energy.gov/data/10309</t>
  </si>
  <si>
    <t>Average miles travelled by cars</t>
  </si>
  <si>
    <t>MPG of a new hybrid model</t>
  </si>
  <si>
    <t>https://www.fueleconomy.gov/feg/PowerSearch.do?action=noform&amp;path=3&amp;year1=2017&amp;year2=2018&amp;vtype=Hybrid&amp;srchtyp=newAfv&amp;pageno=1&amp;sortBy=Comb&amp;tabView=0&amp;rowLimit=10</t>
  </si>
  <si>
    <t>SCHOOL BUS</t>
  </si>
  <si>
    <t>HYBRID SCHOOL BUS</t>
  </si>
  <si>
    <t>CAR</t>
  </si>
  <si>
    <t>HYBRID CAR</t>
  </si>
  <si>
    <t>Cost per gallon of gasoline (Aug 2019) in Washington State</t>
  </si>
  <si>
    <t>Cost per gallon of diesel (Aug 2019) in Washington State</t>
  </si>
  <si>
    <t>Total cost saving on fuel ($/year)</t>
  </si>
  <si>
    <t xml:space="preserve"> Change policy so that all purchased district vehicles are hybrid/high MPG</t>
  </si>
  <si>
    <t>Don't see your project listed here? That's okay! Your project can still make an impact on your school community, even if it doesn't lend itself to carbon savings or measurable resource conservation results. Feel free to consider these other options:
- Change pick-up/drop-off policy to be more efficient
Email us at info@wagreenschools.org if you'd like to learn more.</t>
  </si>
  <si>
    <t>Classroom projects water savings (gallons/year)</t>
  </si>
  <si>
    <t>Total water savings (gallons/year)</t>
  </si>
  <si>
    <t>Glossary</t>
  </si>
  <si>
    <t>HEALTHY SCHOOL BUILDINGS references</t>
  </si>
  <si>
    <t>WATER references</t>
  </si>
  <si>
    <t>TRANSPORTATION references</t>
  </si>
  <si>
    <t>Name of your school</t>
  </si>
  <si>
    <t>Title of the point of contact</t>
  </si>
  <si>
    <t>Water</t>
  </si>
  <si>
    <t>Healthy School Buildings</t>
  </si>
  <si>
    <t>Waste &amp; Recycling</t>
  </si>
  <si>
    <t>Transportation</t>
  </si>
  <si>
    <t>School Grounds &amp; Gardens</t>
  </si>
  <si>
    <t>Change all light bulbs to LEDs</t>
  </si>
  <si>
    <t>Install aerators on sinks to increase pressure and reduce flow</t>
  </si>
  <si>
    <t>Use a reusable water bottle or mug</t>
  </si>
  <si>
    <t>Plan a zero waste classroom lunch period</t>
  </si>
  <si>
    <t>Walk to school campaign</t>
  </si>
  <si>
    <t>Bike to school campaign</t>
  </si>
  <si>
    <t xml:space="preserve">Change policy so that all purchased district vehicles are hybrid/high MPG/run on biodiesel </t>
  </si>
  <si>
    <t>Create an aeroponic gardening project</t>
  </si>
  <si>
    <t>PROJECT LIST</t>
  </si>
  <si>
    <t>Address of your school</t>
  </si>
  <si>
    <t>Carbon savings (lbs CO2 / Wh saved)</t>
  </si>
  <si>
    <t>School level avoided VOC (oz/year)</t>
  </si>
  <si>
    <t>Classroom projects avoided VOC (oz/year)</t>
  </si>
  <si>
    <t>School avoided VOC (oz/year)</t>
  </si>
  <si>
    <t>Total bathtubs of water saved</t>
  </si>
  <si>
    <t>Volume of water filtered out by your rain garden (gallons/year)</t>
  </si>
  <si>
    <t>info@wagreenschools.org</t>
  </si>
  <si>
    <t>If you need technical guidance or more information on a project, please email us at:</t>
  </si>
  <si>
    <t>GENERAL INFORMATION</t>
  </si>
  <si>
    <t>Email address of the point of contact</t>
  </si>
  <si>
    <t>Name of the point of contact at your school</t>
  </si>
  <si>
    <t>WASHINGTON GREEN SCHOOLS - ENVIRONMENTAL IMPACT CALCULATOR</t>
  </si>
  <si>
    <t>Average number of flushes per day per person at school or work</t>
  </si>
  <si>
    <t xml:space="preserve">Tips:
</t>
  </si>
  <si>
    <t xml:space="preserve">INSTRUCTIONS:   </t>
  </si>
  <si>
    <t>We use the example of tomato plants in this project, but the example applies to many other vegetables and fruits as well.</t>
  </si>
  <si>
    <t>OPEN PROJECTS</t>
  </si>
  <si>
    <t>Tips:</t>
  </si>
  <si>
    <t xml:space="preserve"> Start a walk to school campaign</t>
  </si>
  <si>
    <t xml:space="preserve"> Start a bike to school campaign</t>
  </si>
  <si>
    <t>MPG</t>
  </si>
  <si>
    <t>Develop a carpooling system</t>
  </si>
  <si>
    <t>Plastic bag Life Cycle Assessment impact</t>
  </si>
  <si>
    <t>Volume of classroom based on classroom size (cubic feet)</t>
  </si>
  <si>
    <t>Typical ceilings (feet)</t>
  </si>
  <si>
    <t>https://odetoclean.com/blogs/fresh-air/which-cleaning-products-are-polluting-your-home-the-most</t>
  </si>
  <si>
    <t>Sample room size (cubic feet)</t>
  </si>
  <si>
    <t>Sample VOC level (oz)</t>
  </si>
  <si>
    <t>Sample VOC level/cubic feet (oz/cubic feet)</t>
  </si>
  <si>
    <t>Baseline level of VOC in classroom (oz)</t>
  </si>
  <si>
    <t>Carpooling</t>
  </si>
  <si>
    <t>Place water savers in toilet tanks to use less water in your toilet</t>
  </si>
  <si>
    <t>Terracycle</t>
  </si>
  <si>
    <t>Choose the location that is the closest to your school</t>
  </si>
  <si>
    <t>VOCs</t>
  </si>
  <si>
    <t>WaterSense</t>
  </si>
  <si>
    <t>Aerator</t>
  </si>
  <si>
    <t>Stencils on drains</t>
  </si>
  <si>
    <t>Tree seedlings</t>
  </si>
  <si>
    <t>Fill cycle diverter</t>
  </si>
  <si>
    <t>Macroinvertebrate</t>
  </si>
  <si>
    <t>About This Tool</t>
  </si>
  <si>
    <t>Results Summary page</t>
  </si>
  <si>
    <t>Background</t>
  </si>
  <si>
    <t>Your Results</t>
  </si>
  <si>
    <t>Data Entry</t>
  </si>
  <si>
    <t>Throughout the calculator, please enter your data in the blue cells only. The white cells will show your environmental and financial impacts.</t>
  </si>
  <si>
    <r>
      <rPr>
        <b/>
        <sz val="11"/>
        <color rgb="FF008041"/>
        <rFont val="Calibri"/>
        <family val="2"/>
        <scheme val="minor"/>
      </rPr>
      <t>DATA ENTRY:</t>
    </r>
    <r>
      <rPr>
        <sz val="11"/>
        <color theme="1"/>
        <rFont val="Calibri"/>
        <family val="2"/>
        <scheme val="minor"/>
      </rPr>
      <t xml:space="preserve"> Please </t>
    </r>
    <r>
      <rPr>
        <b/>
        <sz val="11"/>
        <color theme="1"/>
        <rFont val="Calibri"/>
        <family val="2"/>
        <scheme val="minor"/>
      </rPr>
      <t>fill in only the blue cells</t>
    </r>
    <r>
      <rPr>
        <sz val="11"/>
        <color theme="1"/>
        <rFont val="Calibri"/>
        <family val="2"/>
        <scheme val="minor"/>
      </rPr>
      <t xml:space="preserve"> within each project. Some blue cells are optional, use the tips in Column A to guide you.</t>
    </r>
  </si>
  <si>
    <r>
      <rPr>
        <b/>
        <sz val="11"/>
        <color rgb="FF008041"/>
        <rFont val="Calibri"/>
        <family val="2"/>
        <scheme val="minor"/>
      </rPr>
      <t>PROJECTS:</t>
    </r>
    <r>
      <rPr>
        <sz val="11"/>
        <color theme="1"/>
        <rFont val="Calibri"/>
        <family val="2"/>
        <scheme val="minor"/>
      </rPr>
      <t xml:space="preserve"> If you cannot find a specific project that you think would belong in this category, please check the full list of projects on the Introduction page.</t>
    </r>
  </si>
  <si>
    <r>
      <rPr>
        <b/>
        <sz val="11"/>
        <color rgb="FF008041"/>
        <rFont val="Calibri"/>
        <family val="2"/>
        <scheme val="minor"/>
      </rPr>
      <t xml:space="preserve">SUMMARY: </t>
    </r>
    <r>
      <rPr>
        <sz val="11"/>
        <color theme="1"/>
        <rFont val="Calibri"/>
        <family val="2"/>
        <scheme val="minor"/>
      </rPr>
      <t>At the bottom of the page you'll find a summary of all your project impacts.</t>
    </r>
  </si>
  <si>
    <t>Number of lights in your classroom</t>
  </si>
  <si>
    <t>Cost savings/day</t>
  </si>
  <si>
    <t>Carbon savings if all classrooms did the same (lbs/year)</t>
  </si>
  <si>
    <t>Cost of natural gas at your school ($/cubic feet)*</t>
  </si>
  <si>
    <t>Degrees your thermostat was turned down (degrees Fahrenheit)</t>
  </si>
  <si>
    <t>Don't see your project listed here? That's okay! Your project can still make an impact on your school community, even if it doesn't lend itself to carbon savings or measurable resource conservation results. Feel free to consider these other options:
- Organize a school-wide Watt Watchers campaign
- Replace the weather strippings on windows/doors
Email us at info@wagreenschools.org if you'd like to learn more.</t>
  </si>
  <si>
    <t>Open project: Are you planning to implement a project that is not listed in Projects 1 through 5?
Here is the opportunity to record your impact!</t>
  </si>
  <si>
    <t>The results of your open project is rolled up in the school projects part of the summary section.</t>
  </si>
  <si>
    <t>Cost of water at your school ($/gallons)*</t>
  </si>
  <si>
    <t>Number of faucets in your school building</t>
  </si>
  <si>
    <t>Number of aerators installed</t>
  </si>
  <si>
    <t>Number of leaky faucets fixed</t>
  </si>
  <si>
    <t>Number of leaky showers fixed</t>
  </si>
  <si>
    <t>Number of leaky toilets have fixed</t>
  </si>
  <si>
    <t>Water savings in day (gallons)</t>
  </si>
  <si>
    <t>Water savings in year (gallons)</t>
  </si>
  <si>
    <t>Cost savings in day ($)</t>
  </si>
  <si>
    <t>Cost savings in year ($)</t>
  </si>
  <si>
    <t>Carbon savings (lbs/hour)</t>
  </si>
  <si>
    <t>Watt savings per hour</t>
  </si>
  <si>
    <t>Carbon savings (lbs/day)</t>
  </si>
  <si>
    <t>Carbon savings (lbs/month)</t>
  </si>
  <si>
    <t>Number of leaky irrigation systems fixed</t>
  </si>
  <si>
    <t>Number of students at your school</t>
  </si>
  <si>
    <t>Water savings in day (gallons/day)</t>
  </si>
  <si>
    <t>Water savings in year (gallons/year)</t>
  </si>
  <si>
    <t>Cost savings in day ($/day)</t>
  </si>
  <si>
    <t>Cost savings in year ($/year)</t>
  </si>
  <si>
    <t>Number of fill cycle diverters installed</t>
  </si>
  <si>
    <t>Number of rain barrels installed</t>
  </si>
  <si>
    <t>Cost savings ($/day)</t>
  </si>
  <si>
    <t>Cost savings ($)</t>
  </si>
  <si>
    <t>Implement a School Share Table, donate unwanted food items and compost leftovers</t>
  </si>
  <si>
    <t>Implement a School Share Table</t>
  </si>
  <si>
    <t>Food waste savings (lbs/day)</t>
  </si>
  <si>
    <t>Food waste savings (lbs/year)</t>
  </si>
  <si>
    <t>Cost of waste hauling ($/gallon)*</t>
  </si>
  <si>
    <t>Number of students at your school eating at the school cafeteria</t>
  </si>
  <si>
    <t>Carbon savings (lbs/week)</t>
  </si>
  <si>
    <t>Cost savings ($/week)</t>
  </si>
  <si>
    <t>Total VOC savings (oz/year)</t>
  </si>
  <si>
    <t>School projects water savings (gallons/year)</t>
  </si>
  <si>
    <t>School projects cost savings ($/year)</t>
  </si>
  <si>
    <t>Number of bath tubs</t>
  </si>
  <si>
    <t>Bring a reusable water bottle to school instead of buying plastic water bottles</t>
  </si>
  <si>
    <t>Price of 0.5 liter bottles water at your school*</t>
  </si>
  <si>
    <t>Carbon savings per quarter (lbs)</t>
  </si>
  <si>
    <t>Carbon savings per year (lbs/year)</t>
  </si>
  <si>
    <t>Number of cartridges changed in your school in one quarter of the year</t>
  </si>
  <si>
    <t>Number cartridges changed that were remanufactured cartridges</t>
  </si>
  <si>
    <t>Average one-way commute distance to school (miles)*</t>
  </si>
  <si>
    <t>Number of students who switched from driving to biking</t>
  </si>
  <si>
    <t>Number of students who switched from driving to walking</t>
  </si>
  <si>
    <t>Average number of students who carpool together</t>
  </si>
  <si>
    <t>Average number of days a week students carpooled</t>
  </si>
  <si>
    <t>Number of school buses switched to hybrid/high MPG</t>
  </si>
  <si>
    <t>MPG of new hybrid/ high MPG school bus</t>
  </si>
  <si>
    <t>Number of district cars switched to hybrid/high MPG</t>
  </si>
  <si>
    <t>MPG of new hybrid/high MPG district vehicle</t>
  </si>
  <si>
    <t>Carbon savings on buses (lbs/year)</t>
  </si>
  <si>
    <t>Carbon savings on cars (lbs/year)</t>
  </si>
  <si>
    <t>Cost savings on fuel for buses ($/year)</t>
  </si>
  <si>
    <t>Cost savings on fuel for cars ($/year)</t>
  </si>
  <si>
    <t>School projects carbon savings (lbs/year)</t>
  </si>
  <si>
    <t>Number of tomato plants planted</t>
  </si>
  <si>
    <t>Water savings (gallons/growing cycle)</t>
  </si>
  <si>
    <t>Cost savings on water ($/growing cycle)</t>
  </si>
  <si>
    <t>Water savings (gallons/week)</t>
  </si>
  <si>
    <t>Water savings (gallons/year)</t>
  </si>
  <si>
    <t>Don't see your project listed here? That's okay! Your project can still make an impact on your school community, even if it doesn't lend itself to carbon savings or measurable resource conservation results. Feel free to consider these other options:
- Increase biodiversity on campus
- Plant a pollinator pathway
- Remove invasive species from the school yard
- Create a food pantry with the produce you collect form your community vegetable garden
- Test soil health
Email us at info@wagreenschools.org if you'd like to learn more.</t>
  </si>
  <si>
    <t>Number of additional hours/day that lights are turned off</t>
  </si>
  <si>
    <t>Carpooling in this context is defined as at least two students travel together in a car.</t>
  </si>
  <si>
    <t>Miles per gallon -  indicates how many miles a vehicle can travel using one gallon of fuel.</t>
  </si>
  <si>
    <t>WaterSense, a voluntary partnership program sponsored by the U.S. Environmental Protection Agency (EPA), is both a label for water-efficient products and a resource for helping you save water.</t>
  </si>
  <si>
    <t xml:space="preserve">Example of a stencil on drains: </t>
  </si>
  <si>
    <t>Recommended time for a handwash (minutes)</t>
  </si>
  <si>
    <t>Average number of handwashes per day per student (based on the average number of flushes)</t>
  </si>
  <si>
    <t>Average time faucets are in use per day (minutes)*</t>
  </si>
  <si>
    <t>Cost of water at your school ($/gallons)**</t>
  </si>
  <si>
    <t>*To calculate how long faucets are used a day in your school,  conduct a water audit! Remember to check the faucets in the bathrooms as well as the cafeteria. If you cannot do an audit, just leave this cell empty and the tool will use default values based on the number of students in your school.</t>
  </si>
  <si>
    <t>Greenhouse gas</t>
  </si>
  <si>
    <t>Carbon</t>
  </si>
  <si>
    <t>Lighting type definitions</t>
  </si>
  <si>
    <t>Cost of electricity at your school ($/kWh)**</t>
  </si>
  <si>
    <t>Average number of toilet flushes per day*</t>
  </si>
  <si>
    <t>VOCs definition</t>
  </si>
  <si>
    <t>Categories</t>
  </si>
  <si>
    <t>Your school/classroom's monthly water consumption a year earlier during the same month (in gallons)</t>
  </si>
  <si>
    <t>Your school/classroom's monthly water consumption during the month after the project was implemented (in gallons)</t>
  </si>
  <si>
    <t>If you are uncertain about some terminology, please visit the Glossary Tab to find specific definitions and clarifications.</t>
  </si>
  <si>
    <t>Aerator definition</t>
  </si>
  <si>
    <t>Toilet tank banks displace a certain amount of water equivalent in your toilet tank, which means every flush will use less water.</t>
  </si>
  <si>
    <t>Toilet tank bank</t>
  </si>
  <si>
    <t>General terms</t>
  </si>
  <si>
    <t>Energy terms</t>
  </si>
  <si>
    <t>Water terms</t>
  </si>
  <si>
    <t>Healthy School Building terms</t>
  </si>
  <si>
    <t>Waste and recycling terms</t>
  </si>
  <si>
    <t>Transportation terms</t>
  </si>
  <si>
    <t>Incandescent Lighting</t>
  </si>
  <si>
    <t>Halogen Lighting</t>
  </si>
  <si>
    <t>CFL Lighting</t>
  </si>
  <si>
    <t>Number of toilet tank banks installed</t>
  </si>
  <si>
    <t>Toilet tank banks</t>
  </si>
  <si>
    <t>Stencils on drains definition</t>
  </si>
  <si>
    <t>Macroinvertebrate definition</t>
  </si>
  <si>
    <t>Washington Green Schools would love to hear about your environmental impact. Please complete the “General Information” section below, save the spreadsheet, and then email the tool to info@wagreenschools.org when you are finished.</t>
  </si>
  <si>
    <t>This calculator has been developed by Sustainable Business Consulting on behalf of Washington Green Schools.</t>
  </si>
  <si>
    <t>The projects are categorized as either classroom or school projects. Note: Classroom projects refer to projects that can be carried out by small groups of students, but might have impacts for the whole school (ex. running an anti-idling campaign).</t>
  </si>
  <si>
    <t>Terracycle definition</t>
  </si>
  <si>
    <t>Carpooling definition</t>
  </si>
  <si>
    <t>MPG definition</t>
  </si>
  <si>
    <t>School grounds terms</t>
  </si>
  <si>
    <t xml:space="preserve">Aeroponic gardening is the process of growing plants in an air or mist environment rather than soil. </t>
  </si>
  <si>
    <t>Aeroponic gardening</t>
  </si>
  <si>
    <t>Aeroponic gardening definition</t>
  </si>
  <si>
    <t>A material (such as decaying leaves, bark, or compost) spread around or over a plant to enrich or insulate the soil.</t>
  </si>
  <si>
    <t>Mulch</t>
  </si>
  <si>
    <t>Mulch definition</t>
  </si>
  <si>
    <t>Jump to the summary section</t>
  </si>
  <si>
    <t>Jump to the top of the page</t>
  </si>
  <si>
    <t>Jump to summary section</t>
  </si>
  <si>
    <t>Number of projects completed</t>
  </si>
  <si>
    <t>The amount of waste produced by your school/classroom the month after the project was implemented (lbs)</t>
  </si>
  <si>
    <t>The amount of waste produced by your school/classroom a year earlier during the same month (lbs)</t>
  </si>
  <si>
    <t>School size (sqft)</t>
  </si>
  <si>
    <t>School's average daily electricity consumption (kWh)</t>
  </si>
  <si>
    <t>Average one-way commute for the carpools (miles)*</t>
  </si>
  <si>
    <t>Once you've completed your projects, you can locate your total impact across all project categories in the Results Summary page linked here:</t>
  </si>
  <si>
    <t>Select the type of lights in your classroom*</t>
  </si>
  <si>
    <t>Choose the initial type of light bulbs in your classroom*</t>
  </si>
  <si>
    <t>How many Watts does your light bulbs consume?**</t>
  </si>
  <si>
    <t>Cost of electricity at your school ($/kWh)***</t>
  </si>
  <si>
    <t>**Assuming 6 hours of use per day</t>
  </si>
  <si>
    <t>Energy savings (cubic feet)</t>
  </si>
  <si>
    <t>U.S. Energy Information Administration, Office of Energy Consumption and Efficiency Statistics, Form EIA-871A of the 2012 Commercial Buildings Energy Consumption Survey.</t>
  </si>
  <si>
    <t xml:space="preserve">Education buildings yearly average natural gas consumption per square foot (cubic feet) </t>
  </si>
  <si>
    <t>Daily electricity consumption after the installation of sensors (kWh)</t>
  </si>
  <si>
    <t>Energy savings (kWh)</t>
  </si>
  <si>
    <t>Savings per month (kWhs)</t>
  </si>
  <si>
    <t>Water filtered by your rain garden(s) in a year (gallons/year)</t>
  </si>
  <si>
    <t>Water savings in a year (gallons/year)</t>
  </si>
  <si>
    <t>Cost savings in a year ($/year)</t>
  </si>
  <si>
    <t>Total carbon saving (lbs/year)</t>
  </si>
  <si>
    <t>EPA</t>
  </si>
  <si>
    <t>United States Environmental Protection Agency</t>
  </si>
  <si>
    <t>*If you are  not sure of the type of lights used in your classroom, choose 'Not sure' from the dropdown menu.</t>
  </si>
  <si>
    <t>Fill cycle diverter definition</t>
  </si>
  <si>
    <t>Average waiting time of cars in front of the school (minutes)*</t>
  </si>
  <si>
    <t>A medium growth coniferous or deciduous tree, planted in an urban setting and allowed to grow for 10 years. For a detailed definition please see: 
https://www.epa.gov/energy/greenhouse-gases-equivalencies-calculator-calculations-and-references#seedlings</t>
  </si>
  <si>
    <r>
      <rPr>
        <b/>
        <sz val="11"/>
        <color rgb="FF008041"/>
        <rFont val="Calibri"/>
        <family val="2"/>
        <scheme val="minor"/>
      </rPr>
      <t>PROJECTS:</t>
    </r>
    <r>
      <rPr>
        <sz val="11"/>
        <color theme="1"/>
        <rFont val="Calibri"/>
        <family val="2"/>
        <scheme val="minor"/>
      </rPr>
      <t xml:space="preserve"> If you cannot find a specific project that you think would belong in this category, please check the full list of projects on the Introduction page. 
Please note that the anti idling project has been assigned to the Healthy School Building category due to its impact on air quality.</t>
    </r>
  </si>
  <si>
    <t>Send Your Results to Us!</t>
  </si>
  <si>
    <r>
      <rPr>
        <b/>
        <sz val="11"/>
        <color rgb="FF008041"/>
        <rFont val="Calibri"/>
        <family val="2"/>
        <scheme val="minor"/>
      </rPr>
      <t>WATER</t>
    </r>
    <r>
      <rPr>
        <sz val="11"/>
        <color theme="1"/>
        <rFont val="Calibri"/>
        <family val="2"/>
        <scheme val="minor"/>
      </rPr>
      <t>: About 71% of the Earth is covered by water but only 3% of it is fresh water. Despite their importance to life as a drinking water source, sustaining crops through irrigation, providing food in the form of fish, powering homes through dams and moving goods by barges – freshwater habitats are disappearing at an alarming rate.</t>
    </r>
  </si>
  <si>
    <r>
      <rPr>
        <b/>
        <sz val="11"/>
        <color rgb="FF008041"/>
        <rFont val="Calibri"/>
        <family val="2"/>
        <scheme val="minor"/>
      </rPr>
      <t>HEALTHY SCHOOL BUILDINGS:</t>
    </r>
    <r>
      <rPr>
        <sz val="11"/>
        <color theme="1"/>
        <rFont val="Calibri"/>
        <family val="2"/>
        <scheme val="minor"/>
      </rPr>
      <t xml:space="preserve"> School Buildings have a significant impact on students - access to thermal control, access to natural light and quality air all contribute to improving student well-being and educational outcomes.</t>
    </r>
  </si>
  <si>
    <r>
      <rPr>
        <b/>
        <sz val="11"/>
        <color rgb="FF008041"/>
        <rFont val="Calibri"/>
        <family val="2"/>
        <scheme val="minor"/>
      </rPr>
      <t>WASTE AND RECYCLING:</t>
    </r>
    <r>
      <rPr>
        <sz val="11"/>
        <color theme="1"/>
        <rFont val="Calibri"/>
        <family val="2"/>
        <scheme val="minor"/>
      </rPr>
      <t xml:space="preserve"> The Environmental Protection Agency estimates that 75% of the American waste stream is recyclable, but we only recycle about 30% of it.</t>
    </r>
  </si>
  <si>
    <r>
      <rPr>
        <b/>
        <sz val="11"/>
        <color rgb="FF008041"/>
        <rFont val="Calibri"/>
        <family val="2"/>
        <scheme val="minor"/>
      </rPr>
      <t>TRANSPORTATION</t>
    </r>
    <r>
      <rPr>
        <sz val="11"/>
        <color theme="1"/>
        <rFont val="Calibri"/>
        <family val="2"/>
        <scheme val="minor"/>
      </rPr>
      <t>: In Washington State transportation is the largest contributor to carbon emissions, representing 42% of the total.</t>
    </r>
  </si>
  <si>
    <r>
      <rPr>
        <b/>
        <sz val="11"/>
        <color rgb="FF008041"/>
        <rFont val="Calibri"/>
        <family val="2"/>
        <scheme val="minor"/>
      </rPr>
      <t>PROJECT RESET:</t>
    </r>
    <r>
      <rPr>
        <sz val="11"/>
        <color theme="1"/>
        <rFont val="Calibri"/>
        <family val="2"/>
        <scheme val="minor"/>
      </rPr>
      <t xml:space="preserve">  To reset a project back to zero, select all blue cells within the project, right click and click on the 'Clear contents' selection. 
</t>
    </r>
    <r>
      <rPr>
        <b/>
        <sz val="11"/>
        <color theme="1"/>
        <rFont val="Calibri"/>
        <family val="2"/>
        <scheme val="minor"/>
      </rPr>
      <t>Project 1 &amp; 2:</t>
    </r>
    <r>
      <rPr>
        <sz val="11"/>
        <color theme="1"/>
        <rFont val="Calibri"/>
        <family val="2"/>
        <scheme val="minor"/>
      </rPr>
      <t xml:space="preserve"> Reset the dropdown menu cells to 'Select from the list' and then clear the content of the other blue cells. </t>
    </r>
  </si>
  <si>
    <r>
      <rPr>
        <b/>
        <sz val="11"/>
        <color rgb="FF008041"/>
        <rFont val="Calibri"/>
        <family val="2"/>
        <scheme val="minor"/>
      </rPr>
      <t>PROJECT RESET:</t>
    </r>
    <r>
      <rPr>
        <sz val="11"/>
        <color theme="1"/>
        <rFont val="Calibri"/>
        <family val="2"/>
        <scheme val="minor"/>
      </rPr>
      <t xml:space="preserve">   To reset a project back to zero, select all blue cells within the project, right click and click on the 'Clear contents' selection. 
</t>
    </r>
    <r>
      <rPr>
        <b/>
        <sz val="11"/>
        <color theme="1"/>
        <rFont val="Calibri"/>
        <family val="2"/>
        <scheme val="minor"/>
      </rPr>
      <t xml:space="preserve">Project 5: </t>
    </r>
    <r>
      <rPr>
        <sz val="11"/>
        <color theme="1"/>
        <rFont val="Calibri"/>
        <family val="2"/>
        <scheme val="minor"/>
      </rPr>
      <t xml:space="preserve">Reset the dropdown menu cells to 'Select from the list' and then clear the content of the other blue cells. </t>
    </r>
  </si>
  <si>
    <r>
      <rPr>
        <b/>
        <sz val="11"/>
        <color rgb="FF008041"/>
        <rFont val="Calibri"/>
        <family val="2"/>
        <scheme val="minor"/>
      </rPr>
      <t>PROJECT RESET:</t>
    </r>
    <r>
      <rPr>
        <sz val="11"/>
        <color theme="1"/>
        <rFont val="Calibri"/>
        <family val="2"/>
        <scheme val="minor"/>
      </rPr>
      <t xml:space="preserve">   To reset a project back to zero, select all blue cells within the project, right click and click on the 'Clear contents' selection. </t>
    </r>
  </si>
  <si>
    <t>Carbon savings if in sleep mode  (lbs/day)**</t>
  </si>
  <si>
    <t>Carbon savings if in sleep mode (lbs/year)</t>
  </si>
  <si>
    <t>Carbon savings if turned off (lbs/day)**</t>
  </si>
  <si>
    <t>Carbon savings if turned off (lbs/year)</t>
  </si>
  <si>
    <t>Your school/classroom's monthly electricity consumption a year earlier during the same month (in kWh)</t>
  </si>
  <si>
    <t>Your school/classroom's monthly electricity consumption during the month after the project was implemented (in kWh)</t>
  </si>
  <si>
    <t>Don't see your project listed here? That's okay! Your project can still make an impact on your school community, even if it doesn't lend itself to carbon savings or measurable resource conservation results. Feel free to consider these other options:
- Organize a school-wide Water Watchers campaign (i.e. reduce water use in the bathroom)
- Install water conservative appliances
- Don’t water lawn during summer break 
- Improve water quality: 
                -  Use environmentally friendly car wash
                 - Apply stencils on drains
                 - Conduct a macroinvertebrate survey (macroinvertabrates are snails, clams, crayfish, dragonflies)
Email us at info@wagreenschools.org if you'd like to learn more.</t>
  </si>
  <si>
    <t>Don't see your project listed here? That's okay! Your project can still make an impact on your school community, even if it doesn't lend itself to carbon savings or measurable resource conservation results. Feel free to consider these other options:
- Improve indoor air quality by using plants, fans, filters etc
- Introduce regular outdoor time
- Work with nutrition services to procure local food or grow food on campus and serve in the cafeteria
- Reduce/eliminate amount of harmful chemicals used on school grounds 
Email us at info@wagreenschools.org if you'd like to learn more.</t>
  </si>
  <si>
    <t>In an incandescent, electric current runs through a wire within a bulb and heats the wire until it starts to glow.</t>
  </si>
  <si>
    <t>The halogen light bulb or lamp is a type of incandescent lamp which uses a halogen gas to create light.</t>
  </si>
  <si>
    <t>This lighting uses a tube which is curved or folded to generate light via an electric current, argon and a small amount of mercury vapor which excites a fluorescent coating (called phosphor) on the inside of the tube, which then emits visible light.</t>
  </si>
  <si>
    <t>A company that focuses on turning hard-to-recycle materials, such as ocean plastic, into new products.</t>
  </si>
  <si>
    <t>Gases that trap heat in the atmosphere are called greenhouse gases. Some examples include: Carbon dioxide (CO2), Methane (CH4), Nitrous oxide (N2O), Fluorinated gases.</t>
  </si>
  <si>
    <t>Abbreviation used in this tool to represent Carbon Dioxide equivalency emissions, which includes the carbon impacts of CO2, CH4 and N2O emissions in one unit.</t>
  </si>
  <si>
    <t>Aerators are small parts placed on the end of faucets, with small mesh screens that break up the flow of water into multiple small streams, adding air in between. By diluting the water stream with air, aerators significantly reduce the volume of water flowing from your faucet. They do this while maintaining the feeling of a high-pressure flow. Aerators also reduce splashing in sinks.</t>
  </si>
  <si>
    <t xml:space="preserve">The Fill Cycle Diverter helps save water and money by diverting part of the water  that would normally fill the toilet bowl to the tank. </t>
  </si>
  <si>
    <t>Macroinvertebrate, any animal lacking a backbone and large enough to see without the aid of a microscope (ex. snails, clams, crayfish, dragonflies, flatworms)</t>
  </si>
  <si>
    <t>Volatile Organic Compounds: Vapors or gases released from consumer products including: paints and thinners, adhesives, glues, air fresheners, copy machines, pesticides.</t>
  </si>
  <si>
    <t>Recommended number of worms to start a worm bin</t>
  </si>
  <si>
    <t>Weight of 1000 worms (pound)</t>
  </si>
  <si>
    <r>
      <rPr>
        <b/>
        <sz val="11"/>
        <color rgb="FF008041"/>
        <rFont val="Calibri"/>
        <family val="2"/>
        <scheme val="minor"/>
      </rPr>
      <t>ENERGY:</t>
    </r>
    <r>
      <rPr>
        <sz val="11"/>
        <color theme="1"/>
        <rFont val="Calibri"/>
        <family val="2"/>
        <scheme val="minor"/>
      </rPr>
      <t xml:space="preserve"> Electricity production (generation, transmission and distribution) accounts for 28% of the total US carbon emissions.</t>
    </r>
  </si>
  <si>
    <t>The projects have been organized according to the six Washington Green Schools certification categories, however many of them could fit into more than one category. Please review the full project list down below before you get started and identify your favorite one(s).</t>
  </si>
  <si>
    <t>Number of schools in your district</t>
  </si>
  <si>
    <t>TOTAL IMPACTS FOR ALL SCHOOLS</t>
  </si>
  <si>
    <t>CONVERSIONS</t>
  </si>
  <si>
    <r>
      <rPr>
        <b/>
        <sz val="8"/>
        <color theme="3" tint="-0.249977111117893"/>
        <rFont val="Calibri"/>
        <family val="2"/>
        <scheme val="minor"/>
      </rPr>
      <t>Emission</t>
    </r>
    <r>
      <rPr>
        <sz val="8"/>
        <color theme="3" tint="-0.249977111117893"/>
        <rFont val="Calibri"/>
        <family val="2"/>
        <scheme val="minor"/>
      </rPr>
      <t xml:space="preserve"> Factor, 30% recycled</t>
    </r>
  </si>
  <si>
    <r>
      <rPr>
        <b/>
        <sz val="8"/>
        <color theme="3" tint="-0.249977111117893"/>
        <rFont val="Calibri"/>
        <family val="2"/>
        <scheme val="minor"/>
      </rPr>
      <t>Emission</t>
    </r>
    <r>
      <rPr>
        <sz val="8"/>
        <color theme="3" tint="-0.249977111117893"/>
        <rFont val="Calibri"/>
        <family val="2"/>
        <scheme val="minor"/>
      </rPr>
      <t xml:space="preserve"> Factor, 50% recycled</t>
    </r>
  </si>
  <si>
    <r>
      <rPr>
        <b/>
        <sz val="8"/>
        <color theme="3" tint="-0.249977111117893"/>
        <rFont val="Calibri"/>
        <family val="2"/>
        <scheme val="minor"/>
      </rPr>
      <t>Emission</t>
    </r>
    <r>
      <rPr>
        <sz val="8"/>
        <color theme="3" tint="-0.249977111117893"/>
        <rFont val="Calibri"/>
        <family val="2"/>
        <scheme val="minor"/>
      </rPr>
      <t xml:space="preserve"> </t>
    </r>
    <r>
      <rPr>
        <sz val="11"/>
        <color theme="3" tint="-0.249977111117893"/>
        <rFont val="Calibri"/>
        <family val="2"/>
        <scheme val="minor"/>
      </rPr>
      <t>Factor, 30% recycled</t>
    </r>
  </si>
  <si>
    <r>
      <rPr>
        <b/>
        <sz val="8"/>
        <color theme="3" tint="-0.249977111117893"/>
        <rFont val="Calibri"/>
        <family val="2"/>
        <scheme val="minor"/>
      </rPr>
      <t>E</t>
    </r>
    <r>
      <rPr>
        <b/>
        <sz val="11"/>
        <color theme="3" tint="-0.249977111117893"/>
        <rFont val="Calibri"/>
        <family val="2"/>
        <scheme val="minor"/>
      </rPr>
      <t>mission</t>
    </r>
    <r>
      <rPr>
        <sz val="11"/>
        <color theme="3" tint="-0.249977111117893"/>
        <rFont val="Calibri"/>
        <family val="2"/>
        <scheme val="minor"/>
      </rPr>
      <t xml:space="preserve"> Factor, 50% recycled</t>
    </r>
  </si>
  <si>
    <r>
      <t xml:space="preserve">Landscaping's </t>
    </r>
    <r>
      <rPr>
        <sz val="11"/>
        <rFont val="Calibri"/>
        <family val="2"/>
        <scheme val="minor"/>
      </rPr>
      <t>share</t>
    </r>
    <r>
      <rPr>
        <sz val="11"/>
        <color theme="1"/>
        <rFont val="Calibri"/>
        <family val="2"/>
        <scheme val="minor"/>
      </rPr>
      <t xml:space="preserve"> in educational institutions water consumption</t>
    </r>
  </si>
  <si>
    <t>SCHOOL GROUNDS &amp; GARDENS</t>
  </si>
  <si>
    <r>
      <rPr>
        <b/>
        <sz val="11"/>
        <color rgb="FF008041"/>
        <rFont val="Calibri"/>
        <family val="2"/>
        <scheme val="minor"/>
      </rPr>
      <t>SCHOOL GROUNDS &amp; GARDENS</t>
    </r>
    <r>
      <rPr>
        <sz val="11"/>
        <color theme="1"/>
        <rFont val="Calibri"/>
        <family val="2"/>
        <scheme val="minor"/>
      </rPr>
      <t>: School grounds can provide the means to engage students to learn, act and appreciate the importance of a vibrant and healthy natural environment.</t>
    </r>
  </si>
  <si>
    <t>Plant a community vegetable or herb garden</t>
  </si>
  <si>
    <t>Learn how to make DIY natural cleaning products (ex. vinegar + water mix)</t>
  </si>
  <si>
    <t>Introduce Meatless Mondays</t>
  </si>
  <si>
    <t>Try “Meatless” Monday</t>
  </si>
  <si>
    <t>Develop carpooling arrangements between families</t>
  </si>
  <si>
    <t>Implement School-Wide composting</t>
  </si>
  <si>
    <t>Start a worm bin at your school</t>
  </si>
  <si>
    <t>Start a worm bin for your classroom</t>
  </si>
  <si>
    <t>Total pounds composted each week</t>
  </si>
  <si>
    <t>PROJECT #7</t>
  </si>
  <si>
    <t>Start a worm bin for classroom</t>
  </si>
  <si>
    <t>Cost savings per week ($)</t>
  </si>
  <si>
    <t>SCHOOL GROUNDS &amp; GARDENS references</t>
  </si>
  <si>
    <t>Don't see your project listed here? That's okay! Your project can still make an impact on your school community, even if it doesn't lend itself to carbon savings or measurable resource conservation results. Feel free to consider these other options:
- Compost paper towels in the bathroom
- Cooperate with Terracycle for recycling glue sticks etc.
- Pick up litter
- Improve waste sorting in the lunch room
- Install a milk dispenser to eliminate milk cartons
- Switch to durable lunch trays and/or reusable silverware
- Purchase a water filter or water refillable station instead of encouraging bottled water usage
- Implement a “Take What You Can Eat” policy
- Compost food leftovers
Email us at info@wagreenschools.org if you'd like to learn more.</t>
  </si>
  <si>
    <t>Water saving from evaporation when mulch applied</t>
  </si>
  <si>
    <t>Return on investment for vegetables according to a Burpee Seeds study</t>
  </si>
  <si>
    <t>average fuel efficiency for 2008  (miles/gallon)</t>
  </si>
  <si>
    <t>lbs. CO2e of 1 gallon of fuel (assumed 25.29 mpg)</t>
  </si>
  <si>
    <t>CO2 e saved from non idling car for an hour (lbs.)</t>
  </si>
  <si>
    <t>Food waste diverted in San Diego school district 2016-2018 (lbs.)</t>
  </si>
  <si>
    <t>Average food waste diverted per year (lbs.)</t>
  </si>
  <si>
    <t>Average food waste diverted per year per school (lbs.)</t>
  </si>
  <si>
    <t>Weight of average lunch waste per student per year (lbs.)</t>
  </si>
  <si>
    <t>CO2 e per pound of consumed beef (lbs.)</t>
  </si>
  <si>
    <t>CO2 e per pounds of consumed beans (lbs.)</t>
  </si>
  <si>
    <t>Average meat/meat alternate requirement per day for K-5 (lbs.)</t>
  </si>
  <si>
    <t>lbs. CO2e of 1 gallon of fuel (assumed 6.33 mpg)</t>
  </si>
  <si>
    <t>lbs. CO2e of 1 gallon of fuel (assumed 8.23 mpg)</t>
  </si>
  <si>
    <t>lbs. CO2e of 1 gallon of fuel (assumed mpg provided by school in Transportation D51)</t>
  </si>
  <si>
    <t>lbs. CO2e of 1 gallon of fuel (assumed 50 mpg)</t>
  </si>
  <si>
    <t>CO2 Factor (lbs./scf)</t>
  </si>
  <si>
    <t>CH4 Factor (lbs./scf)</t>
  </si>
  <si>
    <t>N2O Factor (lbs./scf)</t>
  </si>
  <si>
    <t>CO2e (lbs./scf)</t>
  </si>
  <si>
    <t>CO2 Factor (lbs./MWh)</t>
  </si>
  <si>
    <t>CH4 Factor (lbs./MWh)</t>
  </si>
  <si>
    <t>N2O Factor (lbs./MWh)</t>
  </si>
  <si>
    <t>CO2 Factor (lbs./KWh)</t>
  </si>
  <si>
    <t>CH4 Factor (lbs./KWh)</t>
  </si>
  <si>
    <t>N2O Factor (lbs./KWh)</t>
  </si>
  <si>
    <t>CO2e Factor (lbs./KWh)</t>
  </si>
  <si>
    <t>Halogen lighting</t>
  </si>
  <si>
    <t>Saving calculator for ENERGY STAR certified light bulbs</t>
  </si>
  <si>
    <t>Average weight of a 0.5 liter PET water bottle (lbs.)</t>
  </si>
  <si>
    <t>Total weight of matter eaten by a worm bin in a year (lbs.)</t>
  </si>
  <si>
    <t>Based on 'Paper calculation' sheet - calculations based on a sample of Office Depot products available in July 2019</t>
  </si>
  <si>
    <t>lbs. CO2/lbs.</t>
  </si>
  <si>
    <t>Utilize a milk dispenser instead of individual cartons</t>
  </si>
  <si>
    <t>Number of cartons used per day</t>
  </si>
  <si>
    <t>Milk Dispenser vs Carton</t>
  </si>
  <si>
    <t>Amount of waste per carton (lbs)</t>
  </si>
  <si>
    <t>https://www.waste360.com/mag/waste_profiles_garbage_aseptic</t>
  </si>
  <si>
    <t>Cost savings per year ($/year)</t>
  </si>
  <si>
    <t>Carbon savings compared to landfill (lbs/year)</t>
  </si>
  <si>
    <t>Carbon savings compared to landfill (lbs/week)</t>
  </si>
  <si>
    <t>PROJECT #8</t>
  </si>
  <si>
    <t>Use durable trays versus disposable</t>
  </si>
  <si>
    <t>Durable trays versus disposable</t>
  </si>
  <si>
    <t>Amount of waste per disposable tray (lbs)</t>
  </si>
  <si>
    <t>Cost of styrofoam tray ($/tray)</t>
  </si>
  <si>
    <t>Cost of durable plate ($/tray)</t>
  </si>
  <si>
    <t>https://www.genpak.com/product/school-lunch-trays/</t>
  </si>
  <si>
    <t>https://www.webstaurantstore.com/genpak-10500-10-3-8-x-8-3-8-x-1-3-16-5-compartment-white-foam-school-tray-case/37410500%20%20%20%20WHITE.html</t>
  </si>
  <si>
    <t>https://www.webstaurantstore.com/carlisle-kl44485-4-compartment-dark-cranberry-melamine-tray-11-x-8-11-16/271KL444GRNT.html</t>
  </si>
  <si>
    <t>Number of trays used per day</t>
  </si>
  <si>
    <t>PROJECT #9</t>
  </si>
  <si>
    <t>Install refillable water stations</t>
  </si>
  <si>
    <t>Estimated number of refills per student per day</t>
  </si>
  <si>
    <t>Refillable station</t>
  </si>
  <si>
    <t>Waste per bottle (lb)</t>
  </si>
  <si>
    <t>PROJECT #10</t>
  </si>
  <si>
    <t>Install refillable water stations to reduce bottled water</t>
  </si>
  <si>
    <t>Total potential lbs of waste</t>
  </si>
  <si>
    <t>The associated cost savings from planting your own vegetable garden come from reduced transportation and labor costs at the commercial level.</t>
  </si>
  <si>
    <t>Plant raised garden beds</t>
  </si>
  <si>
    <t>Purchase remanufacturd cartridges</t>
  </si>
  <si>
    <t>Raised beds offer better control of your soil, and better soil (organice matter) will quadruple the holding capacity of water of the soil!</t>
  </si>
  <si>
    <t>Number of raised garden beds</t>
  </si>
  <si>
    <t>https://www.groworganic.com/organic-gardening/articles/water-conservation-tips-in-vegetable-gardens</t>
  </si>
  <si>
    <t>Water savings from raised beds (4x water holding capacity)</t>
  </si>
  <si>
    <t>https://www.almanac.com/content/when-water-your-vegetable-garden-watering-chart</t>
  </si>
  <si>
    <t>One inch of water per week cubic inches</t>
  </si>
  <si>
    <t>Average cubic square inch of your garden bed</t>
  </si>
  <si>
    <t>Total cubic square inch</t>
  </si>
  <si>
    <t>For addditional resources and help visit this page:</t>
  </si>
  <si>
    <t>www.wagreenschools.org/carbon-calculator-resources/</t>
  </si>
  <si>
    <t>Typical water per year (inch)</t>
  </si>
  <si>
    <t>Organic soil water per year (inch)</t>
  </si>
  <si>
    <t>Water savings</t>
  </si>
  <si>
    <t xml:space="preserve">*To calculate how many times the toilets are flushed in your school per day, conduct a toilet audit! If that is not of your taste, the tool will assume 3 flushes per student per day.
</t>
  </si>
  <si>
    <t>Number of students participating in the carpooling system</t>
  </si>
  <si>
    <t>**If you don't know the cost of electricity that your school pays per kWh, leave Cell D22 blank. The tool will use the average cost of electricity in Washington state in this case.</t>
  </si>
  <si>
    <t xml:space="preserve">**Each light bulb type has its own  energy consumption levels. For example, Incandescent bulbs typically use 40 W / 60 W /75 W /100 W. When you fill in this project, please make sure to pick the light bulb type first (Cell D35) and then the Watts (Cell D36).
</t>
  </si>
  <si>
    <t>***If you don't know the cost of electricity that your school pays per kWh, leave Cell D39 blank. The tool will use the average cost of electricity in Washington state in this case.</t>
  </si>
  <si>
    <t>*If you don't know the cost of electricity that your school pays per kWh, leave Cell D56 blank. The tool will use the average cost of electricity in Washington state in this case.</t>
  </si>
  <si>
    <t>* If you don't know the cost of natural gas that your school pays per cubic feet, leave Cell D96 blank. The tool will use the average cost of natural gas in Washington state in this case.</t>
  </si>
  <si>
    <t>* If you don't know the cost of electricity that your school pays per kWh, leave Cell D110 blank. The tool will use the average cost of electricity in Washington state in this case.</t>
  </si>
  <si>
    <t>* If you don't know the cost of electricity that your school pays per kWh, leave Cell D134 blank. The tool will use the average cost of electricity in Washington state in this case.</t>
  </si>
  <si>
    <t>**If you don't know the cost of water at your school, leave Cell D34 blank. The tool will use the average cost of water in Seattle.</t>
  </si>
  <si>
    <t>*If you don't know the cost of water at your school, leave Cell D49 blank. The tool will use the average cost of water in Seattle.</t>
  </si>
  <si>
    <t>**If you don't know the cost of water at your school, leave Cell D62 blank. The tool will use the average cost of water in Seattle.</t>
  </si>
  <si>
    <t>*If you don't know the cost of water at your school, leave Cell D74 blank. The tool will use the average cost of water in Seattle.</t>
  </si>
  <si>
    <t>*If you don't know the cost of water at your school, leave Cell D106 blank. The tool will use the average cost of water in Seattle.</t>
  </si>
  <si>
    <t>*If you are not sure how long the cars wait on average in front of your school, leave cell D33 empty. The tool will use an average of 15 minutes/car in this case.</t>
  </si>
  <si>
    <t>*If you don't know the cost of waste hauling at your school, leave Cell D46 blank. In this case, the tool will use a generic cost of waste hauling In Washington.</t>
  </si>
  <si>
    <t>*If you don't know the cost of bottled water at your school, leave Cell D19 blank. The tool will use the average cost of bottled water in this case ($1).</t>
  </si>
  <si>
    <t>*If you don't know the cost of waste hauling at your school, leave Cell D50 blank. In this case, the tool will use a generic cost of waste hauling In Washington.</t>
  </si>
  <si>
    <t>*If you don't know the cost of waste hauling at your school, leave Cell D94 blank. In this case, the tool will use a generic cost of waste hauling In Washington.</t>
  </si>
  <si>
    <t>*If you don't know the cost of waste hauling at your school, leave Cell D105 blank. In this case, the tool will use a generic cost of waste hauling In Washington.</t>
  </si>
  <si>
    <t>*If you don't know the cost of waste hauling at your school, leave Cell D118 blank. In this case, the tool will use a generic cost of waste hauling In Washington.</t>
  </si>
  <si>
    <t>*If you don't know the cost of waste hauling at your school, leave Cell D131 blank. In this case, the tool will use a generic cost of waste hauling In Washington.</t>
  </si>
  <si>
    <t>*If you don't know the average commute distance at your school, leave Cell D20 blank. The tool will use 2.42 miles in this case.</t>
  </si>
  <si>
    <t>*If you don't know the average commute distance at your school, just leave Cell D31 blank. The tool will use 2.42 miles in this case.</t>
  </si>
  <si>
    <t>*If you don't know the average commute distance at your school,  leave Cell D44 blank. The tool will use 2.42 miles in this case.</t>
  </si>
  <si>
    <t>*If you don't know the MPGs of your new bus/car, leave Cell D57 and D59 blank. The tool will use an efficiency increase of 30%  and 50% over traditional school buses/cars, respectively.</t>
  </si>
  <si>
    <t>*If you don't know the cost of water at your school, leave Cell D19 blank. The tool will use the average cost of water in Seattle.</t>
  </si>
  <si>
    <t>*If you don't know the cost of water at your school, leave Cell D33 blank. The tool will use the average cost of water in Seattle.</t>
  </si>
  <si>
    <t>*If you don't know the cost of water at your school, leave Cell D47 blank. The tool will use the average cost of water in Seattle.</t>
  </si>
  <si>
    <t>*If you don't know the cost of water at your school, leave Cell D60 blank. The tool will use the average cost of water in Seattle.</t>
  </si>
  <si>
    <t>This calculator has been created for Washington Green Schools to help you measure the potential environmental benefits of classroom and school level sustainability projects carried out by student groups. Environmental impacts calculated within this tool cover the major greenhouse gases required for reporting including: carbon dioxide (CO2), methane (CH4) and nitrous oxide (N2O). For the purposes of this tool, we use "CO2" which represents an equivalency factor that includes the impact of all 3 gases.</t>
  </si>
  <si>
    <r>
      <rPr>
        <b/>
        <sz val="11"/>
        <color rgb="FF008041"/>
        <rFont val="Calibri"/>
        <family val="2"/>
        <scheme val="minor"/>
      </rPr>
      <t>PROJECT PERIOD:</t>
    </r>
    <r>
      <rPr>
        <sz val="11"/>
        <color theme="1"/>
        <rFont val="Calibri"/>
        <family val="2"/>
        <scheme val="minor"/>
      </rPr>
      <t xml:space="preserve"> Enter the dates of your project as a reference point - this will not pro-rate your results (ex. March is Non-Idling month, therefore 03/19-03-19)</t>
    </r>
  </si>
  <si>
    <t>Project period (MM/YY - MM/YY) - will not pro-rate results</t>
  </si>
  <si>
    <t>Copyright 2020 Washington Green Schools. All rights reserved.</t>
  </si>
  <si>
    <t>Open project: Are you planning to implement a project that is not listed in Project 1 through 9?
Here is the opportunity to record your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</si>
</sst>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_(&quot;$&quot;* \(#,##0.00\);_(&quot;$&quot;* &quot;-&quot;??_);_(@_)"/>
    <numFmt numFmtId="43" formatCode="_(* #,##0.00_);_(* \(#,##0.00\);_(* &quot;-&quot;??_);_(@_)"/>
    <numFmt numFmtId="164" formatCode="#,##0.00000"/>
    <numFmt numFmtId="165" formatCode="0.0000"/>
    <numFmt numFmtId="166" formatCode="#,##0.000"/>
    <numFmt numFmtId="167" formatCode="0.0"/>
    <numFmt numFmtId="168" formatCode="_(* #,##0.000000000_);_(* \(#,##0.000000000\);_(* &quot;-&quot;??_);_(@_)"/>
    <numFmt numFmtId="169" formatCode="0.000"/>
    <numFmt numFmtId="170" formatCode="_(* #,##0.0_);_(* \(#,##0.0\);_(* &quot;-&quot;??_);_(@_)"/>
    <numFmt numFmtId="171" formatCode="_(* #,##0_);_(* \(#,##0\);_(* &quot;-&quot;??_);_(@_)"/>
  </numFmts>
  <fonts count="5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Arial"/>
      <family val="2"/>
    </font>
    <font>
      <u/>
      <sz val="11"/>
      <color theme="10"/>
      <name val="Calibri"/>
      <family val="2"/>
      <scheme val="minor"/>
    </font>
    <font>
      <b/>
      <sz val="14"/>
      <color theme="0"/>
      <name val="Calibri"/>
      <family val="2"/>
      <scheme val="minor"/>
    </font>
    <font>
      <sz val="10"/>
      <name val="Arial"/>
      <family val="2"/>
    </font>
    <font>
      <sz val="9"/>
      <color theme="1"/>
      <name val="Calibri"/>
      <family val="2"/>
      <scheme val="minor"/>
    </font>
    <font>
      <b/>
      <sz val="9"/>
      <color indexed="81"/>
      <name val="Tahoma"/>
      <family val="2"/>
    </font>
    <font>
      <sz val="9"/>
      <color indexed="81"/>
      <name val="Tahoma"/>
      <family val="2"/>
    </font>
    <font>
      <sz val="11"/>
      <color theme="1"/>
      <name val="Calibri"/>
      <family val="2"/>
      <scheme val="minor"/>
    </font>
    <font>
      <b/>
      <sz val="11"/>
      <color rgb="FF008041"/>
      <name val="Calibri"/>
      <family val="2"/>
      <scheme val="minor"/>
    </font>
    <font>
      <sz val="11"/>
      <color rgb="FFFDB933"/>
      <name val="Calibri"/>
      <family val="2"/>
      <scheme val="minor"/>
    </font>
    <font>
      <b/>
      <sz val="14"/>
      <color rgb="FF008041"/>
      <name val="Calibri"/>
      <family val="2"/>
      <scheme val="minor"/>
    </font>
    <font>
      <b/>
      <sz val="16"/>
      <color rgb="FF80C342"/>
      <name val="Calibri"/>
      <family val="2"/>
      <scheme val="minor"/>
    </font>
    <font>
      <sz val="20"/>
      <color theme="0"/>
      <name val="Calibri"/>
      <family val="2"/>
      <scheme val="minor"/>
    </font>
    <font>
      <b/>
      <sz val="11"/>
      <color rgb="FF26583A"/>
      <name val="Calibri"/>
      <family val="2"/>
      <scheme val="minor"/>
    </font>
    <font>
      <b/>
      <sz val="9"/>
      <color rgb="FF000000"/>
      <name val="Tahoma"/>
      <family val="2"/>
    </font>
    <font>
      <sz val="9"/>
      <color rgb="FF000000"/>
      <name val="Tahoma"/>
      <family val="2"/>
    </font>
    <font>
      <b/>
      <sz val="11"/>
      <color theme="1"/>
      <name val="Calibri Light"/>
      <family val="2"/>
    </font>
    <font>
      <sz val="11"/>
      <color theme="1"/>
      <name val="Symbol"/>
      <family val="1"/>
      <charset val="2"/>
    </font>
    <font>
      <sz val="11"/>
      <color rgb="FF5B9BD5"/>
      <name val="Arial"/>
      <family val="2"/>
    </font>
    <font>
      <i/>
      <sz val="11"/>
      <color theme="1"/>
      <name val="Calibri"/>
      <family val="2"/>
      <scheme val="minor"/>
    </font>
    <font>
      <vertAlign val="superscript"/>
      <sz val="10"/>
      <color theme="1"/>
      <name val="Calibri"/>
      <family val="2"/>
      <scheme val="minor"/>
    </font>
    <font>
      <b/>
      <sz val="11"/>
      <color theme="3" tint="-0.249977111117893"/>
      <name val="Calibri"/>
      <family val="2"/>
      <scheme val="minor"/>
    </font>
    <font>
      <sz val="11"/>
      <color theme="3" tint="-0.249977111117893"/>
      <name val="Calibri"/>
      <family val="2"/>
      <scheme val="minor"/>
    </font>
    <font>
      <sz val="11"/>
      <color theme="1"/>
      <name val="Calibri Light"/>
      <family val="2"/>
    </font>
    <font>
      <sz val="11"/>
      <color rgb="FF538135"/>
      <name val="Arial"/>
      <family val="2"/>
    </font>
    <font>
      <b/>
      <sz val="14"/>
      <color rgb="FF00B050"/>
      <name val="Calibri"/>
      <family val="2"/>
      <scheme val="minor"/>
    </font>
    <font>
      <sz val="11"/>
      <color theme="1"/>
      <name val="Symbol"/>
      <family val="1"/>
      <charset val="2"/>
    </font>
    <font>
      <sz val="11"/>
      <color rgb="FFFF0000"/>
      <name val="Arial"/>
      <family val="2"/>
    </font>
    <font>
      <b/>
      <sz val="14"/>
      <color rgb="FFFF0000"/>
      <name val="Calibri"/>
      <family val="2"/>
      <scheme val="minor"/>
    </font>
    <font>
      <sz val="11"/>
      <color rgb="FFFF0000"/>
      <name val="Symbol"/>
      <family val="1"/>
      <charset val="2"/>
    </font>
    <font>
      <sz val="11"/>
      <name val="Calibri"/>
      <family val="2"/>
      <scheme val="minor"/>
    </font>
    <font>
      <sz val="8"/>
      <name val="Calibri"/>
      <family val="2"/>
      <scheme val="minor"/>
    </font>
    <font>
      <b/>
      <sz val="16"/>
      <color theme="0"/>
      <name val="Calibri"/>
      <family val="2"/>
      <scheme val="minor"/>
    </font>
    <font>
      <sz val="11"/>
      <color rgb="FF008041"/>
      <name val="Calibri"/>
      <family val="2"/>
      <scheme val="minor"/>
    </font>
    <font>
      <b/>
      <sz val="14"/>
      <color theme="1"/>
      <name val="Calibri"/>
      <family val="2"/>
      <scheme val="minor"/>
    </font>
    <font>
      <sz val="12"/>
      <color theme="1"/>
      <name val="Calibri"/>
      <family val="2"/>
      <scheme val="minor"/>
    </font>
    <font>
      <sz val="12"/>
      <name val="Calibri"/>
      <family val="2"/>
      <scheme val="minor"/>
    </font>
    <font>
      <b/>
      <sz val="20"/>
      <color theme="0"/>
      <name val="Calibri"/>
      <family val="2"/>
      <scheme val="minor"/>
    </font>
    <font>
      <b/>
      <sz val="10"/>
      <color theme="1"/>
      <name val="Calibri"/>
      <family val="2"/>
      <scheme val="minor"/>
    </font>
    <font>
      <b/>
      <sz val="9"/>
      <name val="Calibri"/>
      <family val="2"/>
      <scheme val="minor"/>
    </font>
    <font>
      <sz val="9"/>
      <name val="Calibri"/>
      <family val="2"/>
      <scheme val="minor"/>
    </font>
    <font>
      <sz val="10"/>
      <color rgb="FF000000"/>
      <name val="Calibri"/>
      <family val="2"/>
      <scheme val="minor"/>
    </font>
    <font>
      <sz val="12"/>
      <color rgb="FF535353"/>
      <name val="Calibri"/>
      <family val="2"/>
      <scheme val="minor"/>
    </font>
    <font>
      <sz val="8"/>
      <color theme="3" tint="-0.249977111117893"/>
      <name val="Calibri"/>
      <family val="2"/>
      <scheme val="minor"/>
    </font>
    <font>
      <sz val="10"/>
      <color theme="3" tint="-0.249977111117893"/>
      <name val="Calibri"/>
      <family val="2"/>
      <scheme val="minor"/>
    </font>
    <font>
      <u/>
      <sz val="8"/>
      <color theme="10"/>
      <name val="Calibri"/>
      <family val="2"/>
      <scheme val="minor"/>
    </font>
    <font>
      <b/>
      <sz val="8"/>
      <color theme="3" tint="-0.249977111117893"/>
      <name val="Calibri"/>
      <family val="2"/>
      <scheme val="minor"/>
    </font>
    <font>
      <sz val="11"/>
      <color theme="1" tint="0.34998626667073579"/>
      <name val="Calibri"/>
      <family val="2"/>
      <scheme val="minor"/>
    </font>
    <font>
      <sz val="9"/>
      <color theme="1" tint="0.34998626667073579"/>
      <name val="Calibri"/>
      <family val="2"/>
      <scheme val="minor"/>
    </font>
  </fonts>
  <fills count="7">
    <fill>
      <patternFill patternType="none"/>
    </fill>
    <fill>
      <patternFill patternType="gray125"/>
    </fill>
    <fill>
      <patternFill patternType="solid">
        <fgColor theme="0"/>
        <bgColor indexed="64"/>
      </patternFill>
    </fill>
    <fill>
      <patternFill patternType="solid">
        <fgColor rgb="FF80C342"/>
        <bgColor indexed="64"/>
      </patternFill>
    </fill>
    <fill>
      <patternFill patternType="solid">
        <fgColor rgb="FF26583A"/>
        <bgColor indexed="64"/>
      </patternFill>
    </fill>
    <fill>
      <patternFill patternType="solid">
        <fgColor rgb="FF9FDBED"/>
        <bgColor indexed="64"/>
      </patternFill>
    </fill>
    <fill>
      <patternFill patternType="solid">
        <fgColor rgb="FF92D050"/>
        <bgColor indexed="64"/>
      </patternFill>
    </fill>
  </fills>
  <borders count="1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26583A"/>
      </left>
      <right/>
      <top/>
      <bottom/>
      <diagonal/>
    </border>
    <border>
      <left/>
      <right style="medium">
        <color rgb="FF26583A"/>
      </right>
      <top/>
      <bottom/>
      <diagonal/>
    </border>
    <border>
      <left style="medium">
        <color rgb="FF26583A"/>
      </left>
      <right style="thin">
        <color rgb="FF26583A"/>
      </right>
      <top style="thin">
        <color rgb="FF26583A"/>
      </top>
      <bottom style="thin">
        <color rgb="FF26583A"/>
      </bottom>
      <diagonal/>
    </border>
    <border>
      <left style="thin">
        <color rgb="FF26583A"/>
      </left>
      <right style="medium">
        <color rgb="FF26583A"/>
      </right>
      <top style="thin">
        <color rgb="FF26583A"/>
      </top>
      <bottom style="thin">
        <color rgb="FF26583A"/>
      </bottom>
      <diagonal/>
    </border>
    <border>
      <left style="medium">
        <color rgb="FF26583A"/>
      </left>
      <right style="medium">
        <color rgb="FF26583A"/>
      </right>
      <top/>
      <bottom/>
      <diagonal/>
    </border>
    <border>
      <left style="medium">
        <color rgb="FF26583A"/>
      </left>
      <right style="thin">
        <color rgb="FF26583A"/>
      </right>
      <top style="thin">
        <color rgb="FF26583A"/>
      </top>
      <bottom style="medium">
        <color rgb="FF26583A"/>
      </bottom>
      <diagonal/>
    </border>
    <border>
      <left style="thin">
        <color rgb="FF26583A"/>
      </left>
      <right style="medium">
        <color rgb="FF26583A"/>
      </right>
      <top style="thin">
        <color rgb="FF26583A"/>
      </top>
      <bottom style="medium">
        <color rgb="FF26583A"/>
      </bottom>
      <diagonal/>
    </border>
    <border>
      <left style="medium">
        <color rgb="FF26583A"/>
      </left>
      <right style="thin">
        <color rgb="FF26583A"/>
      </right>
      <top/>
      <bottom style="thin">
        <color rgb="FF26583A"/>
      </bottom>
      <diagonal/>
    </border>
    <border>
      <left style="thin">
        <color rgb="FF26583A"/>
      </left>
      <right style="medium">
        <color rgb="FF26583A"/>
      </right>
      <top/>
      <bottom/>
      <diagonal/>
    </border>
    <border>
      <left style="medium">
        <color rgb="FF26583A"/>
      </left>
      <right style="thin">
        <color rgb="FF26583A"/>
      </right>
      <top style="thin">
        <color rgb="FF26583A"/>
      </top>
      <bottom/>
      <diagonal/>
    </border>
    <border>
      <left style="medium">
        <color rgb="FF26583A"/>
      </left>
      <right style="thin">
        <color rgb="FF26583A"/>
      </right>
      <top/>
      <bottom/>
      <diagonal/>
    </border>
    <border>
      <left style="thin">
        <color rgb="FF26583A"/>
      </left>
      <right style="medium">
        <color rgb="FF26583A"/>
      </right>
      <top style="thin">
        <color rgb="FF26583A"/>
      </top>
      <bottom/>
      <diagonal/>
    </border>
    <border>
      <left/>
      <right/>
      <top/>
      <bottom style="thin">
        <color rgb="FF80C342"/>
      </bottom>
      <diagonal/>
    </border>
    <border>
      <left style="thin">
        <color indexed="64"/>
      </left>
      <right style="thin">
        <color indexed="64"/>
      </right>
      <top style="thin">
        <color indexed="64"/>
      </top>
      <bottom style="thin">
        <color indexed="64"/>
      </bottom>
      <diagonal/>
    </border>
    <border>
      <left style="thin">
        <color rgb="FF26583A"/>
      </left>
      <right style="medium">
        <color rgb="FF26583A"/>
      </right>
      <top/>
      <bottom style="thin">
        <color rgb="FF26583A"/>
      </bottom>
      <diagonal/>
    </border>
    <border>
      <left style="thin">
        <color rgb="FF26583A"/>
      </left>
      <right style="medium">
        <color rgb="FF26583A"/>
      </right>
      <top style="thin">
        <color indexed="64"/>
      </top>
      <bottom style="thin">
        <color indexed="64"/>
      </bottom>
      <diagonal/>
    </border>
    <border>
      <left style="thin">
        <color rgb="FF26583A"/>
      </left>
      <right style="medium">
        <color rgb="FF26583A"/>
      </right>
      <top style="thin">
        <color indexed="64"/>
      </top>
      <bottom style="thin">
        <color rgb="FF26583A"/>
      </bottom>
      <diagonal/>
    </border>
    <border>
      <left/>
      <right/>
      <top/>
      <bottom style="dashed">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26583A"/>
      </left>
      <right style="thin">
        <color rgb="FF26583A"/>
      </right>
      <top style="medium">
        <color rgb="FF26583A"/>
      </top>
      <bottom style="thin">
        <color rgb="FF26583A"/>
      </bottom>
      <diagonal/>
    </border>
    <border>
      <left style="thin">
        <color rgb="FF26583A"/>
      </left>
      <right style="medium">
        <color rgb="FF26583A"/>
      </right>
      <top style="medium">
        <color rgb="FF26583A"/>
      </top>
      <bottom style="thin">
        <color rgb="FF26583A"/>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80C342"/>
      </top>
      <bottom/>
      <diagonal/>
    </border>
    <border>
      <left style="thin">
        <color rgb="FF26583A"/>
      </left>
      <right style="medium">
        <color indexed="64"/>
      </right>
      <top style="medium">
        <color indexed="64"/>
      </top>
      <bottom/>
      <diagonal/>
    </border>
    <border>
      <left style="thin">
        <color rgb="FF26583A"/>
      </left>
      <right style="medium">
        <color indexed="64"/>
      </right>
      <top/>
      <bottom/>
      <diagonal/>
    </border>
    <border>
      <left style="thin">
        <color rgb="FF26583A"/>
      </left>
      <right/>
      <top style="thin">
        <color rgb="FF26583A"/>
      </top>
      <bottom style="thin">
        <color rgb="FF80C342"/>
      </bottom>
      <diagonal/>
    </border>
    <border>
      <left/>
      <right/>
      <top style="thin">
        <color rgb="FF26583A"/>
      </top>
      <bottom style="thin">
        <color rgb="FF80C342"/>
      </bottom>
      <diagonal/>
    </border>
    <border>
      <left style="thin">
        <color rgb="FF26583A"/>
      </left>
      <right/>
      <top/>
      <bottom/>
      <diagonal/>
    </border>
    <border>
      <left style="medium">
        <color rgb="FF26583A"/>
      </left>
      <right style="thin">
        <color rgb="FF26583A"/>
      </right>
      <top style="medium">
        <color rgb="FF26583A"/>
      </top>
      <bottom/>
      <diagonal/>
    </border>
    <border>
      <left style="thin">
        <color rgb="FF26583A"/>
      </left>
      <right style="medium">
        <color rgb="FF26583A"/>
      </right>
      <top style="medium">
        <color rgb="FF26583A"/>
      </top>
      <bottom/>
      <diagonal/>
    </border>
    <border>
      <left style="medium">
        <color rgb="FF26583A"/>
      </left>
      <right/>
      <top style="medium">
        <color rgb="FF26583A"/>
      </top>
      <bottom style="thin">
        <color rgb="FF80C342"/>
      </bottom>
      <diagonal/>
    </border>
    <border>
      <left/>
      <right/>
      <top style="medium">
        <color rgb="FF26583A"/>
      </top>
      <bottom style="thin">
        <color rgb="FF80C342"/>
      </bottom>
      <diagonal/>
    </border>
    <border>
      <left/>
      <right style="medium">
        <color rgb="FF26583A"/>
      </right>
      <top style="medium">
        <color rgb="FF26583A"/>
      </top>
      <bottom/>
      <diagonal/>
    </border>
    <border>
      <left style="medium">
        <color rgb="FF26583A"/>
      </left>
      <right style="thin">
        <color rgb="FF26583A"/>
      </right>
      <top style="medium">
        <color indexed="64"/>
      </top>
      <bottom/>
      <diagonal/>
    </border>
    <border>
      <left style="medium">
        <color rgb="FF26583A"/>
      </left>
      <right/>
      <top style="medium">
        <color rgb="FF26583A"/>
      </top>
      <bottom/>
      <diagonal/>
    </border>
    <border>
      <left style="medium">
        <color rgb="FF26583A"/>
      </left>
      <right style="medium">
        <color rgb="FF26583A"/>
      </right>
      <top style="medium">
        <color rgb="FF26583A"/>
      </top>
      <bottom/>
      <diagonal/>
    </border>
    <border>
      <left/>
      <right style="medium">
        <color rgb="FF26583A"/>
      </right>
      <top style="medium">
        <color rgb="FF26583A"/>
      </top>
      <bottom style="thin">
        <color rgb="FF80C342"/>
      </bottom>
      <diagonal/>
    </border>
    <border>
      <left style="medium">
        <color rgb="FF26583A"/>
      </left>
      <right/>
      <top/>
      <bottom style="medium">
        <color rgb="FF26583A"/>
      </bottom>
      <diagonal/>
    </border>
    <border>
      <left/>
      <right style="medium">
        <color rgb="FF26583A"/>
      </right>
      <top/>
      <bottom style="medium">
        <color rgb="FF26583A"/>
      </bottom>
      <diagonal/>
    </border>
    <border>
      <left style="medium">
        <color rgb="FF26583A"/>
      </left>
      <right/>
      <top style="medium">
        <color rgb="FF26583A"/>
      </top>
      <bottom style="medium">
        <color rgb="FF26583A"/>
      </bottom>
      <diagonal/>
    </border>
    <border>
      <left/>
      <right/>
      <top style="medium">
        <color rgb="FF26583A"/>
      </top>
      <bottom style="medium">
        <color rgb="FF26583A"/>
      </bottom>
      <diagonal/>
    </border>
    <border>
      <left/>
      <right style="medium">
        <color rgb="FF26583A"/>
      </right>
      <top style="medium">
        <color rgb="FF26583A"/>
      </top>
      <bottom style="medium">
        <color rgb="FF26583A"/>
      </bottom>
      <diagonal/>
    </border>
    <border>
      <left style="thin">
        <color rgb="FF26583A"/>
      </left>
      <right style="medium">
        <color rgb="FF26583A"/>
      </right>
      <top style="medium">
        <color rgb="FF26583A"/>
      </top>
      <bottom style="thin">
        <color indexed="64"/>
      </bottom>
      <diagonal/>
    </border>
    <border>
      <left style="medium">
        <color rgb="FF26583A"/>
      </left>
      <right style="thin">
        <color rgb="FF26583A"/>
      </right>
      <top/>
      <bottom style="medium">
        <color rgb="FF26583A"/>
      </bottom>
      <diagonal/>
    </border>
    <border>
      <left style="thin">
        <color rgb="FF26583A"/>
      </left>
      <right style="medium">
        <color rgb="FF26583A"/>
      </right>
      <top/>
      <bottom style="medium">
        <color rgb="FF26583A"/>
      </bottom>
      <diagonal/>
    </border>
    <border>
      <left style="thin">
        <color rgb="FF26583A"/>
      </left>
      <right style="thin">
        <color rgb="FF26583A"/>
      </right>
      <top style="thin">
        <color rgb="FF26583A"/>
      </top>
      <bottom style="thin">
        <color rgb="FF26583A"/>
      </bottom>
      <diagonal/>
    </border>
    <border>
      <left style="medium">
        <color rgb="FF26583A"/>
      </left>
      <right/>
      <top style="thin">
        <color rgb="FF80C342"/>
      </top>
      <bottom/>
      <diagonal/>
    </border>
    <border>
      <left/>
      <right style="medium">
        <color rgb="FF26583A"/>
      </right>
      <top style="thin">
        <color rgb="FF80C342"/>
      </top>
      <bottom/>
      <diagonal/>
    </border>
    <border>
      <left style="thin">
        <color rgb="FF26583A"/>
      </left>
      <right style="medium">
        <color rgb="FF26583A"/>
      </right>
      <top style="thin">
        <color indexed="64"/>
      </top>
      <bottom/>
      <diagonal/>
    </border>
    <border>
      <left style="medium">
        <color rgb="FF26583A"/>
      </left>
      <right style="thin">
        <color rgb="FF26583A"/>
      </right>
      <top style="medium">
        <color rgb="FF26583A"/>
      </top>
      <bottom style="medium">
        <color rgb="FF26583A"/>
      </bottom>
      <diagonal/>
    </border>
    <border>
      <left style="thin">
        <color rgb="FF26583A"/>
      </left>
      <right style="medium">
        <color rgb="FF26583A"/>
      </right>
      <top style="medium">
        <color rgb="FF26583A"/>
      </top>
      <bottom style="medium">
        <color rgb="FF26583A"/>
      </bottom>
      <diagonal/>
    </border>
    <border>
      <left style="medium">
        <color indexed="64"/>
      </left>
      <right style="thin">
        <color rgb="FF26583A"/>
      </right>
      <top style="medium">
        <color indexed="64"/>
      </top>
      <bottom/>
      <diagonal/>
    </border>
    <border>
      <left style="medium">
        <color indexed="64"/>
      </left>
      <right style="thin">
        <color rgb="FF26583A"/>
      </right>
      <top/>
      <bottom/>
      <diagonal/>
    </border>
    <border>
      <left style="thin">
        <color rgb="FF26583A"/>
      </left>
      <right style="thin">
        <color rgb="FF26583A"/>
      </right>
      <top/>
      <bottom style="thin">
        <color rgb="FF26583A"/>
      </bottom>
      <diagonal/>
    </border>
    <border>
      <left/>
      <right/>
      <top style="medium">
        <color rgb="FF26583A"/>
      </top>
      <bottom/>
      <diagonal/>
    </border>
    <border>
      <left/>
      <right/>
      <top/>
      <bottom style="medium">
        <color rgb="FF26583A"/>
      </bottom>
      <diagonal/>
    </border>
    <border>
      <left style="thin">
        <color rgb="FF26583A"/>
      </left>
      <right style="thin">
        <color rgb="FF26583A"/>
      </right>
      <top style="medium">
        <color rgb="FF26583A"/>
      </top>
      <bottom style="thin">
        <color rgb="FF26583A"/>
      </bottom>
      <diagonal/>
    </border>
    <border>
      <left style="thin">
        <color rgb="FF26583A"/>
      </left>
      <right style="thin">
        <color rgb="FF26583A"/>
      </right>
      <top style="thin">
        <color rgb="FF26583A"/>
      </top>
      <bottom style="medium">
        <color rgb="FF26583A"/>
      </bottom>
      <diagonal/>
    </border>
    <border>
      <left/>
      <right style="thin">
        <color rgb="FF26583A"/>
      </right>
      <top style="thin">
        <color rgb="FF26583A"/>
      </top>
      <bottom/>
      <diagonal/>
    </border>
    <border>
      <left/>
      <right style="thin">
        <color rgb="FF26583A"/>
      </right>
      <top/>
      <bottom style="thin">
        <color rgb="FF26583A"/>
      </bottom>
      <diagonal/>
    </border>
    <border>
      <left style="medium">
        <color rgb="FF26583A"/>
      </left>
      <right/>
      <top/>
      <bottom style="thin">
        <color rgb="FF26583A"/>
      </bottom>
      <diagonal/>
    </border>
    <border>
      <left style="medium">
        <color rgb="FF26583A"/>
      </left>
      <right/>
      <top style="thin">
        <color rgb="FF26583A"/>
      </top>
      <bottom/>
      <diagonal/>
    </border>
    <border>
      <left style="medium">
        <color rgb="FF26583A"/>
      </left>
      <right/>
      <top style="thin">
        <color rgb="FF26583A"/>
      </top>
      <bottom style="medium">
        <color rgb="FF26583A"/>
      </bottom>
      <diagonal/>
    </border>
    <border>
      <left/>
      <right style="thin">
        <color rgb="FF26583A"/>
      </right>
      <top style="thin">
        <color rgb="FF26583A"/>
      </top>
      <bottom style="medium">
        <color rgb="FF26583A"/>
      </bottom>
      <diagonal/>
    </border>
    <border>
      <left style="medium">
        <color rgb="FF26583A"/>
      </left>
      <right/>
      <top style="medium">
        <color rgb="FF26583A"/>
      </top>
      <bottom style="thin">
        <color rgb="FF26583A"/>
      </bottom>
      <diagonal/>
    </border>
    <border>
      <left/>
      <right style="thin">
        <color rgb="FF26583A"/>
      </right>
      <top style="medium">
        <color rgb="FF26583A"/>
      </top>
      <bottom style="thin">
        <color rgb="FF26583A"/>
      </bottom>
      <diagonal/>
    </border>
    <border>
      <left/>
      <right style="medium">
        <color rgb="FF26583A"/>
      </right>
      <top style="thin">
        <color rgb="FF26583A"/>
      </top>
      <bottom style="thin">
        <color rgb="FF26583A"/>
      </bottom>
      <diagonal/>
    </border>
    <border>
      <left/>
      <right style="thin">
        <color rgb="FF26583A"/>
      </right>
      <top/>
      <bottom style="medium">
        <color rgb="FF26583A"/>
      </bottom>
      <diagonal/>
    </border>
    <border>
      <left/>
      <right style="medium">
        <color rgb="FF26583A"/>
      </right>
      <top style="thin">
        <color rgb="FF26583A"/>
      </top>
      <bottom style="medium">
        <color rgb="FF26583A"/>
      </bottom>
      <diagonal/>
    </border>
    <border>
      <left style="medium">
        <color rgb="FF26583A"/>
      </left>
      <right style="medium">
        <color rgb="FF26583A"/>
      </right>
      <top/>
      <bottom style="medium">
        <color rgb="FF26583A"/>
      </bottom>
      <diagonal/>
    </border>
    <border>
      <left style="thin">
        <color rgb="FF26583A"/>
      </left>
      <right/>
      <top style="thin">
        <color rgb="FF80C342"/>
      </top>
      <bottom/>
      <diagonal/>
    </border>
    <border>
      <left style="medium">
        <color rgb="FF26583A"/>
      </left>
      <right/>
      <top style="thin">
        <color rgb="FF26583A"/>
      </top>
      <bottom style="thin">
        <color rgb="FF26583A"/>
      </bottom>
      <diagonal/>
    </border>
    <border>
      <left style="medium">
        <color rgb="FF26583A"/>
      </left>
      <right style="medium">
        <color rgb="FF26583A"/>
      </right>
      <top style="medium">
        <color rgb="FF26583A"/>
      </top>
      <bottom style="medium">
        <color rgb="FF26583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26583A"/>
      </right>
      <top style="medium">
        <color indexed="64"/>
      </top>
      <bottom style="thin">
        <color rgb="FF26583A"/>
      </bottom>
      <diagonal/>
    </border>
    <border>
      <left style="thin">
        <color rgb="FF26583A"/>
      </left>
      <right style="medium">
        <color indexed="64"/>
      </right>
      <top style="medium">
        <color indexed="64"/>
      </top>
      <bottom style="thin">
        <color rgb="FF26583A"/>
      </bottom>
      <diagonal/>
    </border>
    <border>
      <left style="medium">
        <color indexed="64"/>
      </left>
      <right style="thin">
        <color rgb="FF26583A"/>
      </right>
      <top style="thin">
        <color rgb="FF26583A"/>
      </top>
      <bottom style="medium">
        <color indexed="64"/>
      </bottom>
      <diagonal/>
    </border>
    <border>
      <left style="thin">
        <color rgb="FF26583A"/>
      </left>
      <right style="medium">
        <color indexed="64"/>
      </right>
      <top style="thin">
        <color rgb="FF26583A"/>
      </top>
      <bottom style="medium">
        <color indexed="64"/>
      </bottom>
      <diagonal/>
    </border>
    <border>
      <left style="medium">
        <color indexed="64"/>
      </left>
      <right style="thin">
        <color rgb="FF26583A"/>
      </right>
      <top style="medium">
        <color rgb="FF26583A"/>
      </top>
      <bottom/>
      <diagonal/>
    </border>
    <border>
      <left style="thin">
        <color rgb="FF26583A"/>
      </left>
      <right style="medium">
        <color indexed="64"/>
      </right>
      <top style="medium">
        <color rgb="FF26583A"/>
      </top>
      <bottom/>
      <diagonal/>
    </border>
    <border>
      <left style="medium">
        <color indexed="64"/>
      </left>
      <right style="thin">
        <color rgb="FF26583A"/>
      </right>
      <top style="thin">
        <color rgb="FF26583A"/>
      </top>
      <bottom style="thin">
        <color rgb="FF26583A"/>
      </bottom>
      <diagonal/>
    </border>
    <border>
      <left style="thin">
        <color rgb="FF26583A"/>
      </left>
      <right style="medium">
        <color indexed="64"/>
      </right>
      <top style="thin">
        <color rgb="FF26583A"/>
      </top>
      <bottom style="thin">
        <color rgb="FF26583A"/>
      </bottom>
      <diagonal/>
    </border>
    <border>
      <left style="medium">
        <color indexed="64"/>
      </left>
      <right style="thin">
        <color rgb="FF26583A"/>
      </right>
      <top style="medium">
        <color rgb="FF26583A"/>
      </top>
      <bottom style="thin">
        <color rgb="FF26583A"/>
      </bottom>
      <diagonal/>
    </border>
    <border>
      <left style="thin">
        <color rgb="FF26583A"/>
      </left>
      <right style="medium">
        <color indexed="64"/>
      </right>
      <top style="medium">
        <color rgb="FF26583A"/>
      </top>
      <bottom style="thin">
        <color rgb="FF26583A"/>
      </bottom>
      <diagonal/>
    </border>
    <border>
      <left style="medium">
        <color indexed="64"/>
      </left>
      <right style="thin">
        <color rgb="FF26583A"/>
      </right>
      <top style="thin">
        <color rgb="FF26583A"/>
      </top>
      <bottom/>
      <diagonal/>
    </border>
    <border>
      <left style="thin">
        <color rgb="FF26583A"/>
      </left>
      <right style="medium">
        <color indexed="64"/>
      </right>
      <top style="thin">
        <color rgb="FF26583A"/>
      </top>
      <bottom/>
      <diagonal/>
    </border>
    <border>
      <left style="thin">
        <color rgb="FF26583A"/>
      </left>
      <right/>
      <top style="thin">
        <color rgb="FF26583A"/>
      </top>
      <bottom style="thin">
        <color rgb="FF26583A"/>
      </bottom>
      <diagonal/>
    </border>
    <border>
      <left style="thin">
        <color rgb="FF26583A"/>
      </left>
      <right style="thin">
        <color rgb="FF26583A"/>
      </right>
      <top/>
      <bottom style="medium">
        <color rgb="FF26583A"/>
      </bottom>
      <diagonal/>
    </border>
    <border>
      <left style="medium">
        <color rgb="FF26583A"/>
      </left>
      <right/>
      <top style="thin">
        <color rgb="FF26583A"/>
      </top>
      <bottom style="thin">
        <color indexed="64"/>
      </bottom>
      <diagonal/>
    </border>
    <border>
      <left/>
      <right style="thin">
        <color rgb="FF26583A"/>
      </right>
      <top style="thin">
        <color rgb="FF26583A"/>
      </top>
      <bottom style="thin">
        <color indexed="64"/>
      </bottom>
      <diagonal/>
    </border>
    <border>
      <left style="thin">
        <color rgb="FF26583A"/>
      </left>
      <right style="medium">
        <color rgb="FF26583A"/>
      </right>
      <top style="thin">
        <color rgb="FF26583A"/>
      </top>
      <bottom style="thin">
        <color indexed="64"/>
      </bottom>
      <diagonal/>
    </border>
    <border>
      <left/>
      <right style="thin">
        <color rgb="FF26583A"/>
      </right>
      <top/>
      <bottom/>
      <diagonal/>
    </border>
    <border>
      <left/>
      <right style="medium">
        <color rgb="FF26583A"/>
      </right>
      <top style="thin">
        <color rgb="FF26583A"/>
      </top>
      <bottom/>
      <diagonal/>
    </border>
  </borders>
  <cellStyleXfs count="11">
    <xf numFmtId="0" fontId="0" fillId="0" borderId="0"/>
    <xf numFmtId="0" fontId="5" fillId="0" borderId="0" applyNumberFormat="0" applyFill="0" applyBorder="0" applyAlignment="0" applyProtection="0"/>
    <xf numFmtId="0" fontId="7" fillId="0" borderId="0"/>
    <xf numFmtId="0" fontId="7" fillId="0" borderId="0"/>
    <xf numFmtId="0" fontId="8" fillId="0" borderId="27" applyNumberFormat="0" applyFont="0" applyProtection="0">
      <alignment wrapText="1"/>
    </xf>
    <xf numFmtId="0" fontId="5" fillId="0" borderId="0" applyNumberFormat="0" applyFill="0" applyBorder="0" applyAlignment="0" applyProtection="0"/>
    <xf numFmtId="43" fontId="11" fillId="0" borderId="0" applyFont="0" applyFill="0" applyBorder="0" applyAlignment="0" applyProtection="0"/>
    <xf numFmtId="0" fontId="7" fillId="0" borderId="0"/>
    <xf numFmtId="44" fontId="7"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cellStyleXfs>
  <cellXfs count="742">
    <xf numFmtId="0" fontId="0" fillId="0" borderId="0" xfId="0"/>
    <xf numFmtId="0" fontId="4" fillId="0" borderId="0" xfId="0" applyFont="1" applyAlignment="1">
      <alignment horizontal="left" vertical="center" indent="5"/>
    </xf>
    <xf numFmtId="0" fontId="5" fillId="0" borderId="0" xfId="1"/>
    <xf numFmtId="2" fontId="0" fillId="0" borderId="0" xfId="0" applyNumberFormat="1"/>
    <xf numFmtId="0" fontId="0" fillId="0" borderId="10" xfId="0" applyBorder="1"/>
    <xf numFmtId="0" fontId="0" fillId="0" borderId="11" xfId="0" applyBorder="1"/>
    <xf numFmtId="0" fontId="1" fillId="4" borderId="10" xfId="0" applyFont="1" applyFill="1" applyBorder="1"/>
    <xf numFmtId="0" fontId="1" fillId="4" borderId="11" xfId="0" applyFont="1" applyFill="1" applyBorder="1" applyAlignment="1">
      <alignment horizontal="right"/>
    </xf>
    <xf numFmtId="0" fontId="0" fillId="0" borderId="12" xfId="0" applyBorder="1"/>
    <xf numFmtId="0" fontId="0" fillId="0" borderId="15" xfId="0" applyBorder="1"/>
    <xf numFmtId="0" fontId="0" fillId="0" borderId="24" xfId="0" applyBorder="1"/>
    <xf numFmtId="0" fontId="0" fillId="5" borderId="25" xfId="0" applyFill="1" applyBorder="1" applyAlignment="1">
      <alignment horizontal="right"/>
    </xf>
    <xf numFmtId="0" fontId="2" fillId="0" borderId="0" xfId="0" applyFont="1"/>
    <xf numFmtId="0" fontId="0" fillId="5" borderId="26" xfId="0" applyFill="1" applyBorder="1" applyAlignment="1">
      <alignment horizontal="right"/>
    </xf>
    <xf numFmtId="0" fontId="0" fillId="0" borderId="21" xfId="0" applyBorder="1"/>
    <xf numFmtId="2" fontId="0" fillId="0" borderId="13" xfId="0" applyNumberFormat="1" applyBorder="1"/>
    <xf numFmtId="1" fontId="0" fillId="0" borderId="13" xfId="0" applyNumberFormat="1" applyBorder="1"/>
    <xf numFmtId="2" fontId="0" fillId="0" borderId="16" xfId="0" applyNumberFormat="1" applyBorder="1"/>
    <xf numFmtId="1" fontId="0" fillId="0" borderId="0" xfId="0" applyNumberFormat="1"/>
    <xf numFmtId="1" fontId="1" fillId="4" borderId="14" xfId="0" applyNumberFormat="1" applyFont="1" applyFill="1" applyBorder="1"/>
    <xf numFmtId="0" fontId="0" fillId="0" borderId="30" xfId="0" applyBorder="1"/>
    <xf numFmtId="0" fontId="0" fillId="0" borderId="0" xfId="0" applyAlignment="1">
      <alignment horizontal="center"/>
    </xf>
    <xf numFmtId="43" fontId="0" fillId="0" borderId="31" xfId="6" applyFont="1" applyBorder="1"/>
    <xf numFmtId="43" fontId="0" fillId="0" borderId="13" xfId="6" applyFont="1" applyBorder="1"/>
    <xf numFmtId="43" fontId="0" fillId="0" borderId="16" xfId="6" applyFont="1" applyBorder="1"/>
    <xf numFmtId="0" fontId="14" fillId="0" borderId="32" xfId="0" applyFont="1" applyBorder="1" applyAlignment="1">
      <alignment horizontal="center"/>
    </xf>
    <xf numFmtId="0" fontId="0" fillId="0" borderId="33" xfId="0" applyBorder="1"/>
    <xf numFmtId="0" fontId="2" fillId="0" borderId="34" xfId="0" applyFont="1" applyBorder="1" applyAlignment="1">
      <alignment horizontal="center"/>
    </xf>
    <xf numFmtId="0" fontId="0" fillId="0" borderId="35" xfId="0" applyBorder="1"/>
    <xf numFmtId="0" fontId="13" fillId="0" borderId="34" xfId="0" applyFont="1" applyBorder="1"/>
    <xf numFmtId="0" fontId="0" fillId="0" borderId="36" xfId="0" applyBorder="1"/>
    <xf numFmtId="0" fontId="0" fillId="0" borderId="37" xfId="0" applyBorder="1"/>
    <xf numFmtId="0" fontId="0" fillId="0" borderId="32" xfId="0" applyBorder="1"/>
    <xf numFmtId="0" fontId="0" fillId="0" borderId="34" xfId="0" applyBorder="1"/>
    <xf numFmtId="0" fontId="1" fillId="4" borderId="35" xfId="0" applyFont="1" applyFill="1" applyBorder="1" applyAlignment="1">
      <alignment horizontal="right"/>
    </xf>
    <xf numFmtId="0" fontId="0" fillId="0" borderId="0" xfId="0" applyBorder="1"/>
    <xf numFmtId="0" fontId="0" fillId="0" borderId="19" xfId="0" applyBorder="1"/>
    <xf numFmtId="0" fontId="1" fillId="4" borderId="50" xfId="0" applyFont="1" applyFill="1" applyBorder="1"/>
    <xf numFmtId="1" fontId="1" fillId="4" borderId="51" xfId="0" applyNumberFormat="1" applyFont="1" applyFill="1" applyBorder="1"/>
    <xf numFmtId="1" fontId="0" fillId="0" borderId="16" xfId="0" applyNumberFormat="1" applyBorder="1"/>
    <xf numFmtId="165" fontId="3" fillId="4" borderId="48" xfId="0" applyNumberFormat="1" applyFont="1" applyFill="1" applyBorder="1"/>
    <xf numFmtId="0" fontId="1" fillId="4" borderId="14" xfId="0" applyFont="1" applyFill="1" applyBorder="1"/>
    <xf numFmtId="2" fontId="3" fillId="4" borderId="48" xfId="0" applyNumberFormat="1" applyFont="1" applyFill="1" applyBorder="1"/>
    <xf numFmtId="165" fontId="0" fillId="0" borderId="16" xfId="0" applyNumberFormat="1" applyBorder="1"/>
    <xf numFmtId="2" fontId="0" fillId="0" borderId="21" xfId="0" applyNumberFormat="1" applyBorder="1"/>
    <xf numFmtId="0" fontId="1" fillId="4" borderId="48" xfId="0" applyFont="1" applyFill="1" applyBorder="1" applyAlignment="1">
      <alignment horizontal="right"/>
    </xf>
    <xf numFmtId="0" fontId="2" fillId="0" borderId="0" xfId="0" applyFont="1" applyAlignment="1">
      <alignment vertical="center"/>
    </xf>
    <xf numFmtId="0" fontId="15" fillId="4" borderId="0" xfId="0" applyFont="1" applyFill="1"/>
    <xf numFmtId="0" fontId="0" fillId="0" borderId="12" xfId="0" applyBorder="1" applyAlignment="1">
      <alignment vertical="center"/>
    </xf>
    <xf numFmtId="0" fontId="0" fillId="0" borderId="15" xfId="0" applyBorder="1" applyAlignment="1">
      <alignment vertical="center"/>
    </xf>
    <xf numFmtId="2" fontId="0" fillId="0" borderId="13" xfId="0" applyNumberFormat="1" applyBorder="1" applyAlignment="1">
      <alignment vertical="center"/>
    </xf>
    <xf numFmtId="2" fontId="0" fillId="0" borderId="16" xfId="0" applyNumberFormat="1" applyBorder="1" applyAlignment="1">
      <alignment vertical="center"/>
    </xf>
    <xf numFmtId="0" fontId="1" fillId="4" borderId="10" xfId="0" applyFont="1" applyFill="1" applyBorder="1" applyAlignment="1">
      <alignment vertical="center"/>
    </xf>
    <xf numFmtId="0" fontId="0" fillId="5" borderId="10" xfId="0" applyFill="1" applyBorder="1"/>
    <xf numFmtId="0" fontId="0" fillId="0" borderId="0" xfId="0" applyAlignment="1">
      <alignment vertical="top" wrapText="1"/>
    </xf>
    <xf numFmtId="2" fontId="0" fillId="0" borderId="0" xfId="0" applyNumberFormat="1" applyBorder="1"/>
    <xf numFmtId="0" fontId="0" fillId="5" borderId="15" xfId="0" applyFill="1" applyBorder="1"/>
    <xf numFmtId="0" fontId="0" fillId="0" borderId="12" xfId="0" applyBorder="1" applyAlignment="1">
      <alignment wrapText="1"/>
    </xf>
    <xf numFmtId="0" fontId="0" fillId="5" borderId="17" xfId="0" applyFill="1" applyBorder="1" applyAlignment="1">
      <alignment wrapText="1"/>
    </xf>
    <xf numFmtId="0" fontId="0" fillId="0" borderId="0" xfId="0" applyAlignment="1">
      <alignment vertical="center"/>
    </xf>
    <xf numFmtId="0" fontId="20" fillId="0" borderId="0" xfId="0" applyFont="1" applyAlignment="1">
      <alignment vertical="center"/>
    </xf>
    <xf numFmtId="0" fontId="21" fillId="0" borderId="0" xfId="0" applyFont="1" applyAlignment="1">
      <alignment horizontal="left" vertical="center" indent="5"/>
    </xf>
    <xf numFmtId="0" fontId="22" fillId="0" borderId="0" xfId="0" applyFont="1" applyAlignment="1">
      <alignment horizontal="left" vertical="center" indent="10"/>
    </xf>
    <xf numFmtId="0" fontId="5" fillId="0" borderId="0" xfId="1" applyAlignment="1">
      <alignment horizontal="left" vertical="center" indent="10"/>
    </xf>
    <xf numFmtId="0" fontId="23" fillId="0" borderId="0" xfId="0" applyFont="1" applyAlignment="1">
      <alignment horizontal="left" vertical="center" indent="10"/>
    </xf>
    <xf numFmtId="0" fontId="24" fillId="0" borderId="0" xfId="0" applyFont="1" applyAlignment="1">
      <alignment vertical="center"/>
    </xf>
    <xf numFmtId="0" fontId="5" fillId="0" borderId="0" xfId="1" applyAlignment="1">
      <alignment vertical="center"/>
    </xf>
    <xf numFmtId="0" fontId="0" fillId="5" borderId="30" xfId="0" applyFill="1" applyBorder="1" applyAlignment="1">
      <alignment wrapText="1"/>
    </xf>
    <xf numFmtId="0" fontId="0" fillId="5" borderId="58" xfId="0" applyFill="1" applyBorder="1" applyAlignment="1">
      <alignment horizontal="right"/>
    </xf>
    <xf numFmtId="0" fontId="1" fillId="4" borderId="0" xfId="0" applyFont="1" applyFill="1"/>
    <xf numFmtId="0" fontId="2" fillId="5" borderId="23" xfId="0" applyFont="1" applyFill="1" applyBorder="1"/>
    <xf numFmtId="0" fontId="2" fillId="5" borderId="4" xfId="0" applyFont="1" applyFill="1" applyBorder="1" applyAlignment="1">
      <alignment vertical="center"/>
    </xf>
    <xf numFmtId="0" fontId="2" fillId="5" borderId="7" xfId="0" applyFont="1" applyFill="1" applyBorder="1"/>
    <xf numFmtId="0" fontId="2" fillId="5" borderId="28" xfId="0" applyFont="1" applyFill="1" applyBorder="1" applyAlignment="1">
      <alignment vertical="center" wrapText="1"/>
    </xf>
    <xf numFmtId="0" fontId="0" fillId="0" borderId="15" xfId="0" applyBorder="1" applyAlignment="1">
      <alignment wrapText="1"/>
    </xf>
    <xf numFmtId="9" fontId="0" fillId="0" borderId="23" xfId="9" applyNumberFormat="1" applyFont="1" applyBorder="1"/>
    <xf numFmtId="169" fontId="0" fillId="0" borderId="60" xfId="0" applyNumberFormat="1" applyBorder="1"/>
    <xf numFmtId="0" fontId="0" fillId="5" borderId="44" xfId="0" applyFill="1" applyBorder="1" applyAlignment="1">
      <alignment wrapText="1"/>
    </xf>
    <xf numFmtId="1" fontId="0" fillId="5" borderId="31" xfId="0" applyNumberFormat="1" applyFill="1" applyBorder="1" applyAlignment="1">
      <alignment vertical="center"/>
    </xf>
    <xf numFmtId="0" fontId="0" fillId="5" borderId="15" xfId="0" applyFill="1" applyBorder="1" applyAlignment="1">
      <alignment wrapText="1"/>
    </xf>
    <xf numFmtId="0" fontId="0" fillId="5" borderId="16" xfId="0" applyFill="1" applyBorder="1" applyAlignment="1">
      <alignment vertical="center" wrapText="1"/>
    </xf>
    <xf numFmtId="0" fontId="0" fillId="0" borderId="44" xfId="0" applyBorder="1"/>
    <xf numFmtId="2" fontId="0" fillId="0" borderId="45" xfId="0" applyNumberFormat="1" applyBorder="1"/>
    <xf numFmtId="0" fontId="28" fillId="0" borderId="0" xfId="0" applyFont="1" applyAlignment="1">
      <alignment horizontal="left" vertical="center" indent="10"/>
    </xf>
    <xf numFmtId="0" fontId="0" fillId="0" borderId="12" xfId="0" applyBorder="1" applyAlignment="1">
      <alignment horizontal="left" wrapText="1"/>
    </xf>
    <xf numFmtId="0" fontId="0" fillId="0" borderId="0" xfId="0" applyAlignment="1">
      <alignment horizontal="left" vertical="top" wrapText="1"/>
    </xf>
    <xf numFmtId="0" fontId="1" fillId="3" borderId="44" xfId="0" applyFont="1" applyFill="1" applyBorder="1" applyAlignment="1">
      <alignment horizontal="left" vertical="center"/>
    </xf>
    <xf numFmtId="0" fontId="1" fillId="3" borderId="20" xfId="0" applyFont="1" applyFill="1" applyBorder="1" applyAlignment="1">
      <alignment horizontal="left" vertical="center"/>
    </xf>
    <xf numFmtId="0" fontId="1" fillId="3" borderId="45" xfId="0" applyFont="1" applyFill="1" applyBorder="1" applyAlignment="1">
      <alignment horizontal="right" vertical="center"/>
    </xf>
    <xf numFmtId="0" fontId="1" fillId="3" borderId="18" xfId="0" applyFont="1" applyFill="1" applyBorder="1" applyAlignment="1">
      <alignment horizontal="right" vertical="center"/>
    </xf>
    <xf numFmtId="0" fontId="5" fillId="0" borderId="0" xfId="1" applyAlignment="1">
      <alignment wrapText="1"/>
    </xf>
    <xf numFmtId="0" fontId="0" fillId="0" borderId="44" xfId="0" applyBorder="1" applyAlignment="1">
      <alignment vertical="center"/>
    </xf>
    <xf numFmtId="0" fontId="0" fillId="5" borderId="30" xfId="0" applyFill="1" applyBorder="1" applyAlignment="1">
      <alignment vertical="center" wrapText="1"/>
    </xf>
    <xf numFmtId="0" fontId="0" fillId="0" borderId="0" xfId="0" applyAlignment="1">
      <alignment horizontal="left" vertical="top"/>
    </xf>
    <xf numFmtId="0" fontId="0" fillId="0" borderId="0" xfId="0" applyBorder="1" applyAlignment="1">
      <alignment vertical="center"/>
    </xf>
    <xf numFmtId="2" fontId="0" fillId="0" borderId="0" xfId="0" applyNumberFormat="1" applyBorder="1" applyAlignment="1">
      <alignment vertical="center"/>
    </xf>
    <xf numFmtId="0" fontId="4" fillId="0" borderId="0" xfId="0" applyFont="1" applyAlignment="1">
      <alignment horizontal="left" vertical="center" indent="6"/>
    </xf>
    <xf numFmtId="0" fontId="29" fillId="0" borderId="0" xfId="0" applyFont="1" applyAlignment="1">
      <alignment vertical="center"/>
    </xf>
    <xf numFmtId="0" fontId="27" fillId="0" borderId="0" xfId="0" applyFont="1" applyAlignment="1">
      <alignment vertical="center"/>
    </xf>
    <xf numFmtId="0" fontId="30" fillId="0" borderId="0" xfId="0" applyFont="1" applyAlignment="1">
      <alignment horizontal="left" vertical="center" indent="6"/>
    </xf>
    <xf numFmtId="0" fontId="27" fillId="0" borderId="0" xfId="0" applyFont="1" applyAlignment="1">
      <alignment horizontal="left" vertical="center" indent="1"/>
    </xf>
    <xf numFmtId="4" fontId="3" fillId="4" borderId="2" xfId="0" applyNumberFormat="1" applyFont="1" applyFill="1" applyBorder="1"/>
    <xf numFmtId="4" fontId="3" fillId="4" borderId="3" xfId="0" applyNumberFormat="1" applyFont="1" applyFill="1" applyBorder="1"/>
    <xf numFmtId="0" fontId="1" fillId="4" borderId="34" xfId="0" applyFont="1" applyFill="1" applyBorder="1"/>
    <xf numFmtId="0" fontId="31" fillId="0" borderId="0" xfId="0" applyFont="1" applyAlignment="1">
      <alignment horizontal="left" vertical="center" indent="6"/>
    </xf>
    <xf numFmtId="0" fontId="32" fillId="0" borderId="0" xfId="0" applyFont="1" applyAlignment="1">
      <alignment vertical="center"/>
    </xf>
    <xf numFmtId="0" fontId="33" fillId="0" borderId="0" xfId="0" applyFont="1" applyAlignment="1">
      <alignment horizontal="left" vertical="center" indent="6"/>
    </xf>
    <xf numFmtId="0" fontId="1" fillId="3" borderId="44" xfId="0" applyFont="1" applyFill="1" applyBorder="1" applyAlignment="1">
      <alignment horizontal="left" vertical="center"/>
    </xf>
    <xf numFmtId="0" fontId="1" fillId="3" borderId="20" xfId="0" applyFont="1" applyFill="1" applyBorder="1" applyAlignment="1">
      <alignment horizontal="left" vertical="center"/>
    </xf>
    <xf numFmtId="0" fontId="1" fillId="3" borderId="45" xfId="0" applyFont="1" applyFill="1" applyBorder="1" applyAlignment="1">
      <alignment horizontal="right" vertical="center"/>
    </xf>
    <xf numFmtId="0" fontId="1" fillId="3" borderId="18" xfId="0" applyFont="1" applyFill="1" applyBorder="1" applyAlignment="1">
      <alignment horizontal="right" vertical="center"/>
    </xf>
    <xf numFmtId="0" fontId="0" fillId="5" borderId="59" xfId="0" applyFill="1" applyBorder="1"/>
    <xf numFmtId="43" fontId="0" fillId="0" borderId="21" xfId="6" applyFont="1" applyBorder="1"/>
    <xf numFmtId="43" fontId="0" fillId="0" borderId="61" xfId="6" applyFont="1" applyBorder="1"/>
    <xf numFmtId="0" fontId="21" fillId="0" borderId="0" xfId="0" applyFont="1" applyAlignment="1">
      <alignment horizontal="left" vertical="center" indent="6"/>
    </xf>
    <xf numFmtId="43" fontId="0" fillId="0" borderId="13" xfId="6" applyFont="1" applyBorder="1" applyAlignment="1">
      <alignment vertical="center"/>
    </xf>
    <xf numFmtId="43" fontId="0" fillId="0" borderId="16" xfId="6" applyFont="1" applyBorder="1" applyAlignment="1">
      <alignment vertical="center"/>
    </xf>
    <xf numFmtId="43" fontId="0" fillId="0" borderId="45" xfId="6" applyFont="1" applyBorder="1"/>
    <xf numFmtId="9" fontId="0" fillId="0" borderId="16" xfId="9" applyFont="1" applyBorder="1"/>
    <xf numFmtId="0" fontId="0" fillId="0" borderId="0" xfId="0"/>
    <xf numFmtId="0" fontId="0" fillId="0" borderId="10" xfId="0" applyBorder="1"/>
    <xf numFmtId="0" fontId="1" fillId="4" borderId="10" xfId="0" applyFont="1" applyFill="1" applyBorder="1"/>
    <xf numFmtId="0" fontId="1" fillId="4" borderId="11" xfId="0" applyFont="1" applyFill="1" applyBorder="1" applyAlignment="1">
      <alignment horizontal="right"/>
    </xf>
    <xf numFmtId="0" fontId="0" fillId="0" borderId="12" xfId="0" applyBorder="1"/>
    <xf numFmtId="0" fontId="0" fillId="0" borderId="15" xfId="0" applyBorder="1"/>
    <xf numFmtId="0" fontId="0" fillId="5" borderId="12" xfId="0" applyFill="1" applyBorder="1"/>
    <xf numFmtId="0" fontId="0" fillId="5" borderId="13" xfId="0" applyFill="1" applyBorder="1"/>
    <xf numFmtId="0" fontId="0" fillId="5" borderId="17" xfId="0" applyFill="1" applyBorder="1"/>
    <xf numFmtId="0" fontId="0" fillId="5" borderId="25" xfId="0" applyFill="1" applyBorder="1" applyAlignment="1">
      <alignment horizontal="right"/>
    </xf>
    <xf numFmtId="1" fontId="0" fillId="0" borderId="0" xfId="0" applyNumberFormat="1"/>
    <xf numFmtId="1" fontId="1" fillId="4" borderId="14" xfId="0" applyNumberFormat="1" applyFont="1" applyFill="1" applyBorder="1"/>
    <xf numFmtId="0" fontId="0" fillId="0" borderId="30" xfId="0" applyBorder="1"/>
    <xf numFmtId="0" fontId="0" fillId="0" borderId="0" xfId="0" applyAlignment="1">
      <alignment horizontal="center"/>
    </xf>
    <xf numFmtId="43" fontId="0" fillId="0" borderId="16" xfId="6" applyFont="1" applyBorder="1"/>
    <xf numFmtId="0" fontId="14" fillId="0" borderId="32" xfId="0" applyFont="1" applyBorder="1" applyAlignment="1">
      <alignment horizontal="center"/>
    </xf>
    <xf numFmtId="0" fontId="0" fillId="0" borderId="33" xfId="0" applyBorder="1"/>
    <xf numFmtId="0" fontId="2" fillId="0" borderId="34" xfId="0" applyFont="1" applyBorder="1" applyAlignment="1">
      <alignment horizontal="center"/>
    </xf>
    <xf numFmtId="0" fontId="0" fillId="0" borderId="35" xfId="0" applyBorder="1"/>
    <xf numFmtId="0" fontId="13" fillId="0" borderId="34" xfId="0" applyFont="1" applyBorder="1"/>
    <xf numFmtId="0" fontId="0" fillId="0" borderId="36" xfId="0" applyBorder="1"/>
    <xf numFmtId="0" fontId="0" fillId="0" borderId="37" xfId="0" applyBorder="1"/>
    <xf numFmtId="0" fontId="0" fillId="0" borderId="32" xfId="0" applyBorder="1"/>
    <xf numFmtId="0" fontId="0" fillId="0" borderId="34" xfId="0" applyBorder="1"/>
    <xf numFmtId="0" fontId="0" fillId="0" borderId="0" xfId="0" applyBorder="1"/>
    <xf numFmtId="0" fontId="1" fillId="4" borderId="50" xfId="0" applyFont="1" applyFill="1" applyBorder="1"/>
    <xf numFmtId="2" fontId="3" fillId="4" borderId="48" xfId="0" applyNumberFormat="1" applyFont="1" applyFill="1" applyBorder="1"/>
    <xf numFmtId="0" fontId="0" fillId="5" borderId="12" xfId="0" applyFill="1" applyBorder="1" applyAlignment="1">
      <alignment wrapText="1"/>
    </xf>
    <xf numFmtId="0" fontId="0" fillId="0" borderId="12" xfId="0" applyBorder="1" applyAlignment="1">
      <alignment vertical="center"/>
    </xf>
    <xf numFmtId="2" fontId="0" fillId="0" borderId="31" xfId="0" applyNumberFormat="1" applyBorder="1" applyAlignment="1">
      <alignment vertical="center"/>
    </xf>
    <xf numFmtId="2" fontId="0" fillId="0" borderId="13" xfId="0" applyNumberFormat="1" applyBorder="1" applyAlignment="1">
      <alignment vertical="center"/>
    </xf>
    <xf numFmtId="0" fontId="1" fillId="4" borderId="10" xfId="0" applyFont="1" applyFill="1" applyBorder="1" applyAlignment="1">
      <alignment vertical="center"/>
    </xf>
    <xf numFmtId="0" fontId="0" fillId="0" borderId="0" xfId="0" applyAlignment="1">
      <alignment vertical="top" wrapText="1"/>
    </xf>
    <xf numFmtId="0" fontId="0" fillId="0" borderId="44" xfId="0" applyBorder="1"/>
    <xf numFmtId="0" fontId="5" fillId="0" borderId="0" xfId="1" applyAlignment="1">
      <alignment wrapText="1"/>
    </xf>
    <xf numFmtId="43" fontId="0" fillId="0" borderId="21" xfId="6" applyFont="1" applyBorder="1"/>
    <xf numFmtId="43" fontId="0" fillId="0" borderId="13" xfId="6" applyFont="1" applyBorder="1" applyAlignment="1">
      <alignment vertical="center"/>
    </xf>
    <xf numFmtId="43" fontId="0" fillId="0" borderId="16" xfId="6" applyFont="1" applyBorder="1" applyAlignment="1">
      <alignment vertical="center"/>
    </xf>
    <xf numFmtId="9" fontId="0" fillId="0" borderId="21" xfId="9" applyFont="1" applyBorder="1"/>
    <xf numFmtId="170" fontId="0" fillId="0" borderId="21" xfId="6" applyNumberFormat="1" applyFont="1" applyBorder="1"/>
    <xf numFmtId="170" fontId="0" fillId="0" borderId="45" xfId="6" applyNumberFormat="1" applyFont="1" applyBorder="1"/>
    <xf numFmtId="0" fontId="0" fillId="5" borderId="30" xfId="0" applyFill="1" applyBorder="1"/>
    <xf numFmtId="43" fontId="0" fillId="0" borderId="23" xfId="6" applyFont="1" applyBorder="1"/>
    <xf numFmtId="0" fontId="2" fillId="5" borderId="0" xfId="0" applyFont="1" applyFill="1"/>
    <xf numFmtId="0" fontId="0" fillId="0" borderId="30" xfId="0" applyBorder="1" applyAlignment="1">
      <alignment vertical="center"/>
    </xf>
    <xf numFmtId="43" fontId="0" fillId="0" borderId="31" xfId="6" applyFont="1" applyBorder="1" applyAlignment="1">
      <alignment vertical="center"/>
    </xf>
    <xf numFmtId="0" fontId="14" fillId="0" borderId="50" xfId="0" applyFont="1" applyBorder="1" applyAlignment="1">
      <alignment horizontal="center"/>
    </xf>
    <xf numFmtId="0" fontId="0" fillId="0" borderId="48" xfId="0" applyBorder="1"/>
    <xf numFmtId="0" fontId="2" fillId="0" borderId="10" xfId="0" applyFont="1" applyBorder="1" applyAlignment="1">
      <alignment horizontal="center"/>
    </xf>
    <xf numFmtId="0" fontId="13" fillId="0" borderId="10" xfId="0" applyFont="1" applyBorder="1"/>
    <xf numFmtId="0" fontId="0" fillId="0" borderId="53" xfId="0" applyBorder="1"/>
    <xf numFmtId="0" fontId="0" fillId="0" borderId="54" xfId="0" applyBorder="1"/>
    <xf numFmtId="0" fontId="0" fillId="0" borderId="50" xfId="0" applyBorder="1"/>
    <xf numFmtId="2" fontId="0" fillId="0" borderId="21" xfId="0" applyNumberFormat="1" applyBorder="1" applyAlignment="1">
      <alignment vertical="center"/>
    </xf>
    <xf numFmtId="43" fontId="0" fillId="0" borderId="21" xfId="6" applyFont="1" applyBorder="1" applyAlignment="1">
      <alignment vertical="center"/>
    </xf>
    <xf numFmtId="171" fontId="0" fillId="5" borderId="45" xfId="6" applyNumberFormat="1" applyFont="1" applyFill="1" applyBorder="1" applyAlignment="1">
      <alignment horizontal="right" vertical="center"/>
    </xf>
    <xf numFmtId="171" fontId="0" fillId="5" borderId="13" xfId="6" applyNumberFormat="1" applyFont="1" applyFill="1" applyBorder="1" applyAlignment="1">
      <alignment horizontal="right" vertical="center"/>
    </xf>
    <xf numFmtId="171" fontId="0" fillId="0" borderId="13" xfId="6" applyNumberFormat="1" applyFont="1" applyBorder="1" applyAlignment="1">
      <alignment vertical="center"/>
    </xf>
    <xf numFmtId="171" fontId="0" fillId="0" borderId="16" xfId="6" applyNumberFormat="1" applyFont="1" applyBorder="1" applyAlignment="1">
      <alignment vertical="center"/>
    </xf>
    <xf numFmtId="0" fontId="0" fillId="5" borderId="31" xfId="0" applyFill="1" applyBorder="1" applyAlignment="1">
      <alignment horizontal="right" vertical="center"/>
    </xf>
    <xf numFmtId="0" fontId="0" fillId="5" borderId="13" xfId="0" applyFill="1" applyBorder="1" applyAlignment="1">
      <alignment vertical="center"/>
    </xf>
    <xf numFmtId="0" fontId="0" fillId="5" borderId="17" xfId="0" applyFill="1" applyBorder="1" applyAlignment="1">
      <alignment vertical="center" wrapText="1"/>
    </xf>
    <xf numFmtId="0" fontId="0" fillId="5" borderId="25" xfId="0" applyFill="1" applyBorder="1" applyAlignment="1">
      <alignment horizontal="right" vertical="center"/>
    </xf>
    <xf numFmtId="0" fontId="0" fillId="0" borderId="65" xfId="0" applyBorder="1" applyAlignment="1">
      <alignment vertical="center"/>
    </xf>
    <xf numFmtId="2" fontId="0" fillId="0" borderId="66" xfId="0" applyNumberFormat="1" applyBorder="1" applyAlignment="1">
      <alignment vertical="center"/>
    </xf>
    <xf numFmtId="0" fontId="3" fillId="0" borderId="0" xfId="0" applyFont="1"/>
    <xf numFmtId="0" fontId="0" fillId="0" borderId="16" xfId="0" applyFont="1" applyBorder="1" applyAlignment="1">
      <alignment vertical="center"/>
    </xf>
    <xf numFmtId="0" fontId="0" fillId="0" borderId="12" xfId="0" applyFill="1" applyBorder="1"/>
    <xf numFmtId="43" fontId="0" fillId="0" borderId="13" xfId="0" applyNumberFormat="1" applyBorder="1"/>
    <xf numFmtId="0" fontId="0" fillId="0" borderId="10" xfId="0" applyFill="1" applyBorder="1" applyAlignment="1">
      <alignment wrapText="1"/>
    </xf>
    <xf numFmtId="0" fontId="0" fillId="0" borderId="14" xfId="0" applyBorder="1"/>
    <xf numFmtId="0" fontId="0" fillId="0" borderId="85" xfId="0" applyBorder="1"/>
    <xf numFmtId="0" fontId="0" fillId="0" borderId="51" xfId="0" applyBorder="1"/>
    <xf numFmtId="0" fontId="2" fillId="6" borderId="70" xfId="0" applyFont="1" applyFill="1" applyBorder="1"/>
    <xf numFmtId="0" fontId="2" fillId="6" borderId="48" xfId="0" applyFont="1" applyFill="1" applyBorder="1"/>
    <xf numFmtId="0" fontId="6" fillId="6" borderId="50" xfId="0" applyFont="1" applyFill="1" applyBorder="1"/>
    <xf numFmtId="0" fontId="1" fillId="3" borderId="31" xfId="0" applyFont="1" applyFill="1" applyBorder="1" applyAlignment="1">
      <alignment vertical="center"/>
    </xf>
    <xf numFmtId="0" fontId="0" fillId="0" borderId="0" xfId="0" applyAlignment="1">
      <alignment horizontal="left" vertical="top" wrapText="1"/>
    </xf>
    <xf numFmtId="0" fontId="0" fillId="0" borderId="0" xfId="0" applyAlignment="1">
      <alignment vertical="top" wrapText="1"/>
    </xf>
    <xf numFmtId="0" fontId="0" fillId="3" borderId="70" xfId="0" applyFill="1" applyBorder="1"/>
    <xf numFmtId="0" fontId="0" fillId="3" borderId="48" xfId="0" applyFill="1" applyBorder="1"/>
    <xf numFmtId="0" fontId="6" fillId="3" borderId="50" xfId="0" applyFont="1" applyFill="1" applyBorder="1"/>
    <xf numFmtId="0" fontId="0" fillId="0" borderId="87" xfId="0" applyBorder="1" applyAlignment="1">
      <alignment wrapText="1"/>
    </xf>
    <xf numFmtId="0" fontId="0" fillId="0" borderId="78" xfId="0" applyBorder="1"/>
    <xf numFmtId="2" fontId="1" fillId="4" borderId="51" xfId="0" applyNumberFormat="1" applyFont="1" applyFill="1" applyBorder="1"/>
    <xf numFmtId="170" fontId="0" fillId="0" borderId="45" xfId="6" applyNumberFormat="1" applyFont="1" applyBorder="1" applyAlignment="1">
      <alignment vertical="center"/>
    </xf>
    <xf numFmtId="0" fontId="1" fillId="4" borderId="50" xfId="0" applyFont="1" applyFill="1" applyBorder="1" applyAlignment="1">
      <alignment vertical="center"/>
    </xf>
    <xf numFmtId="0" fontId="0" fillId="5" borderId="12" xfId="0" applyFill="1" applyBorder="1" applyAlignment="1">
      <alignment vertical="center" wrapText="1"/>
    </xf>
    <xf numFmtId="0" fontId="0" fillId="0" borderId="0" xfId="0" applyAlignment="1">
      <alignment vertical="top" wrapText="1"/>
    </xf>
    <xf numFmtId="0" fontId="0" fillId="0" borderId="0" xfId="0" applyBorder="1" applyAlignment="1">
      <alignment vertical="top" wrapText="1"/>
    </xf>
    <xf numFmtId="0" fontId="12" fillId="2" borderId="70" xfId="0" applyFont="1" applyFill="1" applyBorder="1"/>
    <xf numFmtId="0" fontId="12" fillId="2" borderId="48" xfId="0" applyFont="1" applyFill="1" applyBorder="1"/>
    <xf numFmtId="0" fontId="37" fillId="2" borderId="0" xfId="0" applyFont="1" applyFill="1"/>
    <xf numFmtId="0" fontId="12" fillId="2" borderId="50" xfId="0" applyFont="1" applyFill="1" applyBorder="1"/>
    <xf numFmtId="0" fontId="34" fillId="5" borderId="17" xfId="0" applyFont="1" applyFill="1" applyBorder="1"/>
    <xf numFmtId="0" fontId="34" fillId="5" borderId="12" xfId="0" applyFont="1" applyFill="1" applyBorder="1" applyAlignment="1">
      <alignment wrapText="1"/>
    </xf>
    <xf numFmtId="0" fontId="34" fillId="5" borderId="30" xfId="0" applyFont="1" applyFill="1" applyBorder="1" applyAlignment="1">
      <alignment wrapText="1"/>
    </xf>
    <xf numFmtId="0" fontId="5" fillId="0" borderId="0" xfId="1" applyAlignment="1">
      <alignment vertical="top" wrapText="1"/>
    </xf>
    <xf numFmtId="0" fontId="2" fillId="5" borderId="61" xfId="0" applyFont="1" applyFill="1" applyBorder="1"/>
    <xf numFmtId="0" fontId="2" fillId="5" borderId="0" xfId="0" applyFont="1" applyFill="1" applyBorder="1"/>
    <xf numFmtId="0" fontId="2" fillId="5" borderId="3" xfId="0" applyFont="1" applyFill="1" applyBorder="1"/>
    <xf numFmtId="0" fontId="0" fillId="0" borderId="0" xfId="0" applyAlignment="1">
      <alignment vertical="top" wrapText="1"/>
    </xf>
    <xf numFmtId="0" fontId="12" fillId="2" borderId="50" xfId="0" applyFont="1" applyFill="1" applyBorder="1" applyAlignment="1">
      <alignment vertical="center"/>
    </xf>
    <xf numFmtId="0" fontId="14" fillId="2" borderId="14" xfId="0" applyFont="1" applyFill="1" applyBorder="1" applyAlignment="1">
      <alignment horizontal="center" vertical="center" wrapText="1"/>
    </xf>
    <xf numFmtId="0" fontId="38" fillId="0" borderId="14" xfId="0" applyFont="1" applyBorder="1"/>
    <xf numFmtId="0" fontId="38" fillId="0" borderId="85" xfId="0" applyFont="1" applyBorder="1"/>
    <xf numFmtId="0" fontId="38" fillId="0" borderId="0" xfId="0" applyFont="1"/>
    <xf numFmtId="0" fontId="38" fillId="0" borderId="51" xfId="0" applyFont="1" applyBorder="1"/>
    <xf numFmtId="0" fontId="1" fillId="3" borderId="51" xfId="0" applyFont="1" applyFill="1" applyBorder="1" applyAlignment="1">
      <alignment vertical="top" wrapText="1"/>
    </xf>
    <xf numFmtId="0" fontId="0" fillId="0" borderId="14" xfId="0" applyBorder="1" applyAlignment="1">
      <alignment vertical="top" wrapText="1"/>
    </xf>
    <xf numFmtId="0" fontId="0" fillId="0" borderId="85" xfId="0" applyBorder="1" applyAlignment="1">
      <alignment vertical="top" wrapText="1"/>
    </xf>
    <xf numFmtId="0" fontId="1" fillId="3" borderId="51" xfId="0" applyFont="1" applyFill="1" applyBorder="1" applyAlignment="1">
      <alignment vertical="center" wrapText="1"/>
    </xf>
    <xf numFmtId="0" fontId="0" fillId="0" borderId="0" xfId="0" applyAlignment="1">
      <alignment horizontal="left"/>
    </xf>
    <xf numFmtId="0" fontId="0" fillId="0" borderId="15" xfId="0" applyBorder="1" applyAlignment="1">
      <alignment horizontal="left" vertical="center"/>
    </xf>
    <xf numFmtId="0" fontId="1" fillId="3" borderId="51" xfId="0" applyFont="1" applyFill="1" applyBorder="1" applyAlignment="1">
      <alignment horizontal="left" vertical="top" wrapText="1"/>
    </xf>
    <xf numFmtId="0" fontId="5" fillId="0" borderId="14" xfId="1" applyBorder="1"/>
    <xf numFmtId="0" fontId="17" fillId="3" borderId="57" xfId="0" applyFont="1" applyFill="1" applyBorder="1"/>
    <xf numFmtId="0" fontId="5" fillId="0" borderId="85" xfId="1" applyBorder="1"/>
    <xf numFmtId="0" fontId="0" fillId="0" borderId="14" xfId="0" applyBorder="1" applyAlignment="1">
      <alignment vertical="top" wrapText="1"/>
    </xf>
    <xf numFmtId="0" fontId="5" fillId="0" borderId="85" xfId="1" applyBorder="1" applyAlignment="1">
      <alignment vertical="center" wrapText="1"/>
    </xf>
    <xf numFmtId="0" fontId="1" fillId="3" borderId="50" xfId="0" applyFont="1" applyFill="1" applyBorder="1" applyAlignment="1">
      <alignment horizontal="left" vertical="center" indent="1"/>
    </xf>
    <xf numFmtId="0" fontId="3" fillId="3" borderId="70" xfId="0" applyFont="1" applyFill="1" applyBorder="1"/>
    <xf numFmtId="0" fontId="3" fillId="3" borderId="48" xfId="0" applyFont="1" applyFill="1" applyBorder="1"/>
    <xf numFmtId="0" fontId="0" fillId="0" borderId="10" xfId="0" applyBorder="1" applyAlignment="1">
      <alignment horizontal="left" vertical="center" indent="2"/>
    </xf>
    <xf numFmtId="0" fontId="0" fillId="0" borderId="53" xfId="0" applyBorder="1" applyAlignment="1">
      <alignment horizontal="left" vertical="center" indent="2"/>
    </xf>
    <xf numFmtId="0" fontId="0" fillId="0" borderId="71" xfId="0" applyBorder="1"/>
    <xf numFmtId="0" fontId="5" fillId="0" borderId="88" xfId="1" applyBorder="1" applyAlignment="1">
      <alignment vertical="center"/>
    </xf>
    <xf numFmtId="171" fontId="0" fillId="0" borderId="31" xfId="6" applyNumberFormat="1" applyFont="1" applyBorder="1"/>
    <xf numFmtId="0" fontId="0" fillId="5" borderId="31" xfId="0" applyFill="1" applyBorder="1" applyAlignment="1" applyProtection="1">
      <alignment horizontal="right" vertical="center"/>
      <protection locked="0"/>
    </xf>
    <xf numFmtId="0" fontId="1" fillId="4" borderId="50" xfId="0" applyFont="1" applyFill="1" applyBorder="1" applyProtection="1"/>
    <xf numFmtId="2" fontId="3" fillId="4" borderId="48" xfId="0" applyNumberFormat="1" applyFont="1" applyFill="1" applyBorder="1" applyProtection="1"/>
    <xf numFmtId="0" fontId="0" fillId="0" borderId="44" xfId="0" applyBorder="1" applyProtection="1"/>
    <xf numFmtId="43" fontId="0" fillId="0" borderId="45" xfId="6" applyFont="1" applyBorder="1" applyProtection="1"/>
    <xf numFmtId="0" fontId="0" fillId="0" borderId="12" xfId="0" applyBorder="1" applyProtection="1"/>
    <xf numFmtId="43" fontId="0" fillId="0" borderId="21" xfId="6" applyFont="1" applyBorder="1" applyProtection="1"/>
    <xf numFmtId="0" fontId="0" fillId="0" borderId="12" xfId="0" applyBorder="1" applyAlignment="1" applyProtection="1">
      <alignment vertical="center"/>
    </xf>
    <xf numFmtId="43" fontId="0" fillId="0" borderId="21" xfId="6" applyFont="1" applyBorder="1" applyAlignment="1" applyProtection="1">
      <alignment vertical="center"/>
    </xf>
    <xf numFmtId="0" fontId="0" fillId="0" borderId="15" xfId="0" applyBorder="1" applyAlignment="1" applyProtection="1">
      <alignment vertical="center"/>
    </xf>
    <xf numFmtId="2" fontId="0" fillId="0" borderId="16" xfId="0" applyNumberFormat="1" applyBorder="1" applyAlignment="1" applyProtection="1">
      <alignment vertical="center"/>
    </xf>
    <xf numFmtId="0" fontId="0" fillId="0" borderId="0" xfId="0" applyProtection="1"/>
    <xf numFmtId="0" fontId="0" fillId="0" borderId="30" xfId="0" applyBorder="1" applyProtection="1"/>
    <xf numFmtId="43" fontId="0" fillId="0" borderId="45" xfId="6" applyFont="1" applyFill="1" applyBorder="1" applyProtection="1"/>
    <xf numFmtId="43" fontId="0" fillId="0" borderId="16" xfId="6" applyFont="1" applyBorder="1" applyAlignment="1" applyProtection="1">
      <alignment vertical="center"/>
    </xf>
    <xf numFmtId="0" fontId="1" fillId="4" borderId="10" xfId="0" applyFont="1" applyFill="1" applyBorder="1" applyProtection="1"/>
    <xf numFmtId="43" fontId="0" fillId="0" borderId="31" xfId="6" applyFont="1" applyBorder="1" applyProtection="1"/>
    <xf numFmtId="43" fontId="0" fillId="0" borderId="13" xfId="6" applyFont="1" applyBorder="1" applyProtection="1"/>
    <xf numFmtId="0" fontId="0" fillId="0" borderId="15" xfId="0" applyBorder="1" applyProtection="1"/>
    <xf numFmtId="43" fontId="0" fillId="0" borderId="16" xfId="6" applyFont="1" applyBorder="1" applyProtection="1"/>
    <xf numFmtId="0" fontId="20" fillId="0" borderId="0" xfId="0" applyFont="1" applyAlignment="1" applyProtection="1">
      <alignment vertical="center"/>
    </xf>
    <xf numFmtId="0" fontId="4" fillId="0" borderId="0" xfId="0" applyFont="1" applyAlignment="1" applyProtection="1">
      <alignment horizontal="left" vertical="center" indent="6"/>
    </xf>
    <xf numFmtId="0" fontId="1" fillId="3" borderId="50" xfId="0" applyFont="1" applyFill="1" applyBorder="1" applyAlignment="1" applyProtection="1">
      <alignment horizontal="left" vertical="center" indent="1"/>
    </xf>
    <xf numFmtId="0" fontId="3" fillId="3" borderId="70" xfId="0" applyFont="1" applyFill="1" applyBorder="1" applyProtection="1"/>
    <xf numFmtId="0" fontId="3" fillId="3" borderId="48" xfId="0" applyFont="1" applyFill="1" applyBorder="1" applyProtection="1"/>
    <xf numFmtId="0" fontId="0" fillId="0" borderId="10" xfId="0" applyBorder="1" applyAlignment="1" applyProtection="1">
      <alignment horizontal="left" vertical="center" indent="2"/>
    </xf>
    <xf numFmtId="0" fontId="0" fillId="0" borderId="0" xfId="0" applyBorder="1" applyProtection="1"/>
    <xf numFmtId="0" fontId="0" fillId="0" borderId="11" xfId="0" applyBorder="1" applyProtection="1"/>
    <xf numFmtId="0" fontId="5" fillId="0" borderId="88" xfId="1" applyBorder="1" applyAlignment="1" applyProtection="1">
      <alignment vertical="center"/>
    </xf>
    <xf numFmtId="0" fontId="0" fillId="0" borderId="53" xfId="0" applyBorder="1" applyAlignment="1" applyProtection="1">
      <alignment horizontal="left" vertical="center" indent="2"/>
    </xf>
    <xf numFmtId="0" fontId="0" fillId="0" borderId="71" xfId="0" applyBorder="1" applyProtection="1"/>
    <xf numFmtId="0" fontId="0" fillId="0" borderId="54" xfId="0" applyBorder="1" applyProtection="1"/>
    <xf numFmtId="0" fontId="0" fillId="0" borderId="0" xfId="0" applyBorder="1" applyAlignment="1" applyProtection="1">
      <alignment horizontal="left" vertical="center" indent="2"/>
    </xf>
    <xf numFmtId="0" fontId="29" fillId="0" borderId="0" xfId="0" applyFont="1" applyAlignment="1" applyProtection="1">
      <alignment vertical="center"/>
    </xf>
    <xf numFmtId="0" fontId="1" fillId="3" borderId="51" xfId="0" applyFont="1" applyFill="1" applyBorder="1" applyAlignment="1" applyProtection="1">
      <alignment vertical="top" wrapText="1"/>
    </xf>
    <xf numFmtId="0" fontId="1" fillId="4" borderId="11" xfId="0" applyFont="1" applyFill="1" applyBorder="1" applyAlignment="1" applyProtection="1">
      <alignment horizontal="right"/>
    </xf>
    <xf numFmtId="0" fontId="0" fillId="0" borderId="14" xfId="0" applyBorder="1" applyAlignment="1" applyProtection="1">
      <alignment vertical="top" wrapText="1"/>
    </xf>
    <xf numFmtId="0" fontId="0" fillId="5" borderId="30" xfId="0" applyFill="1" applyBorder="1" applyAlignment="1" applyProtection="1">
      <alignment vertical="center" wrapText="1"/>
    </xf>
    <xf numFmtId="0" fontId="0" fillId="5" borderId="31" xfId="0" applyFill="1" applyBorder="1" applyAlignment="1" applyProtection="1">
      <alignment horizontal="right" vertical="center"/>
    </xf>
    <xf numFmtId="0" fontId="0" fillId="0" borderId="0" xfId="0" applyAlignment="1" applyProtection="1">
      <alignment vertical="top" wrapText="1"/>
    </xf>
    <xf numFmtId="0" fontId="0" fillId="0" borderId="14" xfId="0" applyBorder="1" applyProtection="1"/>
    <xf numFmtId="43" fontId="0" fillId="0" borderId="0" xfId="0" applyNumberFormat="1" applyProtection="1"/>
    <xf numFmtId="0" fontId="0" fillId="5" borderId="30" xfId="0" applyFill="1" applyBorder="1" applyAlignment="1" applyProtection="1">
      <alignment wrapText="1"/>
    </xf>
    <xf numFmtId="0" fontId="5" fillId="0" borderId="14" xfId="1" applyBorder="1" applyProtection="1"/>
    <xf numFmtId="0" fontId="0" fillId="5" borderId="12" xfId="0" applyFill="1" applyBorder="1" applyAlignment="1" applyProtection="1">
      <alignment wrapText="1"/>
    </xf>
    <xf numFmtId="0" fontId="0" fillId="5" borderId="13" xfId="0" applyFill="1" applyBorder="1" applyAlignment="1" applyProtection="1">
      <alignment vertical="center" wrapText="1"/>
    </xf>
    <xf numFmtId="0" fontId="5" fillId="0" borderId="14" xfId="1" applyBorder="1" applyAlignment="1" applyProtection="1">
      <alignment vertical="center" wrapText="1"/>
    </xf>
    <xf numFmtId="43" fontId="0" fillId="0" borderId="0" xfId="6" applyFont="1" applyProtection="1"/>
    <xf numFmtId="0" fontId="0" fillId="5" borderId="15" xfId="0" applyFill="1" applyBorder="1" applyAlignment="1" applyProtection="1">
      <alignment wrapText="1"/>
    </xf>
    <xf numFmtId="0" fontId="3" fillId="0" borderId="0" xfId="0" applyFont="1" applyProtection="1"/>
    <xf numFmtId="0" fontId="0" fillId="3" borderId="70" xfId="0" applyFill="1" applyBorder="1" applyProtection="1"/>
    <xf numFmtId="0" fontId="0" fillId="3" borderId="48" xfId="0" applyFill="1" applyBorder="1" applyProtection="1"/>
    <xf numFmtId="0" fontId="0" fillId="5" borderId="31" xfId="0" applyFill="1" applyBorder="1" applyAlignment="1" applyProtection="1">
      <alignment horizontal="right"/>
    </xf>
    <xf numFmtId="0" fontId="0" fillId="5" borderId="13" xfId="0" applyFill="1" applyBorder="1" applyAlignment="1" applyProtection="1">
      <alignment wrapText="1"/>
    </xf>
    <xf numFmtId="0" fontId="0" fillId="5" borderId="16" xfId="0" applyFill="1" applyBorder="1" applyAlignment="1" applyProtection="1">
      <alignment horizontal="right"/>
    </xf>
    <xf numFmtId="0" fontId="0" fillId="0" borderId="0" xfId="0" applyAlignment="1" applyProtection="1">
      <alignment horizontal="center"/>
    </xf>
    <xf numFmtId="0" fontId="14" fillId="0" borderId="32" xfId="0" applyFont="1" applyBorder="1" applyAlignment="1" applyProtection="1">
      <alignment horizontal="center"/>
    </xf>
    <xf numFmtId="0" fontId="0" fillId="0" borderId="33" xfId="0" applyBorder="1" applyProtection="1"/>
    <xf numFmtId="0" fontId="0" fillId="0" borderId="32" xfId="0" applyBorder="1" applyProtection="1"/>
    <xf numFmtId="0" fontId="2" fillId="0" borderId="34" xfId="0" applyFont="1" applyBorder="1" applyAlignment="1" applyProtection="1">
      <alignment horizontal="center"/>
    </xf>
    <xf numFmtId="0" fontId="0" fillId="0" borderId="35" xfId="0" applyBorder="1" applyProtection="1"/>
    <xf numFmtId="0" fontId="0" fillId="0" borderId="34" xfId="0" applyBorder="1" applyProtection="1"/>
    <xf numFmtId="0" fontId="13" fillId="0" borderId="34" xfId="0" applyFont="1" applyBorder="1" applyProtection="1"/>
    <xf numFmtId="0" fontId="0" fillId="0" borderId="36" xfId="0" applyBorder="1" applyProtection="1"/>
    <xf numFmtId="0" fontId="0" fillId="0" borderId="37" xfId="0" applyBorder="1" applyProtection="1"/>
    <xf numFmtId="0" fontId="1" fillId="3" borderId="0" xfId="0" applyFont="1" applyFill="1"/>
    <xf numFmtId="0" fontId="1" fillId="3" borderId="55" xfId="0" applyFont="1" applyFill="1" applyBorder="1"/>
    <xf numFmtId="0" fontId="1" fillId="3" borderId="57" xfId="0" applyFont="1" applyFill="1" applyBorder="1"/>
    <xf numFmtId="0" fontId="1" fillId="3" borderId="89" xfId="0" applyFont="1" applyFill="1" applyBorder="1" applyAlignment="1">
      <alignment vertical="center" wrapText="1"/>
    </xf>
    <xf numFmtId="0" fontId="5" fillId="0" borderId="90" xfId="1" applyBorder="1" applyAlignment="1">
      <alignment vertical="top" wrapText="1"/>
    </xf>
    <xf numFmtId="0" fontId="0" fillId="0" borderId="90" xfId="0" applyBorder="1"/>
    <xf numFmtId="0" fontId="5" fillId="0" borderId="51" xfId="1" applyBorder="1" applyAlignment="1">
      <alignment vertical="center"/>
    </xf>
    <xf numFmtId="0" fontId="1" fillId="3" borderId="89" xfId="0" applyFont="1" applyFill="1" applyBorder="1" applyAlignment="1">
      <alignment horizontal="left" vertical="center" wrapText="1"/>
    </xf>
    <xf numFmtId="0" fontId="5" fillId="0" borderId="90" xfId="1" applyBorder="1" applyAlignment="1">
      <alignment horizontal="left" vertical="center" wrapText="1"/>
    </xf>
    <xf numFmtId="0" fontId="0" fillId="0" borderId="90" xfId="0" applyBorder="1" applyAlignment="1">
      <alignment vertical="top" wrapText="1"/>
    </xf>
    <xf numFmtId="0" fontId="0" fillId="0" borderId="91" xfId="0" applyBorder="1" applyAlignment="1">
      <alignment vertical="top" wrapText="1"/>
    </xf>
    <xf numFmtId="43" fontId="1" fillId="4" borderId="14" xfId="6" applyFont="1" applyFill="1" applyBorder="1"/>
    <xf numFmtId="0" fontId="1" fillId="3" borderId="89" xfId="0" applyFont="1" applyFill="1" applyBorder="1" applyAlignment="1">
      <alignment vertical="top" wrapText="1"/>
    </xf>
    <xf numFmtId="0" fontId="0" fillId="0" borderId="91" xfId="0" applyBorder="1"/>
    <xf numFmtId="1" fontId="0" fillId="0" borderId="13" xfId="0" applyNumberFormat="1" applyBorder="1" applyAlignment="1">
      <alignment vertical="center"/>
    </xf>
    <xf numFmtId="43" fontId="0" fillId="0" borderId="16" xfId="6" applyFont="1" applyBorder="1" applyAlignment="1">
      <alignment horizontal="right" vertical="center"/>
    </xf>
    <xf numFmtId="0" fontId="0" fillId="0" borderId="92" xfId="0" applyBorder="1"/>
    <xf numFmtId="2" fontId="0" fillId="0" borderId="93" xfId="0" applyNumberFormat="1" applyBorder="1" applyAlignment="1">
      <alignment vertical="center"/>
    </xf>
    <xf numFmtId="0" fontId="0" fillId="0" borderId="94" xfId="0" applyBorder="1"/>
    <xf numFmtId="2" fontId="0" fillId="0" borderId="95" xfId="0" applyNumberFormat="1" applyBorder="1" applyAlignment="1">
      <alignment vertical="center"/>
    </xf>
    <xf numFmtId="0" fontId="0" fillId="5" borderId="12" xfId="0" applyFill="1" applyBorder="1" applyAlignment="1" applyProtection="1">
      <alignment vertical="center" wrapText="1"/>
    </xf>
    <xf numFmtId="0" fontId="6" fillId="3" borderId="50" xfId="0" applyFont="1" applyFill="1" applyBorder="1" applyProtection="1"/>
    <xf numFmtId="43" fontId="0" fillId="0" borderId="45" xfId="6" applyFont="1" applyBorder="1" applyAlignment="1">
      <alignment vertical="center"/>
    </xf>
    <xf numFmtId="43" fontId="0" fillId="5" borderId="64" xfId="6" applyFont="1" applyFill="1" applyBorder="1" applyAlignment="1">
      <alignment horizontal="right"/>
    </xf>
    <xf numFmtId="171" fontId="0" fillId="5" borderId="58" xfId="6" applyNumberFormat="1" applyFont="1" applyFill="1" applyBorder="1" applyAlignment="1">
      <alignment horizontal="right"/>
    </xf>
    <xf numFmtId="43" fontId="0" fillId="5" borderId="13" xfId="6" applyFont="1" applyFill="1" applyBorder="1" applyAlignment="1">
      <alignment horizontal="right"/>
    </xf>
    <xf numFmtId="0" fontId="0" fillId="0" borderId="12" xfId="0" applyBorder="1" applyAlignment="1">
      <alignment vertical="center" wrapText="1"/>
    </xf>
    <xf numFmtId="0" fontId="0" fillId="0" borderId="19" xfId="0" applyBorder="1" applyAlignment="1">
      <alignment vertical="center"/>
    </xf>
    <xf numFmtId="2" fontId="0" fillId="0" borderId="24" xfId="0" applyNumberFormat="1" applyBorder="1" applyAlignment="1">
      <alignment vertical="center"/>
    </xf>
    <xf numFmtId="1" fontId="0" fillId="0" borderId="60" xfId="0" applyNumberFormat="1" applyBorder="1" applyAlignment="1">
      <alignment vertical="center"/>
    </xf>
    <xf numFmtId="171" fontId="0" fillId="5" borderId="31" xfId="6" applyNumberFormat="1" applyFont="1" applyFill="1" applyBorder="1" applyAlignment="1">
      <alignment horizontal="right"/>
    </xf>
    <xf numFmtId="0" fontId="0" fillId="0" borderId="0" xfId="0" applyFont="1"/>
    <xf numFmtId="0" fontId="0" fillId="0" borderId="0" xfId="0" applyFont="1" applyBorder="1"/>
    <xf numFmtId="0" fontId="0" fillId="0" borderId="10" xfId="0" applyFont="1" applyBorder="1" applyAlignment="1">
      <alignment horizontal="left" vertical="top" indent="2"/>
    </xf>
    <xf numFmtId="0" fontId="0" fillId="0" borderId="0" xfId="0" applyFont="1" applyBorder="1" applyAlignment="1">
      <alignment vertical="top"/>
    </xf>
    <xf numFmtId="0" fontId="0" fillId="0" borderId="11" xfId="0" applyFont="1" applyBorder="1" applyAlignment="1">
      <alignment vertical="top" wrapText="1"/>
    </xf>
    <xf numFmtId="0" fontId="0" fillId="0" borderId="0" xfId="0" applyFont="1" applyBorder="1" applyAlignment="1">
      <alignment vertical="top" wrapText="1"/>
    </xf>
    <xf numFmtId="0" fontId="5" fillId="0" borderId="0" xfId="1" applyFont="1" applyBorder="1" applyAlignment="1">
      <alignment horizontal="left" vertical="top" wrapText="1" indent="6"/>
    </xf>
    <xf numFmtId="0" fontId="0" fillId="0" borderId="0" xfId="0" applyFont="1" applyBorder="1" applyAlignment="1">
      <alignment horizontal="left" vertical="top" wrapText="1" indent="2"/>
    </xf>
    <xf numFmtId="0" fontId="5" fillId="0" borderId="11" xfId="1" applyFont="1" applyBorder="1" applyAlignment="1">
      <alignment horizontal="left" vertical="top" wrapText="1" indent="2"/>
    </xf>
    <xf numFmtId="0" fontId="0" fillId="0" borderId="11" xfId="0" applyFont="1" applyBorder="1" applyAlignment="1">
      <alignment vertical="top"/>
    </xf>
    <xf numFmtId="0" fontId="5" fillId="3" borderId="54" xfId="1" applyFont="1" applyFill="1" applyBorder="1" applyAlignment="1">
      <alignment vertical="center"/>
    </xf>
    <xf numFmtId="0" fontId="0" fillId="5" borderId="30" xfId="0" applyFont="1" applyFill="1" applyBorder="1" applyAlignment="1">
      <alignment wrapText="1"/>
    </xf>
    <xf numFmtId="0" fontId="0" fillId="5" borderId="17" xfId="0" applyFont="1" applyFill="1" applyBorder="1" applyAlignment="1">
      <alignment wrapText="1"/>
    </xf>
    <xf numFmtId="0" fontId="0" fillId="5" borderId="12" xfId="0" applyFont="1" applyFill="1" applyBorder="1" applyAlignment="1">
      <alignment wrapText="1"/>
    </xf>
    <xf numFmtId="0" fontId="0" fillId="5" borderId="15" xfId="0" applyFont="1" applyFill="1" applyBorder="1" applyAlignment="1">
      <alignment wrapText="1"/>
    </xf>
    <xf numFmtId="0" fontId="0" fillId="0" borderId="13" xfId="0" applyFont="1" applyBorder="1" applyAlignment="1">
      <alignment vertical="center"/>
    </xf>
    <xf numFmtId="0" fontId="0" fillId="0" borderId="16" xfId="0" applyFont="1" applyBorder="1" applyAlignment="1">
      <alignment vertical="center" wrapText="1"/>
    </xf>
    <xf numFmtId="0" fontId="0" fillId="0" borderId="0" xfId="0" applyFont="1" applyAlignment="1">
      <alignment vertical="center"/>
    </xf>
    <xf numFmtId="0" fontId="0" fillId="0" borderId="55" xfId="0" applyFont="1" applyBorder="1" applyAlignment="1">
      <alignment vertical="center"/>
    </xf>
    <xf numFmtId="0" fontId="0" fillId="0" borderId="56" xfId="0" applyFont="1" applyBorder="1" applyAlignment="1">
      <alignment vertical="center"/>
    </xf>
    <xf numFmtId="0" fontId="0" fillId="0" borderId="57" xfId="0" applyFont="1" applyBorder="1"/>
    <xf numFmtId="0" fontId="2" fillId="0" borderId="0" xfId="0" applyFont="1" applyAlignment="1">
      <alignment horizontal="left" vertical="center" indent="2"/>
    </xf>
    <xf numFmtId="0" fontId="5" fillId="0" borderId="0" xfId="1" applyBorder="1"/>
    <xf numFmtId="43" fontId="0" fillId="5" borderId="31" xfId="6" applyFont="1" applyFill="1" applyBorder="1" applyAlignment="1">
      <alignment vertical="center"/>
    </xf>
    <xf numFmtId="43" fontId="0" fillId="5" borderId="13" xfId="6" applyFont="1" applyFill="1" applyBorder="1" applyAlignment="1">
      <alignment vertical="center"/>
    </xf>
    <xf numFmtId="1" fontId="0" fillId="5" borderId="31" xfId="0" applyNumberFormat="1" applyFill="1" applyBorder="1"/>
    <xf numFmtId="165" fontId="0" fillId="0" borderId="12" xfId="0" applyNumberFormat="1" applyBorder="1"/>
    <xf numFmtId="165" fontId="0" fillId="0" borderId="12" xfId="0" applyNumberFormat="1" applyBorder="1" applyAlignment="1">
      <alignment wrapText="1"/>
    </xf>
    <xf numFmtId="165" fontId="0" fillId="0" borderId="15" xfId="0" applyNumberFormat="1" applyBorder="1"/>
    <xf numFmtId="165" fontId="0" fillId="0" borderId="15" xfId="0" applyNumberFormat="1" applyBorder="1" applyAlignment="1">
      <alignment wrapText="1"/>
    </xf>
    <xf numFmtId="1" fontId="0" fillId="0" borderId="16" xfId="0" applyNumberFormat="1" applyBorder="1" applyAlignment="1">
      <alignment vertical="center"/>
    </xf>
    <xf numFmtId="43" fontId="0" fillId="5" borderId="31" xfId="6" applyFont="1" applyFill="1" applyBorder="1"/>
    <xf numFmtId="43" fontId="0" fillId="5" borderId="13" xfId="6" applyFont="1" applyFill="1" applyBorder="1"/>
    <xf numFmtId="0" fontId="0" fillId="5" borderId="44" xfId="0" applyFill="1" applyBorder="1"/>
    <xf numFmtId="0" fontId="0" fillId="5" borderId="20" xfId="0" applyFill="1" applyBorder="1" applyAlignment="1">
      <alignment wrapText="1"/>
    </xf>
    <xf numFmtId="0" fontId="0" fillId="5" borderId="64" xfId="0" applyFill="1" applyBorder="1" applyAlignment="1">
      <alignment horizontal="right"/>
    </xf>
    <xf numFmtId="0" fontId="0" fillId="5" borderId="13" xfId="0" applyFill="1" applyBorder="1" applyAlignment="1">
      <alignment horizontal="right"/>
    </xf>
    <xf numFmtId="0" fontId="0" fillId="5" borderId="20" xfId="0" applyFill="1" applyBorder="1"/>
    <xf numFmtId="0" fontId="0" fillId="5" borderId="31" xfId="0" applyFill="1" applyBorder="1" applyAlignment="1">
      <alignment horizontal="right"/>
    </xf>
    <xf numFmtId="0" fontId="0" fillId="2" borderId="59" xfId="0" applyFill="1" applyBorder="1"/>
    <xf numFmtId="2" fontId="0" fillId="0" borderId="60" xfId="0" applyNumberFormat="1" applyBorder="1"/>
    <xf numFmtId="2" fontId="0" fillId="5" borderId="13" xfId="0" applyNumberFormat="1" applyFill="1" applyBorder="1"/>
    <xf numFmtId="0" fontId="0" fillId="5" borderId="45" xfId="0" applyFill="1" applyBorder="1" applyAlignment="1">
      <alignment horizontal="right" vertical="center"/>
    </xf>
    <xf numFmtId="0" fontId="0" fillId="5" borderId="13" xfId="0" applyFill="1" applyBorder="1" applyAlignment="1">
      <alignment horizontal="right" vertical="center"/>
    </xf>
    <xf numFmtId="2" fontId="0" fillId="0" borderId="31" xfId="0" applyNumberFormat="1" applyBorder="1"/>
    <xf numFmtId="2" fontId="0" fillId="0" borderId="16" xfId="10" applyNumberFormat="1" applyFont="1" applyBorder="1"/>
    <xf numFmtId="171" fontId="0" fillId="5" borderId="45" xfId="6" applyNumberFormat="1" applyFont="1" applyFill="1" applyBorder="1"/>
    <xf numFmtId="171" fontId="0" fillId="5" borderId="13" xfId="6" applyNumberFormat="1" applyFont="1" applyFill="1" applyBorder="1" applyAlignment="1">
      <alignment vertical="center"/>
    </xf>
    <xf numFmtId="171" fontId="0" fillId="5" borderId="13" xfId="6" applyNumberFormat="1" applyFont="1" applyFill="1" applyBorder="1" applyAlignment="1">
      <alignment horizontal="right"/>
    </xf>
    <xf numFmtId="171" fontId="0" fillId="5" borderId="31" xfId="6" applyNumberFormat="1" applyFont="1" applyFill="1" applyBorder="1" applyAlignment="1">
      <alignment vertical="center"/>
    </xf>
    <xf numFmtId="0" fontId="0" fillId="5" borderId="20" xfId="0" applyFill="1" applyBorder="1" applyAlignment="1">
      <alignment vertical="center" wrapText="1"/>
    </xf>
    <xf numFmtId="0" fontId="0" fillId="5" borderId="64" xfId="0" applyFill="1" applyBorder="1" applyAlignment="1">
      <alignment horizontal="right" vertical="center"/>
    </xf>
    <xf numFmtId="0" fontId="0" fillId="0" borderId="59" xfId="0" applyBorder="1"/>
    <xf numFmtId="0" fontId="0" fillId="5" borderId="12" xfId="0" applyFill="1" applyBorder="1" applyAlignment="1">
      <alignment vertical="center"/>
    </xf>
    <xf numFmtId="0" fontId="0" fillId="0" borderId="0" xfId="0" applyBorder="1" applyAlignment="1">
      <alignment wrapText="1"/>
    </xf>
    <xf numFmtId="171" fontId="0" fillId="0" borderId="0" xfId="6" applyNumberFormat="1" applyFont="1" applyBorder="1" applyAlignment="1">
      <alignment vertical="center"/>
    </xf>
    <xf numFmtId="43" fontId="0" fillId="0" borderId="0" xfId="6" applyFont="1" applyBorder="1" applyAlignment="1">
      <alignment vertical="center"/>
    </xf>
    <xf numFmtId="0" fontId="0" fillId="5" borderId="45" xfId="0" applyFill="1" applyBorder="1" applyAlignment="1">
      <alignment horizontal="right"/>
    </xf>
    <xf numFmtId="0" fontId="0" fillId="5" borderId="15" xfId="0" applyFill="1" applyBorder="1" applyAlignment="1">
      <alignment vertical="center"/>
    </xf>
    <xf numFmtId="0" fontId="0" fillId="5" borderId="13" xfId="0" applyFill="1" applyBorder="1" applyAlignment="1" applyProtection="1">
      <alignment horizontal="right" vertical="center"/>
      <protection locked="0"/>
    </xf>
    <xf numFmtId="0" fontId="0" fillId="5" borderId="13" xfId="0" applyFill="1" applyBorder="1" applyAlignment="1" applyProtection="1">
      <alignment horizontal="right" vertical="center"/>
    </xf>
    <xf numFmtId="0" fontId="0" fillId="0" borderId="0" xfId="0" applyBorder="1" applyAlignment="1" applyProtection="1">
      <alignment horizontal="left" vertical="top" wrapText="1"/>
    </xf>
    <xf numFmtId="0" fontId="0" fillId="5" borderId="44" xfId="0" applyFill="1" applyBorder="1" applyAlignment="1">
      <alignment vertical="center" wrapText="1"/>
    </xf>
    <xf numFmtId="43" fontId="0" fillId="5" borderId="45" xfId="6" applyFont="1" applyFill="1" applyBorder="1" applyAlignment="1">
      <alignment horizontal="right" vertical="center"/>
    </xf>
    <xf numFmtId="43" fontId="0" fillId="5" borderId="13" xfId="6" applyFont="1" applyFill="1" applyBorder="1" applyAlignment="1">
      <alignment horizontal="right" vertical="center"/>
    </xf>
    <xf numFmtId="0" fontId="0" fillId="5" borderId="13" xfId="0" applyFill="1" applyBorder="1" applyAlignment="1">
      <alignment vertical="center" wrapText="1"/>
    </xf>
    <xf numFmtId="0" fontId="0" fillId="0" borderId="11" xfId="0" applyBorder="1" applyAlignment="1">
      <alignment horizontal="left" vertical="center" indent="2"/>
    </xf>
    <xf numFmtId="0" fontId="0" fillId="0" borderId="0" xfId="0" applyBorder="1" applyAlignment="1">
      <alignment horizontal="left" vertical="center" indent="2"/>
    </xf>
    <xf numFmtId="0" fontId="0" fillId="5" borderId="13" xfId="0" applyFill="1" applyBorder="1" applyProtection="1">
      <protection locked="0"/>
    </xf>
    <xf numFmtId="0" fontId="0" fillId="5" borderId="16" xfId="0" applyFill="1" applyBorder="1" applyProtection="1">
      <protection locked="0"/>
    </xf>
    <xf numFmtId="0" fontId="0" fillId="5" borderId="60" xfId="0" applyFill="1" applyBorder="1" applyProtection="1">
      <protection locked="0"/>
    </xf>
    <xf numFmtId="0" fontId="0" fillId="5" borderId="13" xfId="0" applyFill="1" applyBorder="1" applyAlignment="1" applyProtection="1">
      <alignment vertical="center"/>
      <protection locked="0"/>
    </xf>
    <xf numFmtId="0" fontId="0" fillId="5" borderId="16" xfId="0" applyFill="1" applyBorder="1" applyAlignment="1" applyProtection="1">
      <alignment vertical="center"/>
      <protection locked="0"/>
    </xf>
    <xf numFmtId="0" fontId="0" fillId="5" borderId="96" xfId="0" applyFill="1" applyBorder="1"/>
    <xf numFmtId="43" fontId="0" fillId="5" borderId="97" xfId="6" applyFont="1" applyFill="1" applyBorder="1" applyAlignment="1">
      <alignment horizontal="right"/>
    </xf>
    <xf numFmtId="0" fontId="0" fillId="5" borderId="98" xfId="0" applyFill="1" applyBorder="1"/>
    <xf numFmtId="43" fontId="0" fillId="5" borderId="99" xfId="6" applyFont="1" applyFill="1" applyBorder="1" applyAlignment="1">
      <alignment horizontal="right"/>
    </xf>
    <xf numFmtId="0" fontId="0" fillId="5" borderId="94" xfId="0" applyFill="1" applyBorder="1"/>
    <xf numFmtId="0" fontId="0" fillId="5" borderId="95" xfId="0" applyFill="1" applyBorder="1" applyProtection="1">
      <protection locked="0"/>
    </xf>
    <xf numFmtId="0" fontId="0" fillId="5" borderId="102" xfId="0" applyFill="1" applyBorder="1"/>
    <xf numFmtId="43" fontId="0" fillId="5" borderId="103" xfId="6" applyFont="1" applyFill="1" applyBorder="1" applyAlignment="1"/>
    <xf numFmtId="4" fontId="42" fillId="5" borderId="4" xfId="0" applyNumberFormat="1" applyFont="1" applyFill="1" applyBorder="1"/>
    <xf numFmtId="4" fontId="0" fillId="2" borderId="23" xfId="0" applyNumberFormat="1" applyFont="1" applyFill="1" applyBorder="1" applyAlignment="1">
      <alignment horizontal="center"/>
    </xf>
    <xf numFmtId="3" fontId="0" fillId="2" borderId="23" xfId="0" applyNumberFormat="1" applyFont="1" applyFill="1" applyBorder="1" applyAlignment="1">
      <alignment horizontal="center"/>
    </xf>
    <xf numFmtId="166" fontId="0" fillId="2" borderId="23" xfId="0" applyNumberFormat="1" applyFont="1" applyFill="1" applyBorder="1" applyAlignment="1">
      <alignment horizontal="center"/>
    </xf>
    <xf numFmtId="4" fontId="0" fillId="5" borderId="5" xfId="0" applyNumberFormat="1" applyFont="1" applyFill="1" applyBorder="1"/>
    <xf numFmtId="4" fontId="0" fillId="5" borderId="6" xfId="0" applyNumberFormat="1" applyFont="1" applyFill="1" applyBorder="1"/>
    <xf numFmtId="0" fontId="0" fillId="2" borderId="23" xfId="0" applyFont="1" applyFill="1" applyBorder="1" applyAlignment="1">
      <alignment horizontal="center"/>
    </xf>
    <xf numFmtId="164" fontId="0" fillId="2" borderId="23" xfId="0" applyNumberFormat="1" applyFont="1" applyFill="1" applyBorder="1" applyAlignment="1">
      <alignment horizontal="center"/>
    </xf>
    <xf numFmtId="4" fontId="0" fillId="2" borderId="0" xfId="0" applyNumberFormat="1" applyFont="1" applyFill="1" applyBorder="1" applyAlignment="1">
      <alignment horizontal="center"/>
    </xf>
    <xf numFmtId="0" fontId="0" fillId="0" borderId="23" xfId="0" applyFont="1" applyBorder="1"/>
    <xf numFmtId="0" fontId="42" fillId="5" borderId="4" xfId="0" applyFont="1" applyFill="1" applyBorder="1" applyAlignment="1">
      <alignment wrapText="1"/>
    </xf>
    <xf numFmtId="0" fontId="42" fillId="5" borderId="5" xfId="0" applyFont="1" applyFill="1" applyBorder="1" applyAlignment="1">
      <alignment wrapText="1"/>
    </xf>
    <xf numFmtId="0" fontId="42" fillId="5" borderId="6" xfId="0" applyFont="1" applyFill="1" applyBorder="1" applyAlignment="1">
      <alignment wrapText="1"/>
    </xf>
    <xf numFmtId="0" fontId="42" fillId="5" borderId="28" xfId="0" applyFont="1" applyFill="1" applyBorder="1" applyAlignment="1">
      <alignment wrapText="1"/>
    </xf>
    <xf numFmtId="0" fontId="42" fillId="5" borderId="7" xfId="0" applyFont="1" applyFill="1" applyBorder="1" applyAlignment="1">
      <alignment wrapText="1"/>
    </xf>
    <xf numFmtId="0" fontId="42" fillId="5" borderId="8" xfId="0" applyFont="1" applyFill="1" applyBorder="1" applyAlignment="1">
      <alignment wrapText="1"/>
    </xf>
    <xf numFmtId="0" fontId="42" fillId="5" borderId="9" xfId="0" applyFont="1" applyFill="1" applyBorder="1" applyAlignment="1">
      <alignment wrapText="1"/>
    </xf>
    <xf numFmtId="0" fontId="42" fillId="5" borderId="29" xfId="0" applyFont="1" applyFill="1" applyBorder="1" applyAlignment="1">
      <alignment wrapText="1"/>
    </xf>
    <xf numFmtId="0" fontId="42" fillId="5" borderId="5" xfId="0" applyFont="1" applyFill="1" applyBorder="1"/>
    <xf numFmtId="0" fontId="42" fillId="5" borderId="8" xfId="0" applyFont="1" applyFill="1" applyBorder="1"/>
    <xf numFmtId="0" fontId="0" fillId="5" borderId="7" xfId="0" applyFont="1" applyFill="1" applyBorder="1" applyAlignment="1">
      <alignment horizontal="center" wrapText="1"/>
    </xf>
    <xf numFmtId="0" fontId="0" fillId="5" borderId="8" xfId="0" applyFont="1" applyFill="1" applyBorder="1" applyAlignment="1">
      <alignment horizontal="center" wrapText="1"/>
    </xf>
    <xf numFmtId="0" fontId="0" fillId="5" borderId="9" xfId="0" applyFont="1" applyFill="1" applyBorder="1" applyAlignment="1">
      <alignment horizontal="center" wrapText="1"/>
    </xf>
    <xf numFmtId="2" fontId="0" fillId="0" borderId="23" xfId="0" applyNumberFormat="1" applyFont="1" applyBorder="1"/>
    <xf numFmtId="0" fontId="47" fillId="2" borderId="0" xfId="7" applyFont="1" applyFill="1"/>
    <xf numFmtId="0" fontId="48" fillId="2" borderId="0" xfId="7" applyFont="1" applyFill="1"/>
    <xf numFmtId="0" fontId="50" fillId="2" borderId="0" xfId="7" applyFont="1" applyFill="1"/>
    <xf numFmtId="1" fontId="48" fillId="2" borderId="0" xfId="7" applyNumberFormat="1" applyFont="1" applyFill="1"/>
    <xf numFmtId="0" fontId="50" fillId="5" borderId="61" xfId="7" applyFont="1" applyFill="1" applyBorder="1" applyAlignment="1">
      <alignment horizontal="right"/>
    </xf>
    <xf numFmtId="0" fontId="50" fillId="5" borderId="61" xfId="7" applyFont="1" applyFill="1" applyBorder="1"/>
    <xf numFmtId="0" fontId="47" fillId="2" borderId="8" xfId="7" applyFont="1" applyFill="1" applyBorder="1"/>
    <xf numFmtId="0" fontId="0" fillId="0" borderId="61" xfId="0" applyFont="1" applyBorder="1"/>
    <xf numFmtId="0" fontId="0" fillId="0" borderId="61" xfId="0" applyFont="1" applyFill="1" applyBorder="1"/>
    <xf numFmtId="0" fontId="0" fillId="5" borderId="23" xfId="0" applyFont="1" applyFill="1" applyBorder="1"/>
    <xf numFmtId="0" fontId="0" fillId="2" borderId="61" xfId="0" applyFont="1" applyFill="1" applyBorder="1"/>
    <xf numFmtId="2" fontId="0" fillId="0" borderId="61" xfId="0" applyNumberFormat="1" applyFont="1" applyBorder="1"/>
    <xf numFmtId="43" fontId="0" fillId="0" borderId="61" xfId="0" applyNumberFormat="1" applyFont="1" applyBorder="1"/>
    <xf numFmtId="9" fontId="0" fillId="0" borderId="61" xfId="0" applyNumberFormat="1" applyFont="1" applyBorder="1"/>
    <xf numFmtId="2" fontId="0" fillId="0" borderId="69" xfId="0" applyNumberFormat="1" applyFont="1" applyBorder="1"/>
    <xf numFmtId="4" fontId="16" fillId="4" borderId="1" xfId="0" applyNumberFormat="1" applyFont="1" applyFill="1" applyBorder="1" applyAlignment="1">
      <alignment vertical="center"/>
    </xf>
    <xf numFmtId="0" fontId="36" fillId="4" borderId="0" xfId="0" applyFont="1" applyFill="1" applyAlignment="1">
      <alignment vertical="center"/>
    </xf>
    <xf numFmtId="0" fontId="0" fillId="0" borderId="0" xfId="0" applyFont="1" applyAlignment="1">
      <alignment horizontal="right"/>
    </xf>
    <xf numFmtId="0" fontId="51" fillId="0" borderId="0" xfId="0" applyFont="1" applyAlignment="1">
      <alignment horizontal="right"/>
    </xf>
    <xf numFmtId="0" fontId="52" fillId="0" borderId="0" xfId="0" applyFont="1" applyAlignment="1">
      <alignment horizontal="right"/>
    </xf>
    <xf numFmtId="0" fontId="5" fillId="0" borderId="13" xfId="1" applyBorder="1" applyAlignment="1">
      <alignment vertical="center"/>
    </xf>
    <xf numFmtId="0" fontId="5" fillId="0" borderId="16" xfId="1" applyBorder="1" applyAlignment="1">
      <alignment vertical="center" wrapText="1"/>
    </xf>
    <xf numFmtId="0" fontId="5" fillId="0" borderId="13" xfId="1" applyBorder="1" applyAlignment="1">
      <alignment vertical="center" wrapText="1"/>
    </xf>
    <xf numFmtId="0" fontId="5" fillId="0" borderId="82" xfId="1" applyBorder="1" applyAlignment="1">
      <alignment vertical="center"/>
    </xf>
    <xf numFmtId="0" fontId="5" fillId="0" borderId="84" xfId="1" applyBorder="1" applyAlignment="1">
      <alignment vertical="center"/>
    </xf>
    <xf numFmtId="0" fontId="0" fillId="2" borderId="0" xfId="0" applyFill="1"/>
    <xf numFmtId="0" fontId="0" fillId="2" borderId="0" xfId="0" applyFill="1" applyBorder="1" applyAlignment="1">
      <alignment vertical="center"/>
    </xf>
    <xf numFmtId="0" fontId="0" fillId="2" borderId="0" xfId="0" applyFill="1" applyBorder="1" applyAlignment="1" applyProtection="1">
      <alignment vertical="center"/>
      <protection locked="0"/>
    </xf>
    <xf numFmtId="0" fontId="0" fillId="2" borderId="0" xfId="0" applyFont="1" applyFill="1"/>
    <xf numFmtId="0" fontId="0" fillId="2" borderId="0" xfId="0" applyFont="1" applyFill="1" applyBorder="1"/>
    <xf numFmtId="43" fontId="0" fillId="2" borderId="0" xfId="6" applyFont="1" applyFill="1"/>
    <xf numFmtId="43" fontId="0" fillId="2" borderId="0" xfId="0" applyNumberFormat="1" applyFont="1" applyFill="1"/>
    <xf numFmtId="2" fontId="0" fillId="2" borderId="23" xfId="0" applyNumberFormat="1" applyFont="1" applyFill="1" applyBorder="1"/>
    <xf numFmtId="2" fontId="0" fillId="2" borderId="61" xfId="0" applyNumberFormat="1" applyFont="1" applyFill="1" applyBorder="1"/>
    <xf numFmtId="0" fontId="5" fillId="2" borderId="0" xfId="1" applyFont="1" applyFill="1"/>
    <xf numFmtId="43" fontId="0" fillId="2" borderId="61" xfId="6" applyFont="1" applyFill="1" applyBorder="1"/>
    <xf numFmtId="0" fontId="2" fillId="2" borderId="0" xfId="0" applyFont="1" applyFill="1"/>
    <xf numFmtId="0" fontId="0" fillId="2" borderId="23" xfId="0" applyFont="1" applyFill="1" applyBorder="1"/>
    <xf numFmtId="9" fontId="0" fillId="2" borderId="23" xfId="9" applyFont="1" applyFill="1" applyBorder="1"/>
    <xf numFmtId="0" fontId="5" fillId="2" borderId="0" xfId="1" applyFont="1" applyFill="1" applyAlignment="1">
      <alignment horizontal="left" vertical="center"/>
    </xf>
    <xf numFmtId="0" fontId="0" fillId="2" borderId="23" xfId="0" applyFont="1" applyFill="1" applyBorder="1" applyAlignment="1">
      <alignment horizontal="right"/>
    </xf>
    <xf numFmtId="2" fontId="0" fillId="2" borderId="0" xfId="0" applyNumberFormat="1" applyFont="1" applyFill="1" applyBorder="1"/>
    <xf numFmtId="9" fontId="0" fillId="2" borderId="23" xfId="9" applyNumberFormat="1" applyFont="1" applyFill="1" applyBorder="1"/>
    <xf numFmtId="9" fontId="0" fillId="2" borderId="23" xfId="0" applyNumberFormat="1" applyFont="1" applyFill="1" applyBorder="1"/>
    <xf numFmtId="0" fontId="1" fillId="2" borderId="0" xfId="0" applyFont="1" applyFill="1"/>
    <xf numFmtId="0" fontId="5" fillId="2" borderId="0" xfId="1" applyFont="1" applyFill="1" applyAlignment="1">
      <alignment horizontal="left" vertical="center" indent="10"/>
    </xf>
    <xf numFmtId="9" fontId="0" fillId="2" borderId="61" xfId="0" applyNumberFormat="1" applyFont="1" applyFill="1" applyBorder="1"/>
    <xf numFmtId="0" fontId="34" fillId="2" borderId="61" xfId="0" applyFont="1" applyFill="1" applyBorder="1"/>
    <xf numFmtId="1" fontId="0" fillId="2" borderId="23" xfId="9" applyNumberFormat="1" applyFont="1" applyFill="1" applyBorder="1"/>
    <xf numFmtId="0" fontId="0" fillId="2" borderId="29" xfId="0" applyFont="1" applyFill="1" applyBorder="1"/>
    <xf numFmtId="0" fontId="5" fillId="2" borderId="0" xfId="1" applyFont="1" applyFill="1" applyAlignment="1">
      <alignment vertical="center"/>
    </xf>
    <xf numFmtId="0" fontId="0" fillId="2" borderId="0" xfId="0" applyFont="1" applyFill="1" applyAlignment="1">
      <alignment vertical="center"/>
    </xf>
    <xf numFmtId="167" fontId="0" fillId="2" borderId="23" xfId="0" applyNumberFormat="1" applyFont="1" applyFill="1" applyBorder="1"/>
    <xf numFmtId="0" fontId="0" fillId="2" borderId="23" xfId="0" applyFont="1" applyFill="1" applyBorder="1" applyAlignment="1">
      <alignment horizontal="left" wrapText="1"/>
    </xf>
    <xf numFmtId="0" fontId="45" fillId="2" borderId="0" xfId="0" applyFont="1" applyFill="1"/>
    <xf numFmtId="169" fontId="0" fillId="2" borderId="23" xfId="0" applyNumberFormat="1" applyFont="1" applyFill="1" applyBorder="1"/>
    <xf numFmtId="0" fontId="46" fillId="2" borderId="0" xfId="0" applyFont="1" applyFill="1"/>
    <xf numFmtId="0" fontId="49" fillId="2" borderId="0" xfId="1" applyFont="1" applyFill="1"/>
    <xf numFmtId="0" fontId="26" fillId="2" borderId="23" xfId="0" applyFont="1" applyFill="1" applyBorder="1"/>
    <xf numFmtId="165" fontId="0" fillId="2" borderId="23" xfId="0" applyNumberFormat="1" applyFont="1" applyFill="1" applyBorder="1"/>
    <xf numFmtId="165" fontId="0" fillId="2" borderId="0" xfId="0" applyNumberFormat="1" applyFont="1" applyFill="1"/>
    <xf numFmtId="0" fontId="0" fillId="2" borderId="23" xfId="0" applyFont="1" applyFill="1" applyBorder="1" applyAlignment="1">
      <alignment wrapText="1"/>
    </xf>
    <xf numFmtId="0" fontId="0" fillId="2" borderId="23" xfId="0" applyFont="1" applyFill="1" applyBorder="1" applyAlignment="1">
      <alignment vertical="center"/>
    </xf>
    <xf numFmtId="0" fontId="2" fillId="2" borderId="23" xfId="0" applyFont="1" applyFill="1" applyBorder="1"/>
    <xf numFmtId="1" fontId="0" fillId="2" borderId="23" xfId="0" applyNumberFormat="1" applyFont="1" applyFill="1" applyBorder="1"/>
    <xf numFmtId="167" fontId="0" fillId="2" borderId="0" xfId="0" applyNumberFormat="1" applyFont="1" applyFill="1"/>
    <xf numFmtId="0" fontId="43" fillId="2" borderId="23" xfId="2" applyFont="1" applyFill="1" applyBorder="1" applyAlignment="1">
      <alignment vertical="center"/>
    </xf>
    <xf numFmtId="0" fontId="43" fillId="2" borderId="23" xfId="3" applyFont="1" applyFill="1" applyBorder="1" applyAlignment="1" applyProtection="1">
      <alignment horizontal="center" wrapText="1"/>
      <protection locked="0"/>
    </xf>
    <xf numFmtId="0" fontId="44" fillId="2" borderId="23" xfId="0" applyFont="1" applyFill="1" applyBorder="1" applyAlignment="1" applyProtection="1">
      <alignment horizontal="center"/>
      <protection locked="0"/>
    </xf>
    <xf numFmtId="0" fontId="44" fillId="2" borderId="23" xfId="3" applyFont="1" applyFill="1" applyBorder="1" applyAlignment="1" applyProtection="1">
      <alignment horizontal="center"/>
      <protection locked="0"/>
    </xf>
    <xf numFmtId="2" fontId="0" fillId="2" borderId="0" xfId="0" applyNumberFormat="1" applyFont="1" applyFill="1"/>
    <xf numFmtId="0" fontId="5" fillId="2" borderId="0" xfId="5" applyFont="1" applyFill="1"/>
    <xf numFmtId="0" fontId="0" fillId="2" borderId="23" xfId="0" applyFont="1" applyFill="1" applyBorder="1" applyAlignment="1"/>
    <xf numFmtId="0" fontId="0" fillId="2" borderId="1" xfId="0" applyFont="1" applyFill="1" applyBorder="1"/>
    <xf numFmtId="168" fontId="0" fillId="2" borderId="2" xfId="6" applyNumberFormat="1" applyFont="1" applyFill="1" applyBorder="1"/>
    <xf numFmtId="0" fontId="0" fillId="2" borderId="3" xfId="0" applyFont="1" applyFill="1" applyBorder="1"/>
    <xf numFmtId="43" fontId="0" fillId="2" borderId="3" xfId="0" applyNumberFormat="1" applyFont="1" applyFill="1" applyBorder="1"/>
    <xf numFmtId="9" fontId="0" fillId="2" borderId="61" xfId="9" applyFont="1" applyFill="1" applyBorder="1"/>
    <xf numFmtId="1" fontId="0" fillId="2" borderId="61" xfId="0" applyNumberFormat="1" applyFont="1" applyFill="1" applyBorder="1"/>
    <xf numFmtId="2" fontId="0" fillId="2" borderId="3" xfId="0" applyNumberFormat="1" applyFont="1" applyFill="1" applyBorder="1"/>
    <xf numFmtId="0" fontId="0" fillId="2" borderId="69" xfId="0" applyFont="1" applyFill="1" applyBorder="1"/>
    <xf numFmtId="43" fontId="0" fillId="2" borderId="69" xfId="6" applyFont="1" applyFill="1" applyBorder="1"/>
    <xf numFmtId="43" fontId="0" fillId="2" borderId="61" xfId="0" applyNumberFormat="1" applyFont="1" applyFill="1" applyBorder="1"/>
    <xf numFmtId="0" fontId="2" fillId="2" borderId="0" xfId="0" applyFont="1" applyFill="1" applyAlignment="1">
      <alignment vertical="center"/>
    </xf>
    <xf numFmtId="0" fontId="0" fillId="2" borderId="0" xfId="0" applyFill="1" applyAlignment="1">
      <alignment vertical="center" wrapText="1"/>
    </xf>
    <xf numFmtId="0" fontId="0" fillId="2" borderId="0" xfId="0" applyFill="1" applyAlignment="1">
      <alignment wrapText="1"/>
    </xf>
    <xf numFmtId="0" fontId="2" fillId="2" borderId="0" xfId="0" applyFont="1" applyFill="1" applyBorder="1" applyAlignment="1">
      <alignment vertical="center"/>
    </xf>
    <xf numFmtId="0" fontId="0" fillId="0" borderId="0" xfId="0" applyFill="1" applyBorder="1"/>
    <xf numFmtId="0" fontId="0" fillId="0" borderId="0" xfId="0" applyFill="1" applyBorder="1" applyAlignment="1">
      <alignment horizontal="left" vertical="top" wrapText="1"/>
    </xf>
    <xf numFmtId="0" fontId="0" fillId="5" borderId="18" xfId="0" applyFill="1" applyBorder="1" applyAlignment="1">
      <alignment horizontal="right" vertical="center"/>
    </xf>
    <xf numFmtId="0" fontId="0" fillId="0" borderId="15" xfId="0" applyFill="1" applyBorder="1" applyAlignment="1">
      <alignment vertical="center"/>
    </xf>
    <xf numFmtId="0" fontId="0" fillId="0" borderId="16" xfId="0" applyFill="1" applyBorder="1" applyAlignment="1" applyProtection="1">
      <alignment vertical="center"/>
      <protection locked="0"/>
    </xf>
    <xf numFmtId="0" fontId="5" fillId="0" borderId="60" xfId="1" applyBorder="1" applyAlignment="1">
      <alignment vertical="center" wrapText="1"/>
    </xf>
    <xf numFmtId="0" fontId="5" fillId="0" borderId="108" xfId="1" applyBorder="1" applyAlignment="1">
      <alignment vertical="center"/>
    </xf>
    <xf numFmtId="0" fontId="0" fillId="0" borderId="0" xfId="0" applyBorder="1" applyAlignment="1">
      <alignment horizontal="left" wrapText="1"/>
    </xf>
    <xf numFmtId="0" fontId="0" fillId="0" borderId="15" xfId="0" applyFill="1" applyBorder="1"/>
    <xf numFmtId="0" fontId="0" fillId="0" borderId="16" xfId="0" applyFill="1" applyBorder="1" applyProtection="1">
      <protection locked="0"/>
    </xf>
    <xf numFmtId="0" fontId="1" fillId="0" borderId="0" xfId="0" applyFont="1" applyFill="1" applyBorder="1" applyAlignment="1">
      <alignment horizontal="left" vertical="center" indent="6"/>
    </xf>
    <xf numFmtId="0" fontId="5" fillId="0" borderId="0" xfId="1" applyFont="1" applyFill="1" applyBorder="1" applyAlignment="1">
      <alignment vertical="center"/>
    </xf>
    <xf numFmtId="0" fontId="0" fillId="0" borderId="0" xfId="0" applyFont="1" applyFill="1"/>
    <xf numFmtId="0" fontId="0" fillId="0" borderId="76" xfId="0" applyFont="1" applyBorder="1" applyAlignment="1">
      <alignment horizontal="left" vertical="center"/>
    </xf>
    <xf numFmtId="0" fontId="0" fillId="0" borderId="75" xfId="0" applyFont="1" applyBorder="1" applyAlignment="1">
      <alignment horizontal="left" vertical="center"/>
    </xf>
    <xf numFmtId="0" fontId="34" fillId="0" borderId="0" xfId="1" applyFont="1"/>
    <xf numFmtId="43" fontId="0" fillId="0" borderId="0" xfId="0" applyNumberFormat="1"/>
    <xf numFmtId="0" fontId="0" fillId="0" borderId="10" xfId="0" applyFont="1" applyBorder="1" applyAlignment="1">
      <alignment horizontal="left" vertical="center"/>
    </xf>
    <xf numFmtId="0" fontId="0" fillId="0" borderId="109" xfId="0" applyFont="1" applyBorder="1" applyAlignment="1">
      <alignment horizontal="left" vertical="center"/>
    </xf>
    <xf numFmtId="0" fontId="5" fillId="0" borderId="110" xfId="1" applyBorder="1" applyAlignment="1">
      <alignment vertical="center"/>
    </xf>
    <xf numFmtId="14" fontId="0" fillId="5" borderId="25" xfId="0" applyNumberFormat="1" applyFill="1" applyBorder="1" applyAlignment="1" applyProtection="1">
      <alignment horizontal="right" vertical="center"/>
      <protection locked="0"/>
    </xf>
    <xf numFmtId="0" fontId="41" fillId="4" borderId="0" xfId="0" applyFont="1" applyFill="1" applyAlignment="1">
      <alignment horizontal="center" vertical="center"/>
    </xf>
    <xf numFmtId="0" fontId="0" fillId="5" borderId="72" xfId="0" applyFont="1" applyFill="1" applyBorder="1" applyAlignment="1">
      <alignment horizontal="center" wrapText="1"/>
    </xf>
    <xf numFmtId="0" fontId="0" fillId="5" borderId="31" xfId="0" applyFont="1" applyFill="1" applyBorder="1" applyAlignment="1">
      <alignment horizontal="center" wrapText="1"/>
    </xf>
    <xf numFmtId="0" fontId="0" fillId="5" borderId="61" xfId="0" applyFont="1" applyFill="1" applyBorder="1" applyAlignment="1">
      <alignment horizontal="center" wrapText="1"/>
    </xf>
    <xf numFmtId="0" fontId="0" fillId="5" borderId="13" xfId="0" applyFont="1" applyFill="1" applyBorder="1" applyAlignment="1">
      <alignment horizontal="center" wrapText="1"/>
    </xf>
    <xf numFmtId="0" fontId="5" fillId="5" borderId="61" xfId="1" applyFill="1" applyBorder="1" applyAlignment="1">
      <alignment horizontal="center" wrapText="1"/>
    </xf>
    <xf numFmtId="0" fontId="0" fillId="0" borderId="10" xfId="0" applyFont="1" applyBorder="1" applyAlignment="1">
      <alignment horizontal="left" vertical="top" wrapText="1" indent="2"/>
    </xf>
    <xf numFmtId="0" fontId="0" fillId="0" borderId="0" xfId="0" applyFont="1" applyBorder="1" applyAlignment="1">
      <alignment horizontal="left" vertical="top" wrapText="1" indent="2"/>
    </xf>
    <xf numFmtId="0" fontId="0" fillId="0" borderId="11" xfId="0" applyFont="1" applyBorder="1" applyAlignment="1">
      <alignment horizontal="left" vertical="top" wrapText="1" indent="2"/>
    </xf>
    <xf numFmtId="0" fontId="0" fillId="0" borderId="10" xfId="0" applyFont="1" applyBorder="1" applyAlignment="1">
      <alignment horizontal="left" vertical="center" wrapText="1" indent="2"/>
    </xf>
    <xf numFmtId="0" fontId="0" fillId="0" borderId="0" xfId="0" applyFont="1" applyBorder="1" applyAlignment="1">
      <alignment horizontal="left" vertical="center" wrapText="1" indent="2"/>
    </xf>
    <xf numFmtId="0" fontId="0" fillId="0" borderId="11" xfId="0" applyFont="1" applyBorder="1" applyAlignment="1">
      <alignment horizontal="left" vertical="center" wrapText="1" indent="2"/>
    </xf>
    <xf numFmtId="0" fontId="0" fillId="5" borderId="104" xfId="0" applyFont="1" applyFill="1" applyBorder="1" applyAlignment="1">
      <alignment horizontal="center" wrapText="1"/>
    </xf>
    <xf numFmtId="0" fontId="0" fillId="5" borderId="82" xfId="0" applyFont="1" applyFill="1" applyBorder="1" applyAlignment="1">
      <alignment horizontal="center" wrapText="1"/>
    </xf>
    <xf numFmtId="0" fontId="0" fillId="5" borderId="73" xfId="0" applyFont="1" applyFill="1" applyBorder="1" applyAlignment="1">
      <alignment horizontal="center" wrapText="1"/>
    </xf>
    <xf numFmtId="0" fontId="0" fillId="5" borderId="16" xfId="0" applyFont="1" applyFill="1" applyBorder="1" applyAlignment="1">
      <alignment horizontal="center" wrapText="1"/>
    </xf>
    <xf numFmtId="0" fontId="1" fillId="3" borderId="80" xfId="0" applyFont="1" applyFill="1" applyBorder="1" applyAlignment="1">
      <alignment horizontal="left" vertical="center"/>
    </xf>
    <xf numFmtId="0" fontId="1" fillId="3" borderId="81" xfId="0" applyFont="1" applyFill="1" applyBorder="1" applyAlignment="1">
      <alignment horizontal="left" vertical="center"/>
    </xf>
    <xf numFmtId="0" fontId="6" fillId="4" borderId="0" xfId="0" applyFont="1" applyFill="1" applyAlignment="1">
      <alignment horizontal="center" vertical="center"/>
    </xf>
    <xf numFmtId="0" fontId="6" fillId="4" borderId="55" xfId="0" applyFont="1" applyFill="1" applyBorder="1" applyAlignment="1">
      <alignment horizontal="center" vertical="center"/>
    </xf>
    <xf numFmtId="0" fontId="6" fillId="4" borderId="56" xfId="0" applyFont="1" applyFill="1" applyBorder="1" applyAlignment="1">
      <alignment horizontal="center" vertical="center"/>
    </xf>
    <xf numFmtId="0" fontId="6" fillId="4" borderId="57" xfId="0" applyFont="1" applyFill="1" applyBorder="1" applyAlignment="1">
      <alignment horizontal="center" vertical="center"/>
    </xf>
    <xf numFmtId="0" fontId="5" fillId="0" borderId="12" xfId="1" applyBorder="1" applyAlignment="1">
      <alignment horizontal="left" vertical="center"/>
    </xf>
    <xf numFmtId="0" fontId="5" fillId="0" borderId="61" xfId="1" applyBorder="1" applyAlignment="1">
      <alignment horizontal="left" vertical="center"/>
    </xf>
    <xf numFmtId="0" fontId="5" fillId="0" borderId="77" xfId="1" applyBorder="1" applyAlignment="1">
      <alignment horizontal="left" vertical="center"/>
    </xf>
    <xf numFmtId="0" fontId="5" fillId="0" borderId="74" xfId="1" applyBorder="1" applyAlignment="1">
      <alignment horizontal="left" vertical="center"/>
    </xf>
    <xf numFmtId="0" fontId="5" fillId="0" borderId="78" xfId="1" applyBorder="1" applyAlignment="1">
      <alignment horizontal="left" vertical="center"/>
    </xf>
    <xf numFmtId="0" fontId="5" fillId="0" borderId="79" xfId="1" applyBorder="1" applyAlignment="1">
      <alignment horizontal="left" vertical="center"/>
    </xf>
    <xf numFmtId="0" fontId="5" fillId="0" borderId="12" xfId="1" applyBorder="1" applyAlignment="1">
      <alignment horizontal="left" vertical="center" wrapText="1"/>
    </xf>
    <xf numFmtId="0" fontId="5" fillId="0" borderId="61" xfId="1" applyBorder="1" applyAlignment="1">
      <alignment horizontal="left" vertical="center" wrapText="1"/>
    </xf>
    <xf numFmtId="0" fontId="0" fillId="0" borderId="77" xfId="0" applyFont="1" applyBorder="1" applyAlignment="1">
      <alignment horizontal="left" vertical="center"/>
    </xf>
    <xf numFmtId="0" fontId="0" fillId="0" borderId="74" xfId="0" applyFont="1" applyBorder="1" applyAlignment="1">
      <alignment horizontal="left" vertical="center"/>
    </xf>
    <xf numFmtId="0" fontId="0" fillId="0" borderId="53" xfId="0" applyFont="1" applyBorder="1" applyAlignment="1">
      <alignment horizontal="left" vertical="center"/>
    </xf>
    <xf numFmtId="0" fontId="0" fillId="0" borderId="83" xfId="0" applyFont="1" applyBorder="1" applyAlignment="1">
      <alignment horizontal="left" vertical="center"/>
    </xf>
    <xf numFmtId="0" fontId="1" fillId="3" borderId="53" xfId="0" applyFont="1" applyFill="1" applyBorder="1" applyAlignment="1">
      <alignment horizontal="left" vertical="center" indent="6"/>
    </xf>
    <xf numFmtId="0" fontId="1" fillId="3" borderId="71" xfId="0" applyFont="1" applyFill="1" applyBorder="1" applyAlignment="1">
      <alignment horizontal="left" vertical="center" indent="6"/>
    </xf>
    <xf numFmtId="0" fontId="6" fillId="4" borderId="55" xfId="0" applyFont="1" applyFill="1" applyBorder="1" applyAlignment="1">
      <alignment horizontal="left" vertical="center"/>
    </xf>
    <xf numFmtId="0" fontId="6" fillId="4" borderId="56" xfId="0" applyFont="1" applyFill="1" applyBorder="1" applyAlignment="1">
      <alignment horizontal="left" vertical="center"/>
    </xf>
    <xf numFmtId="0" fontId="6" fillId="4" borderId="57" xfId="0" applyFont="1" applyFill="1" applyBorder="1" applyAlignment="1">
      <alignment horizontal="left" vertical="center"/>
    </xf>
    <xf numFmtId="0" fontId="5" fillId="0" borderId="106" xfId="1" applyBorder="1" applyAlignment="1">
      <alignment horizontal="left" vertical="center"/>
    </xf>
    <xf numFmtId="0" fontId="5" fillId="0" borderId="107" xfId="1" applyBorder="1" applyAlignment="1">
      <alignment horizontal="left" vertical="center"/>
    </xf>
    <xf numFmtId="0" fontId="5" fillId="0" borderId="15" xfId="1" applyBorder="1" applyAlignment="1">
      <alignment horizontal="left" vertical="center"/>
    </xf>
    <xf numFmtId="0" fontId="5" fillId="0" borderId="73" xfId="1" applyBorder="1" applyAlignment="1">
      <alignment horizontal="left" vertical="center"/>
    </xf>
    <xf numFmtId="0" fontId="0" fillId="0" borderId="12" xfId="0" applyFont="1" applyBorder="1" applyAlignment="1">
      <alignment horizontal="left" vertical="center"/>
    </xf>
    <xf numFmtId="0" fontId="0" fillId="0" borderId="61" xfId="0" applyFont="1" applyBorder="1" applyAlignment="1">
      <alignment horizontal="left" vertical="center"/>
    </xf>
    <xf numFmtId="0" fontId="0" fillId="0" borderId="15" xfId="0" applyFont="1" applyBorder="1" applyAlignment="1">
      <alignment horizontal="left" vertical="center"/>
    </xf>
    <xf numFmtId="0" fontId="0" fillId="0" borderId="73" xfId="0" applyFont="1" applyBorder="1" applyAlignment="1">
      <alignment horizontal="left" vertical="center"/>
    </xf>
    <xf numFmtId="0" fontId="0" fillId="0" borderId="59" xfId="0" applyFont="1" applyBorder="1" applyAlignment="1">
      <alignment horizontal="left" vertical="center"/>
    </xf>
    <xf numFmtId="0" fontId="0" fillId="0" borderId="105" xfId="0" applyFont="1" applyBorder="1" applyAlignment="1">
      <alignment horizontal="left" vertical="center"/>
    </xf>
    <xf numFmtId="0" fontId="0" fillId="0" borderId="78" xfId="0" applyFont="1" applyBorder="1" applyAlignment="1">
      <alignment horizontal="left" vertical="center"/>
    </xf>
    <xf numFmtId="0" fontId="0" fillId="0" borderId="79" xfId="0" applyFont="1" applyBorder="1" applyAlignment="1">
      <alignment horizontal="left" vertical="center"/>
    </xf>
    <xf numFmtId="0" fontId="0" fillId="0" borderId="53" xfId="0" applyBorder="1" applyAlignment="1">
      <alignment horizontal="left" vertical="center" wrapText="1" indent="2"/>
    </xf>
    <xf numFmtId="0" fontId="0" fillId="0" borderId="71" xfId="0" applyBorder="1" applyAlignment="1">
      <alignment horizontal="left" vertical="center" wrapText="1" indent="2"/>
    </xf>
    <xf numFmtId="0" fontId="0" fillId="0" borderId="54" xfId="0" applyBorder="1" applyAlignment="1">
      <alignment horizontal="left" vertical="center" wrapText="1" indent="2"/>
    </xf>
    <xf numFmtId="0" fontId="1" fillId="3" borderId="44" xfId="0" applyFont="1" applyFill="1" applyBorder="1" applyAlignment="1">
      <alignment horizontal="left" vertical="center"/>
    </xf>
    <xf numFmtId="0" fontId="1" fillId="3" borderId="20" xfId="0" applyFont="1" applyFill="1" applyBorder="1" applyAlignment="1">
      <alignment horizontal="left" vertical="center"/>
    </xf>
    <xf numFmtId="0" fontId="1" fillId="3" borderId="45" xfId="0" applyFont="1" applyFill="1" applyBorder="1" applyAlignment="1">
      <alignment horizontal="right" vertical="center"/>
    </xf>
    <xf numFmtId="0" fontId="1" fillId="3" borderId="18" xfId="0" applyFont="1" applyFill="1" applyBorder="1" applyAlignment="1">
      <alignment horizontal="right" vertical="center"/>
    </xf>
    <xf numFmtId="0" fontId="1" fillId="4" borderId="53" xfId="0" applyFont="1" applyFill="1" applyBorder="1" applyAlignment="1">
      <alignment horizontal="center" vertical="center"/>
    </xf>
    <xf numFmtId="0" fontId="1" fillId="4" borderId="54" xfId="0" applyFont="1" applyFill="1" applyBorder="1" applyAlignment="1">
      <alignment horizontal="center" vertical="center"/>
    </xf>
    <xf numFmtId="0" fontId="1" fillId="4" borderId="43" xfId="0" applyFont="1" applyFill="1" applyBorder="1" applyAlignment="1">
      <alignment horizontal="center" vertical="center"/>
    </xf>
    <xf numFmtId="0" fontId="1" fillId="4" borderId="11" xfId="0" applyFont="1" applyFill="1" applyBorder="1" applyAlignment="1">
      <alignment horizontal="center" vertical="center"/>
    </xf>
    <xf numFmtId="0" fontId="0" fillId="0" borderId="19" xfId="0" applyBorder="1" applyAlignment="1">
      <alignment horizontal="left" wrapText="1"/>
    </xf>
    <xf numFmtId="0" fontId="0" fillId="0" borderId="17" xfId="0" applyBorder="1" applyAlignment="1">
      <alignment horizontal="left" wrapText="1"/>
    </xf>
    <xf numFmtId="43" fontId="0" fillId="0" borderId="21" xfId="6" applyFont="1" applyBorder="1" applyAlignment="1">
      <alignment horizontal="right" vertical="center"/>
    </xf>
    <xf numFmtId="43" fontId="0" fillId="0" borderId="24" xfId="6" applyFont="1" applyBorder="1" applyAlignment="1">
      <alignment horizontal="right" vertical="center"/>
    </xf>
    <xf numFmtId="0" fontId="16" fillId="4" borderId="38" xfId="0" applyFont="1" applyFill="1" applyBorder="1" applyAlignment="1">
      <alignment horizontal="center" vertical="center"/>
    </xf>
    <xf numFmtId="0" fontId="12" fillId="0" borderId="34" xfId="0" applyFont="1" applyBorder="1" applyAlignment="1">
      <alignment horizontal="center"/>
    </xf>
    <xf numFmtId="0" fontId="12" fillId="0" borderId="35" xfId="0" applyFont="1" applyBorder="1" applyAlignment="1">
      <alignment horizontal="center"/>
    </xf>
    <xf numFmtId="0" fontId="6" fillId="4" borderId="46" xfId="0" applyFont="1" applyFill="1" applyBorder="1" applyAlignment="1">
      <alignment horizontal="center"/>
    </xf>
    <xf numFmtId="0" fontId="6" fillId="4" borderId="47" xfId="0" applyFont="1" applyFill="1" applyBorder="1" applyAlignment="1">
      <alignment horizontal="center"/>
    </xf>
    <xf numFmtId="0" fontId="1" fillId="4" borderId="10" xfId="0" applyFont="1" applyFill="1" applyBorder="1" applyAlignment="1">
      <alignment horizontal="center" vertical="center"/>
    </xf>
    <xf numFmtId="0" fontId="1" fillId="3" borderId="49" xfId="0" applyFont="1" applyFill="1" applyBorder="1" applyAlignment="1">
      <alignment horizontal="left" vertical="center"/>
    </xf>
    <xf numFmtId="0" fontId="1" fillId="3" borderId="39" xfId="0" applyFont="1" applyFill="1" applyBorder="1" applyAlignment="1">
      <alignment horizontal="right" vertical="center"/>
    </xf>
    <xf numFmtId="0" fontId="1" fillId="3" borderId="40" xfId="0" applyFont="1" applyFill="1" applyBorder="1" applyAlignment="1">
      <alignment horizontal="right" vertical="center"/>
    </xf>
    <xf numFmtId="0" fontId="16" fillId="4" borderId="0" xfId="0" applyFont="1" applyFill="1" applyBorder="1" applyAlignment="1">
      <alignment horizontal="center" vertical="center"/>
    </xf>
    <xf numFmtId="0" fontId="6" fillId="4" borderId="22" xfId="0" applyFont="1" applyFill="1" applyBorder="1" applyAlignment="1">
      <alignment horizontal="center"/>
    </xf>
    <xf numFmtId="0" fontId="6" fillId="4" borderId="41" xfId="0" applyFont="1" applyFill="1" applyBorder="1" applyAlignment="1">
      <alignment horizontal="center"/>
    </xf>
    <xf numFmtId="0" fontId="6" fillId="4" borderId="42" xfId="0" applyFont="1" applyFill="1" applyBorder="1" applyAlignment="1">
      <alignment horizontal="center"/>
    </xf>
    <xf numFmtId="0" fontId="6" fillId="4" borderId="41" xfId="0" applyFont="1" applyFill="1" applyBorder="1" applyAlignment="1">
      <alignment horizontal="center" vertical="center"/>
    </xf>
    <xf numFmtId="0" fontId="6" fillId="4" borderId="42" xfId="0" applyFont="1" applyFill="1" applyBorder="1" applyAlignment="1">
      <alignment horizontal="center" vertical="center"/>
    </xf>
    <xf numFmtId="0" fontId="6" fillId="4" borderId="52" xfId="0" applyFont="1" applyFill="1" applyBorder="1" applyAlignment="1">
      <alignment horizontal="center"/>
    </xf>
    <xf numFmtId="0" fontId="1" fillId="4" borderId="43"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2" fillId="0" borderId="10" xfId="0" applyFont="1" applyBorder="1" applyAlignment="1">
      <alignment horizontal="center"/>
    </xf>
    <xf numFmtId="0" fontId="12" fillId="0" borderId="11" xfId="0" applyFont="1" applyBorder="1" applyAlignment="1">
      <alignment horizont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xf>
    <xf numFmtId="0" fontId="12" fillId="0" borderId="11" xfId="0" applyFont="1" applyFill="1" applyBorder="1" applyAlignment="1">
      <alignment horizont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 fillId="4" borderId="3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3" borderId="67" xfId="0" applyFont="1" applyFill="1" applyBorder="1" applyAlignment="1">
      <alignment horizontal="left" vertical="center"/>
    </xf>
    <xf numFmtId="0" fontId="1" fillId="3" borderId="68" xfId="0" applyFont="1" applyFill="1" applyBorder="1" applyAlignment="1">
      <alignment horizontal="left" vertical="center"/>
    </xf>
    <xf numFmtId="0" fontId="36" fillId="4" borderId="10" xfId="0" applyFont="1" applyFill="1" applyBorder="1" applyAlignment="1">
      <alignment horizontal="center" vertical="center"/>
    </xf>
    <xf numFmtId="0" fontId="36" fillId="4" borderId="0" xfId="0" applyFont="1" applyFill="1" applyBorder="1" applyAlignment="1">
      <alignment horizontal="center" vertical="center"/>
    </xf>
    <xf numFmtId="0" fontId="40" fillId="0" borderId="10" xfId="0" applyFont="1" applyFill="1" applyBorder="1" applyAlignment="1">
      <alignment horizontal="left" vertical="top" wrapText="1"/>
    </xf>
    <xf numFmtId="0" fontId="40" fillId="0" borderId="0" xfId="0" applyFont="1" applyFill="1" applyBorder="1" applyAlignment="1">
      <alignment horizontal="left" vertical="top" wrapText="1"/>
    </xf>
    <xf numFmtId="0" fontId="40" fillId="0" borderId="11" xfId="0" applyFont="1" applyFill="1" applyBorder="1" applyAlignment="1">
      <alignment horizontal="left" vertical="top" wrapText="1"/>
    </xf>
    <xf numFmtId="0" fontId="40" fillId="0" borderId="53" xfId="0" applyFont="1" applyFill="1" applyBorder="1" applyAlignment="1">
      <alignment horizontal="left" vertical="top" wrapText="1"/>
    </xf>
    <xf numFmtId="0" fontId="40" fillId="0" borderId="71" xfId="0" applyFont="1" applyFill="1" applyBorder="1" applyAlignment="1">
      <alignment horizontal="left" vertical="top" wrapText="1"/>
    </xf>
    <xf numFmtId="0" fontId="40" fillId="0" borderId="54" xfId="0" applyFont="1" applyFill="1" applyBorder="1" applyAlignment="1">
      <alignment horizontal="left" vertical="top" wrapText="1"/>
    </xf>
    <xf numFmtId="0" fontId="0" fillId="5" borderId="100" xfId="0" applyFill="1" applyBorder="1" applyAlignment="1">
      <alignment horizontal="left" vertical="center" wrapText="1"/>
    </xf>
    <xf numFmtId="0" fontId="0" fillId="5" borderId="98" xfId="0" applyFill="1" applyBorder="1" applyAlignment="1">
      <alignment horizontal="left" vertical="center" wrapText="1"/>
    </xf>
    <xf numFmtId="43" fontId="0" fillId="5" borderId="101" xfId="6" applyFont="1" applyFill="1" applyBorder="1" applyAlignment="1">
      <alignment vertical="center"/>
    </xf>
    <xf numFmtId="43" fontId="0" fillId="5" borderId="99" xfId="6" applyFont="1" applyFill="1" applyBorder="1" applyAlignment="1">
      <alignment vertical="center"/>
    </xf>
    <xf numFmtId="0" fontId="0" fillId="0" borderId="14" xfId="0" applyBorder="1" applyAlignment="1">
      <alignment horizontal="left" vertical="top" wrapText="1"/>
    </xf>
    <xf numFmtId="0" fontId="0" fillId="0" borderId="85" xfId="0" applyBorder="1" applyAlignment="1">
      <alignment horizontal="left" vertical="top" wrapText="1"/>
    </xf>
    <xf numFmtId="0" fontId="0" fillId="0" borderId="90" xfId="0" applyBorder="1" applyAlignment="1">
      <alignment horizontal="left" vertical="top" wrapText="1"/>
    </xf>
    <xf numFmtId="0" fontId="0" fillId="0" borderId="91" xfId="0" applyBorder="1" applyAlignment="1">
      <alignment horizontal="left" vertical="top" wrapText="1"/>
    </xf>
    <xf numFmtId="0" fontId="12" fillId="0" borderId="34" xfId="0" applyFont="1" applyFill="1" applyBorder="1" applyAlignment="1">
      <alignment horizontal="center"/>
    </xf>
    <xf numFmtId="0" fontId="12" fillId="0" borderId="35" xfId="0" applyFont="1" applyFill="1" applyBorder="1" applyAlignment="1">
      <alignment horizontal="center"/>
    </xf>
    <xf numFmtId="0" fontId="12" fillId="0" borderId="34" xfId="0" applyFont="1" applyFill="1" applyBorder="1" applyAlignment="1">
      <alignment horizontal="center" vertical="center"/>
    </xf>
    <xf numFmtId="0" fontId="12" fillId="0" borderId="35" xfId="0" applyFont="1" applyFill="1" applyBorder="1" applyAlignment="1">
      <alignment horizontal="center" vertical="center"/>
    </xf>
    <xf numFmtId="0" fontId="0" fillId="5" borderId="30" xfId="0" applyFill="1" applyBorder="1" applyAlignment="1">
      <alignment horizontal="left" wrapText="1"/>
    </xf>
    <xf numFmtId="0" fontId="0" fillId="5" borderId="12" xfId="0" applyFill="1" applyBorder="1" applyAlignment="1">
      <alignment horizontal="left" wrapText="1"/>
    </xf>
    <xf numFmtId="1" fontId="0" fillId="5" borderId="31" xfId="0" applyNumberFormat="1" applyFill="1" applyBorder="1" applyAlignment="1">
      <alignment horizontal="center" vertical="center"/>
    </xf>
    <xf numFmtId="1" fontId="0" fillId="5" borderId="13" xfId="0" applyNumberFormat="1" applyFill="1" applyBorder="1" applyAlignment="1">
      <alignment horizontal="center" vertical="center"/>
    </xf>
    <xf numFmtId="0" fontId="0" fillId="5" borderId="12" xfId="0" applyFill="1" applyBorder="1" applyAlignment="1">
      <alignment horizontal="left" vertical="center" wrapText="1"/>
    </xf>
    <xf numFmtId="0" fontId="0" fillId="5" borderId="13" xfId="0" applyFill="1" applyBorder="1" applyAlignment="1">
      <alignment horizontal="center"/>
    </xf>
    <xf numFmtId="0" fontId="1" fillId="4" borderId="86" xfId="0" applyFont="1" applyFill="1" applyBorder="1" applyAlignment="1">
      <alignment horizontal="center" vertical="center" wrapText="1"/>
    </xf>
    <xf numFmtId="0" fontId="1" fillId="4" borderId="63" xfId="0" applyFont="1" applyFill="1" applyBorder="1" applyAlignment="1">
      <alignment horizontal="center" vertical="center" wrapText="1"/>
    </xf>
    <xf numFmtId="0" fontId="0" fillId="0" borderId="50" xfId="0" applyBorder="1" applyAlignment="1">
      <alignment horizontal="left" vertical="center" wrapText="1"/>
    </xf>
    <xf numFmtId="0" fontId="0" fillId="0" borderId="76" xfId="0" applyBorder="1" applyAlignment="1">
      <alignment horizontal="left" vertical="center" wrapText="1"/>
    </xf>
    <xf numFmtId="43" fontId="0" fillId="0" borderId="31" xfId="6" applyFont="1" applyBorder="1" applyAlignment="1">
      <alignment horizontal="center" vertical="center"/>
    </xf>
    <xf numFmtId="43" fontId="0" fillId="0" borderId="13" xfId="6" applyFont="1" applyBorder="1" applyAlignment="1">
      <alignment horizontal="center" vertical="center"/>
    </xf>
    <xf numFmtId="0" fontId="0" fillId="0" borderId="14" xfId="0" applyBorder="1" applyAlignment="1">
      <alignment horizontal="left" wrapText="1"/>
    </xf>
    <xf numFmtId="0" fontId="1" fillId="3" borderId="44"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1" fillId="4" borderId="62" xfId="0" applyFont="1" applyFill="1" applyBorder="1" applyAlignment="1">
      <alignment horizontal="center" vertical="center" wrapText="1"/>
    </xf>
    <xf numFmtId="0" fontId="0" fillId="0" borderId="85" xfId="0" applyBorder="1" applyAlignment="1">
      <alignment horizontal="left" wrapText="1"/>
    </xf>
    <xf numFmtId="0" fontId="0" fillId="0" borderId="14" xfId="0" applyFill="1" applyBorder="1" applyAlignment="1">
      <alignment horizontal="left" vertical="top" wrapText="1"/>
    </xf>
    <xf numFmtId="0" fontId="0" fillId="0" borderId="85" xfId="0" applyFill="1" applyBorder="1" applyAlignment="1">
      <alignment horizontal="left" vertical="top" wrapText="1"/>
    </xf>
    <xf numFmtId="0" fontId="39" fillId="0" borderId="10" xfId="0" applyFont="1" applyFill="1" applyBorder="1" applyAlignment="1">
      <alignment horizontal="left" vertical="top" wrapText="1"/>
    </xf>
    <xf numFmtId="0" fontId="39" fillId="0" borderId="0" xfId="0" applyFont="1" applyFill="1" applyBorder="1" applyAlignment="1">
      <alignment horizontal="left" vertical="top" wrapText="1"/>
    </xf>
    <xf numFmtId="0" fontId="39" fillId="0" borderId="11" xfId="0" applyFont="1" applyFill="1" applyBorder="1" applyAlignment="1">
      <alignment horizontal="left" vertical="top" wrapText="1"/>
    </xf>
    <xf numFmtId="0" fontId="39" fillId="0" borderId="53" xfId="0" applyFont="1" applyFill="1" applyBorder="1" applyAlignment="1">
      <alignment horizontal="left" vertical="top" wrapText="1"/>
    </xf>
    <xf numFmtId="0" fontId="39" fillId="0" borderId="71" xfId="0" applyFont="1" applyFill="1" applyBorder="1" applyAlignment="1">
      <alignment horizontal="left" vertical="top" wrapText="1"/>
    </xf>
    <xf numFmtId="0" fontId="39" fillId="0" borderId="54" xfId="0" applyFont="1" applyFill="1" applyBorder="1" applyAlignment="1">
      <alignment horizontal="left" vertical="top" wrapText="1"/>
    </xf>
    <xf numFmtId="0" fontId="1" fillId="3" borderId="45" xfId="0" applyFont="1" applyFill="1" applyBorder="1" applyAlignment="1" applyProtection="1">
      <alignment horizontal="right" vertical="center"/>
    </xf>
    <xf numFmtId="0" fontId="1" fillId="3" borderId="18" xfId="0" applyFont="1" applyFill="1" applyBorder="1" applyAlignment="1" applyProtection="1">
      <alignment horizontal="right" vertical="center"/>
    </xf>
    <xf numFmtId="0" fontId="0" fillId="0" borderId="10" xfId="0" applyBorder="1" applyAlignment="1" applyProtection="1">
      <alignment horizontal="left" vertical="center" wrapText="1" indent="2"/>
    </xf>
    <xf numFmtId="0" fontId="0" fillId="0" borderId="0" xfId="0" applyBorder="1" applyAlignment="1" applyProtection="1">
      <alignment horizontal="left" vertical="center" wrapText="1" indent="2"/>
    </xf>
    <xf numFmtId="0" fontId="0" fillId="0" borderId="11" xfId="0" applyBorder="1" applyAlignment="1" applyProtection="1">
      <alignment horizontal="left" vertical="center" wrapText="1" indent="2"/>
    </xf>
    <xf numFmtId="0" fontId="0" fillId="0" borderId="14" xfId="0" applyBorder="1" applyAlignment="1" applyProtection="1">
      <alignment horizontal="left" vertical="top" wrapText="1"/>
    </xf>
    <xf numFmtId="0" fontId="0" fillId="0" borderId="85" xfId="0" applyBorder="1" applyAlignment="1" applyProtection="1">
      <alignment horizontal="left" vertical="top" wrapText="1"/>
    </xf>
    <xf numFmtId="0" fontId="1" fillId="3" borderId="44" xfId="0" applyFont="1" applyFill="1" applyBorder="1" applyAlignment="1" applyProtection="1">
      <alignment horizontal="left" vertical="center"/>
    </xf>
    <xf numFmtId="0" fontId="1" fillId="3" borderId="20" xfId="0" applyFont="1" applyFill="1" applyBorder="1" applyAlignment="1" applyProtection="1">
      <alignment horizontal="left" vertical="center"/>
    </xf>
    <xf numFmtId="0" fontId="6" fillId="4" borderId="41" xfId="0" applyFont="1" applyFill="1" applyBorder="1" applyAlignment="1" applyProtection="1">
      <alignment horizontal="center"/>
    </xf>
    <xf numFmtId="0" fontId="6" fillId="4" borderId="42" xfId="0" applyFont="1" applyFill="1" applyBorder="1" applyAlignment="1" applyProtection="1">
      <alignment horizontal="center"/>
    </xf>
    <xf numFmtId="0" fontId="1" fillId="4" borderId="43" xfId="0" applyFont="1" applyFill="1" applyBorder="1" applyAlignment="1" applyProtection="1">
      <alignment horizontal="center" vertical="center" wrapText="1"/>
    </xf>
    <xf numFmtId="0" fontId="1" fillId="4" borderId="11" xfId="0" applyFont="1" applyFill="1" applyBorder="1" applyAlignment="1" applyProtection="1">
      <alignment horizontal="center" vertical="center" wrapText="1"/>
    </xf>
    <xf numFmtId="0" fontId="16" fillId="4" borderId="38" xfId="0" applyFont="1" applyFill="1" applyBorder="1" applyAlignment="1" applyProtection="1">
      <alignment horizontal="center" vertical="center"/>
    </xf>
    <xf numFmtId="0" fontId="1" fillId="4" borderId="86" xfId="0" applyFont="1" applyFill="1" applyBorder="1" applyAlignment="1" applyProtection="1">
      <alignment horizontal="center" vertical="center" wrapText="1"/>
    </xf>
    <xf numFmtId="0" fontId="1" fillId="4" borderId="63" xfId="0" applyFont="1" applyFill="1" applyBorder="1" applyAlignment="1" applyProtection="1">
      <alignment horizontal="center" vertical="center" wrapText="1"/>
    </xf>
    <xf numFmtId="0" fontId="12" fillId="0" borderId="34" xfId="0" applyFont="1" applyFill="1" applyBorder="1" applyAlignment="1" applyProtection="1">
      <alignment horizontal="center" vertical="center"/>
    </xf>
    <xf numFmtId="0" fontId="12" fillId="0" borderId="35" xfId="0" applyFont="1" applyFill="1" applyBorder="1" applyAlignment="1" applyProtection="1">
      <alignment horizontal="center" vertical="center"/>
    </xf>
    <xf numFmtId="0" fontId="12" fillId="0" borderId="34" xfId="0" applyFont="1" applyBorder="1" applyAlignment="1" applyProtection="1">
      <alignment horizontal="center" vertical="center" wrapText="1"/>
    </xf>
    <xf numFmtId="0" fontId="12" fillId="0" borderId="35" xfId="0" applyFont="1" applyBorder="1" applyAlignment="1" applyProtection="1">
      <alignment horizontal="center" vertical="center" wrapText="1"/>
    </xf>
    <xf numFmtId="0" fontId="16" fillId="4" borderId="0" xfId="0" applyFont="1" applyFill="1" applyBorder="1" applyAlignment="1" applyProtection="1">
      <alignment horizontal="center" vertical="center"/>
    </xf>
    <xf numFmtId="0" fontId="15" fillId="0" borderId="55" xfId="0" applyFont="1" applyBorder="1" applyAlignment="1" applyProtection="1">
      <alignment horizontal="center" vertical="center"/>
    </xf>
    <xf numFmtId="0" fontId="15" fillId="0" borderId="56" xfId="0" applyFont="1" applyBorder="1" applyAlignment="1" applyProtection="1">
      <alignment horizontal="center" vertical="center"/>
    </xf>
    <xf numFmtId="0" fontId="15" fillId="0" borderId="57" xfId="0" applyFont="1" applyBorder="1" applyAlignment="1" applyProtection="1">
      <alignment horizontal="center" vertical="center"/>
    </xf>
    <xf numFmtId="0" fontId="1" fillId="3" borderId="44" xfId="0" applyFont="1" applyFill="1" applyBorder="1" applyAlignment="1" applyProtection="1">
      <alignment horizontal="left" vertical="center" wrapText="1"/>
    </xf>
    <xf numFmtId="0" fontId="1" fillId="3" borderId="20" xfId="0" applyFont="1" applyFill="1" applyBorder="1" applyAlignment="1" applyProtection="1">
      <alignment horizontal="left" vertical="center" wrapText="1"/>
    </xf>
    <xf numFmtId="0" fontId="12" fillId="0" borderId="34" xfId="0" applyFont="1" applyFill="1" applyBorder="1" applyAlignment="1" applyProtection="1">
      <alignment horizontal="center"/>
    </xf>
    <xf numFmtId="0" fontId="12" fillId="0" borderId="35" xfId="0" applyFont="1" applyFill="1" applyBorder="1" applyAlignment="1" applyProtection="1">
      <alignment horizontal="center"/>
    </xf>
    <xf numFmtId="0" fontId="12" fillId="0" borderId="34" xfId="0" applyFont="1" applyBorder="1" applyAlignment="1" applyProtection="1">
      <alignment horizontal="center" vertical="center"/>
    </xf>
    <xf numFmtId="0" fontId="12" fillId="0" borderId="35" xfId="0" applyFont="1" applyBorder="1" applyAlignment="1" applyProtection="1">
      <alignment horizontal="center" vertical="center"/>
    </xf>
    <xf numFmtId="0" fontId="36" fillId="4" borderId="10" xfId="0" applyFont="1" applyFill="1" applyBorder="1" applyAlignment="1" applyProtection="1">
      <alignment horizontal="center" vertical="center"/>
    </xf>
    <xf numFmtId="0" fontId="36" fillId="4" borderId="0" xfId="0" applyFont="1" applyFill="1" applyBorder="1" applyAlignment="1" applyProtection="1">
      <alignment horizontal="center" vertical="center"/>
    </xf>
    <xf numFmtId="0" fontId="39" fillId="0" borderId="10" xfId="0" applyFont="1" applyFill="1" applyBorder="1" applyAlignment="1" applyProtection="1">
      <alignment horizontal="left" vertical="top" wrapText="1"/>
    </xf>
    <xf numFmtId="0" fontId="39" fillId="0" borderId="0" xfId="0" applyFont="1" applyFill="1" applyBorder="1" applyAlignment="1" applyProtection="1">
      <alignment horizontal="left" vertical="top" wrapText="1"/>
    </xf>
    <xf numFmtId="0" fontId="39" fillId="0" borderId="11" xfId="0" applyFont="1" applyFill="1" applyBorder="1" applyAlignment="1" applyProtection="1">
      <alignment horizontal="left" vertical="top" wrapText="1"/>
    </xf>
    <xf numFmtId="0" fontId="39" fillId="0" borderId="53" xfId="0" applyFont="1" applyFill="1" applyBorder="1" applyAlignment="1" applyProtection="1">
      <alignment horizontal="left" vertical="top" wrapText="1"/>
    </xf>
    <xf numFmtId="0" fontId="39" fillId="0" borderId="71" xfId="0" applyFont="1" applyFill="1" applyBorder="1" applyAlignment="1" applyProtection="1">
      <alignment horizontal="left" vertical="top" wrapText="1"/>
    </xf>
    <xf numFmtId="0" fontId="39" fillId="0" borderId="54" xfId="0" applyFont="1" applyFill="1" applyBorder="1" applyAlignment="1" applyProtection="1">
      <alignment horizontal="left" vertical="top" wrapText="1"/>
    </xf>
    <xf numFmtId="0" fontId="0" fillId="0" borderId="14" xfId="0" applyBorder="1" applyAlignment="1">
      <alignment vertical="top"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43" fillId="2" borderId="23" xfId="2" applyFont="1" applyFill="1" applyBorder="1" applyAlignment="1">
      <alignment horizontal="center" vertical="top" wrapText="1"/>
    </xf>
  </cellXfs>
  <cellStyles count="11">
    <cellStyle name="Body: normal cell" xfId="4"/>
    <cellStyle name="Comma" xfId="6" builtinId="3"/>
    <cellStyle name="Currency" xfId="10" builtinId="4"/>
    <cellStyle name="Currency 3" xfId="8"/>
    <cellStyle name="Hyperlink" xfId="1" builtinId="8"/>
    <cellStyle name="Hyperlink 2" xfId="5"/>
    <cellStyle name="Normal" xfId="0" builtinId="0"/>
    <cellStyle name="Normal 2" xfId="7"/>
    <cellStyle name="Normal_Calc_Computer_product" xfId="2"/>
    <cellStyle name="Normal_office equipment calculator - rough draft 110909" xfId="3"/>
    <cellStyle name="Percent" xfId="9" builtinId="5"/>
  </cellStyles>
  <dxfs count="0"/>
  <tableStyles count="0" defaultTableStyle="TableStyleMedium2" defaultPivotStyle="PivotStyleLight16"/>
  <colors>
    <mruColors>
      <color rgb="FF26583A"/>
      <color rgb="FF008041"/>
      <color rgb="FF80C342"/>
      <color rgb="FF9FDBED"/>
      <color rgb="FFFDB933"/>
      <color rgb="FF214A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4.png"/><Relationship Id="rId7" Type="http://schemas.openxmlformats.org/officeDocument/2006/relationships/image" Target="../media/image6.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5.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8.png"/><Relationship Id="rId7" Type="http://schemas.openxmlformats.org/officeDocument/2006/relationships/image" Target="../media/image10.png"/><Relationship Id="rId2" Type="http://schemas.openxmlformats.org/officeDocument/2006/relationships/image" Target="../media/image10.svg"/><Relationship Id="rId1" Type="http://schemas.openxmlformats.org/officeDocument/2006/relationships/image" Target="../media/image7.png"/><Relationship Id="rId6" Type="http://schemas.openxmlformats.org/officeDocument/2006/relationships/image" Target="../media/image6.svg"/><Relationship Id="rId5" Type="http://schemas.openxmlformats.org/officeDocument/2006/relationships/image" Target="../media/image9.png"/><Relationship Id="rId10" Type="http://schemas.openxmlformats.org/officeDocument/2006/relationships/image" Target="../media/image1.png"/><Relationship Id="rId4" Type="http://schemas.openxmlformats.org/officeDocument/2006/relationships/image" Target="../media/image12.svg"/><Relationship Id="rId9" Type="http://schemas.openxmlformats.org/officeDocument/2006/relationships/image" Target="../media/image14.svg"/></Relationships>
</file>

<file path=xl/drawings/_rels/drawing4.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9.png"/><Relationship Id="rId7" Type="http://schemas.openxmlformats.org/officeDocument/2006/relationships/image" Target="../media/image6.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5.png"/><Relationship Id="rId10" Type="http://schemas.openxmlformats.org/officeDocument/2006/relationships/image" Target="../media/image1.png"/><Relationship Id="rId4" Type="http://schemas.openxmlformats.org/officeDocument/2006/relationships/image" Target="../media/image6.svg"/><Relationship Id="rId9" Type="http://schemas.openxmlformats.org/officeDocument/2006/relationships/image" Target="../media/image16.svg"/></Relationships>
</file>

<file path=xl/drawings/_rels/drawing5.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9.png"/><Relationship Id="rId7" Type="http://schemas.openxmlformats.org/officeDocument/2006/relationships/image" Target="../media/image6.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5.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4.png"/><Relationship Id="rId7" Type="http://schemas.openxmlformats.org/officeDocument/2006/relationships/image" Target="../media/image6.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5.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6.png"/><Relationship Id="rId7" Type="http://schemas.openxmlformats.org/officeDocument/2006/relationships/image" Target="../media/image10.svg"/><Relationship Id="rId2" Type="http://schemas.openxmlformats.org/officeDocument/2006/relationships/image" Target="../media/image6.svg"/><Relationship Id="rId1" Type="http://schemas.openxmlformats.org/officeDocument/2006/relationships/image" Target="../media/image4.png"/><Relationship Id="rId6" Type="http://schemas.openxmlformats.org/officeDocument/2006/relationships/image" Target="../media/image7.png"/><Relationship Id="rId5" Type="http://schemas.openxmlformats.org/officeDocument/2006/relationships/image" Target="../media/image12.svg"/><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8" Type="http://schemas.openxmlformats.org/officeDocument/2006/relationships/image" Target="../media/image16.svg"/><Relationship Id="rId13" Type="http://schemas.openxmlformats.org/officeDocument/2006/relationships/image" Target="../media/image11.png"/><Relationship Id="rId3" Type="http://schemas.openxmlformats.org/officeDocument/2006/relationships/image" Target="../media/image13.png"/><Relationship Id="rId7" Type="http://schemas.openxmlformats.org/officeDocument/2006/relationships/image" Target="../media/image12.png"/><Relationship Id="rId12" Type="http://schemas.openxmlformats.org/officeDocument/2006/relationships/image" Target="../media/image12.sv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11" Type="http://schemas.openxmlformats.org/officeDocument/2006/relationships/image" Target="../media/image8.png"/><Relationship Id="rId5" Type="http://schemas.openxmlformats.org/officeDocument/2006/relationships/image" Target="../media/image5.png"/><Relationship Id="rId15" Type="http://schemas.openxmlformats.org/officeDocument/2006/relationships/image" Target="../media/image1.png"/><Relationship Id="rId10" Type="http://schemas.openxmlformats.org/officeDocument/2006/relationships/image" Target="../media/image10.svg"/><Relationship Id="rId4" Type="http://schemas.openxmlformats.org/officeDocument/2006/relationships/image" Target="../media/image6.svg"/><Relationship Id="rId9" Type="http://schemas.openxmlformats.org/officeDocument/2006/relationships/image" Target="../media/image7.png"/><Relationship Id="rId14" Type="http://schemas.openxmlformats.org/officeDocument/2006/relationships/image" Target="../media/image14.sv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2</xdr:col>
      <xdr:colOff>4857750</xdr:colOff>
      <xdr:row>0</xdr:row>
      <xdr:rowOff>18456</xdr:rowOff>
    </xdr:from>
    <xdr:to>
      <xdr:col>2</xdr:col>
      <xdr:colOff>5991225</xdr:colOff>
      <xdr:row>0</xdr:row>
      <xdr:rowOff>608808</xdr:rowOff>
    </xdr:to>
    <xdr:pic>
      <xdr:nvPicPr>
        <xdr:cNvPr id="2" name="Picture 1">
          <a:extLst>
            <a:ext uri="{FF2B5EF4-FFF2-40B4-BE49-F238E27FC236}">
              <a16:creationId xmlns:a16="http://schemas.microsoft.com/office/drawing/2014/main" id="{3CA74E7E-0D5A-4EFC-9470-E78AEC628057}"/>
            </a:ext>
          </a:extLst>
        </xdr:cNvPr>
        <xdr:cNvPicPr>
          <a:picLocks noChangeAspect="1"/>
        </xdr:cNvPicPr>
      </xdr:nvPicPr>
      <xdr:blipFill>
        <a:blip xmlns:r="http://schemas.openxmlformats.org/officeDocument/2006/relationships" r:embed="rId1"/>
        <a:stretch>
          <a:fillRect/>
        </a:stretch>
      </xdr:blipFill>
      <xdr:spPr>
        <a:xfrm>
          <a:off x="10858500" y="18456"/>
          <a:ext cx="1133475" cy="590352"/>
        </a:xfrm>
        <a:prstGeom prst="rect">
          <a:avLst/>
        </a:prstGeom>
      </xdr:spPr>
    </xdr:pic>
    <xdr:clientData/>
  </xdr:twoCellAnchor>
  <xdr:twoCellAnchor>
    <xdr:from>
      <xdr:col>0</xdr:col>
      <xdr:colOff>352425</xdr:colOff>
      <xdr:row>22</xdr:row>
      <xdr:rowOff>0</xdr:rowOff>
    </xdr:from>
    <xdr:to>
      <xdr:col>0</xdr:col>
      <xdr:colOff>1504950</xdr:colOff>
      <xdr:row>22</xdr:row>
      <xdr:rowOff>247650</xdr:rowOff>
    </xdr:to>
    <xdr:sp macro="" textlink="">
      <xdr:nvSpPr>
        <xdr:cNvPr id="3" name="TextBox 2">
          <a:extLst>
            <a:ext uri="{FF2B5EF4-FFF2-40B4-BE49-F238E27FC236}">
              <a16:creationId xmlns:a16="http://schemas.microsoft.com/office/drawing/2014/main" id="{BE857821-3765-4E3F-9627-C8321D3280C9}"/>
            </a:ext>
          </a:extLst>
        </xdr:cNvPr>
        <xdr:cNvSpPr txBox="1"/>
      </xdr:nvSpPr>
      <xdr:spPr>
        <a:xfrm>
          <a:off x="352425" y="3990975"/>
          <a:ext cx="1152525" cy="247650"/>
        </a:xfrm>
        <a:prstGeom prst="rect">
          <a:avLst/>
        </a:prstGeom>
        <a:solidFill>
          <a:srgbClr val="9FDBED"/>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Enter Data</a:t>
          </a:r>
        </a:p>
      </xdr:txBody>
    </xdr:sp>
    <xdr:clientData/>
  </xdr:twoCellAnchor>
  <xdr:twoCellAnchor>
    <xdr:from>
      <xdr:col>0</xdr:col>
      <xdr:colOff>1752600</xdr:colOff>
      <xdr:row>22</xdr:row>
      <xdr:rowOff>0</xdr:rowOff>
    </xdr:from>
    <xdr:to>
      <xdr:col>1</xdr:col>
      <xdr:colOff>409575</xdr:colOff>
      <xdr:row>22</xdr:row>
      <xdr:rowOff>247650</xdr:rowOff>
    </xdr:to>
    <xdr:sp macro="" textlink="">
      <xdr:nvSpPr>
        <xdr:cNvPr id="4" name="TextBox 3">
          <a:extLst>
            <a:ext uri="{FF2B5EF4-FFF2-40B4-BE49-F238E27FC236}">
              <a16:creationId xmlns:a16="http://schemas.microsoft.com/office/drawing/2014/main" id="{DDE4819F-08D0-489F-9702-ADF667595FD1}"/>
            </a:ext>
          </a:extLst>
        </xdr:cNvPr>
        <xdr:cNvSpPr txBox="1"/>
      </xdr:nvSpPr>
      <xdr:spPr>
        <a:xfrm>
          <a:off x="1752600" y="3990975"/>
          <a:ext cx="1657350" cy="24765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Environmental</a:t>
          </a:r>
          <a:r>
            <a:rPr lang="en-US" sz="1100" baseline="0"/>
            <a:t> Impacts</a:t>
          </a:r>
          <a:endParaRPr lang="en-US" sz="1100"/>
        </a:p>
      </xdr:txBody>
    </xdr:sp>
    <xdr:clientData/>
  </xdr:twoCellAnchor>
  <xdr:twoCellAnchor editAs="oneCell">
    <xdr:from>
      <xdr:col>0</xdr:col>
      <xdr:colOff>85725</xdr:colOff>
      <xdr:row>25</xdr:row>
      <xdr:rowOff>19049</xdr:rowOff>
    </xdr:from>
    <xdr:to>
      <xdr:col>0</xdr:col>
      <xdr:colOff>438150</xdr:colOff>
      <xdr:row>25</xdr:row>
      <xdr:rowOff>371474</xdr:rowOff>
    </xdr:to>
    <xdr:pic>
      <xdr:nvPicPr>
        <xdr:cNvPr id="6" name="Picture 5" descr="Image result for help icon">
          <a:extLst>
            <a:ext uri="{FF2B5EF4-FFF2-40B4-BE49-F238E27FC236}">
              <a16:creationId xmlns:a16="http://schemas.microsoft.com/office/drawing/2014/main" id="{E1192B7F-9447-4619-B7AE-C095AA6518B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5" y="4886324"/>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914400</xdr:colOff>
      <xdr:row>144</xdr:row>
      <xdr:rowOff>66675</xdr:rowOff>
    </xdr:from>
    <xdr:to>
      <xdr:col>2</xdr:col>
      <xdr:colOff>1828800</xdr:colOff>
      <xdr:row>149</xdr:row>
      <xdr:rowOff>28575</xdr:rowOff>
    </xdr:to>
    <xdr:pic>
      <xdr:nvPicPr>
        <xdr:cNvPr id="11" name="Graphic 10" descr="CO2">
          <a:extLst>
            <a:ext uri="{FF2B5EF4-FFF2-40B4-BE49-F238E27FC236}">
              <a16:creationId xmlns:a16="http://schemas.microsoft.com/office/drawing/2014/main" id="{EE4E9612-A2CA-4932-95C0-557B7B26AF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962400" y="31537275"/>
          <a:ext cx="914400" cy="914400"/>
        </a:xfrm>
        <a:prstGeom prst="rect">
          <a:avLst/>
        </a:prstGeom>
      </xdr:spPr>
    </xdr:pic>
    <xdr:clientData/>
  </xdr:twoCellAnchor>
  <xdr:twoCellAnchor editAs="oneCell">
    <xdr:from>
      <xdr:col>2</xdr:col>
      <xdr:colOff>2819400</xdr:colOff>
      <xdr:row>144</xdr:row>
      <xdr:rowOff>66675</xdr:rowOff>
    </xdr:from>
    <xdr:to>
      <xdr:col>3</xdr:col>
      <xdr:colOff>171450</xdr:colOff>
      <xdr:row>149</xdr:row>
      <xdr:rowOff>28575</xdr:rowOff>
    </xdr:to>
    <xdr:pic>
      <xdr:nvPicPr>
        <xdr:cNvPr id="8" name="Graphic 7" descr="Dollar">
          <a:extLst>
            <a:ext uri="{FF2B5EF4-FFF2-40B4-BE49-F238E27FC236}">
              <a16:creationId xmlns:a16="http://schemas.microsoft.com/office/drawing/2014/main" id="{B20A38BB-DDA7-4A59-8DA1-E6EC33DA1C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2819400" y="28003500"/>
          <a:ext cx="914400" cy="914400"/>
        </a:xfrm>
        <a:prstGeom prst="rect">
          <a:avLst/>
        </a:prstGeom>
      </xdr:spPr>
    </xdr:pic>
    <xdr:clientData/>
  </xdr:twoCellAnchor>
  <xdr:twoCellAnchor editAs="oneCell">
    <xdr:from>
      <xdr:col>5</xdr:col>
      <xdr:colOff>1983921</xdr:colOff>
      <xdr:row>144</xdr:row>
      <xdr:rowOff>57603</xdr:rowOff>
    </xdr:from>
    <xdr:to>
      <xdr:col>5</xdr:col>
      <xdr:colOff>2898321</xdr:colOff>
      <xdr:row>149</xdr:row>
      <xdr:rowOff>19503</xdr:rowOff>
    </xdr:to>
    <xdr:pic>
      <xdr:nvPicPr>
        <xdr:cNvPr id="10" name="Graphic 9" descr="Deciduous tree">
          <a:extLst>
            <a:ext uri="{FF2B5EF4-FFF2-40B4-BE49-F238E27FC236}">
              <a16:creationId xmlns:a16="http://schemas.microsoft.com/office/drawing/2014/main" id="{046B64B2-5FF9-43C8-BD77-BD41104A99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7018564" y="24886103"/>
          <a:ext cx="914400" cy="914400"/>
        </a:xfrm>
        <a:prstGeom prst="rect">
          <a:avLst/>
        </a:prstGeom>
      </xdr:spPr>
    </xdr:pic>
    <xdr:clientData/>
  </xdr:twoCellAnchor>
  <xdr:twoCellAnchor>
    <xdr:from>
      <xdr:col>2</xdr:col>
      <xdr:colOff>828675</xdr:colOff>
      <xdr:row>141</xdr:row>
      <xdr:rowOff>66676</xdr:rowOff>
    </xdr:from>
    <xdr:to>
      <xdr:col>3</xdr:col>
      <xdr:colOff>609599</xdr:colOff>
      <xdr:row>142</xdr:row>
      <xdr:rowOff>114300</xdr:rowOff>
    </xdr:to>
    <xdr:sp macro="" textlink="">
      <xdr:nvSpPr>
        <xdr:cNvPr id="12" name="TextBox 11">
          <a:extLst>
            <a:ext uri="{FF2B5EF4-FFF2-40B4-BE49-F238E27FC236}">
              <a16:creationId xmlns:a16="http://schemas.microsoft.com/office/drawing/2014/main" id="{878B2D08-8F29-46FC-8CD1-3ACEF910C985}"/>
            </a:ext>
          </a:extLst>
        </xdr:cNvPr>
        <xdr:cNvSpPr txBox="1"/>
      </xdr:nvSpPr>
      <xdr:spPr>
        <a:xfrm>
          <a:off x="3933825" y="31308676"/>
          <a:ext cx="3009899"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You saved your school</a:t>
          </a:r>
        </a:p>
      </xdr:txBody>
    </xdr:sp>
    <xdr:clientData/>
  </xdr:twoCellAnchor>
  <xdr:oneCellAnchor>
    <xdr:from>
      <xdr:col>2</xdr:col>
      <xdr:colOff>847725</xdr:colOff>
      <xdr:row>168</xdr:row>
      <xdr:rowOff>22680</xdr:rowOff>
    </xdr:from>
    <xdr:ext cx="914400" cy="914400"/>
    <xdr:pic>
      <xdr:nvPicPr>
        <xdr:cNvPr id="6" name="Graphic 5" descr="CO2">
          <a:extLst>
            <a:ext uri="{FF2B5EF4-FFF2-40B4-BE49-F238E27FC236}">
              <a16:creationId xmlns:a16="http://schemas.microsoft.com/office/drawing/2014/main" id="{9DC7A5B4-0039-5646-B3B1-C50222C8A2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847725" y="30030966"/>
          <a:ext cx="914400" cy="914400"/>
        </a:xfrm>
        <a:prstGeom prst="rect">
          <a:avLst/>
        </a:prstGeom>
      </xdr:spPr>
    </xdr:pic>
    <xdr:clientData/>
  </xdr:oneCellAnchor>
  <xdr:oneCellAnchor>
    <xdr:from>
      <xdr:col>2</xdr:col>
      <xdr:colOff>3231243</xdr:colOff>
      <xdr:row>168</xdr:row>
      <xdr:rowOff>48532</xdr:rowOff>
    </xdr:from>
    <xdr:ext cx="914400" cy="914400"/>
    <xdr:pic>
      <xdr:nvPicPr>
        <xdr:cNvPr id="7" name="Graphic 6" descr="Dollar">
          <a:extLst>
            <a:ext uri="{FF2B5EF4-FFF2-40B4-BE49-F238E27FC236}">
              <a16:creationId xmlns:a16="http://schemas.microsoft.com/office/drawing/2014/main" id="{F0CD885E-9C38-654C-B99D-AADA71339A4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3231243" y="30056818"/>
          <a:ext cx="914400" cy="914400"/>
        </a:xfrm>
        <a:prstGeom prst="rect">
          <a:avLst/>
        </a:prstGeom>
      </xdr:spPr>
    </xdr:pic>
    <xdr:clientData/>
  </xdr:oneCellAnchor>
  <xdr:oneCellAnchor>
    <xdr:from>
      <xdr:col>5</xdr:col>
      <xdr:colOff>2047422</xdr:colOff>
      <xdr:row>168</xdr:row>
      <xdr:rowOff>75746</xdr:rowOff>
    </xdr:from>
    <xdr:ext cx="914400" cy="914400"/>
    <xdr:pic>
      <xdr:nvPicPr>
        <xdr:cNvPr id="9" name="Graphic 8" descr="Deciduous tree">
          <a:extLst>
            <a:ext uri="{FF2B5EF4-FFF2-40B4-BE49-F238E27FC236}">
              <a16:creationId xmlns:a16="http://schemas.microsoft.com/office/drawing/2014/main" id="{39025C0D-0B0D-9843-B383-0C3422FB8B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7082065" y="30084032"/>
          <a:ext cx="914400" cy="914400"/>
        </a:xfrm>
        <a:prstGeom prst="rect">
          <a:avLst/>
        </a:prstGeom>
      </xdr:spPr>
    </xdr:pic>
    <xdr:clientData/>
  </xdr:oneCellAnchor>
  <xdr:twoCellAnchor>
    <xdr:from>
      <xdr:col>2</xdr:col>
      <xdr:colOff>1781176</xdr:colOff>
      <xdr:row>165</xdr:row>
      <xdr:rowOff>66676</xdr:rowOff>
    </xdr:from>
    <xdr:to>
      <xdr:col>2</xdr:col>
      <xdr:colOff>2962275</xdr:colOff>
      <xdr:row>166</xdr:row>
      <xdr:rowOff>114300</xdr:rowOff>
    </xdr:to>
    <xdr:sp macro="" textlink="">
      <xdr:nvSpPr>
        <xdr:cNvPr id="13" name="TextBox 12">
          <a:extLst>
            <a:ext uri="{FF2B5EF4-FFF2-40B4-BE49-F238E27FC236}">
              <a16:creationId xmlns:a16="http://schemas.microsoft.com/office/drawing/2014/main" id="{CB3EAF29-0DEB-E043-88FA-4547755E1FFF}"/>
            </a:ext>
          </a:extLst>
        </xdr:cNvPr>
        <xdr:cNvSpPr txBox="1"/>
      </xdr:nvSpPr>
      <xdr:spPr>
        <a:xfrm>
          <a:off x="4819651" y="39252526"/>
          <a:ext cx="1181099"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6</xdr:col>
      <xdr:colOff>276225</xdr:colOff>
      <xdr:row>0</xdr:row>
      <xdr:rowOff>38100</xdr:rowOff>
    </xdr:from>
    <xdr:to>
      <xdr:col>6</xdr:col>
      <xdr:colOff>1409700</xdr:colOff>
      <xdr:row>0</xdr:row>
      <xdr:rowOff>628452</xdr:rowOff>
    </xdr:to>
    <xdr:pic>
      <xdr:nvPicPr>
        <xdr:cNvPr id="15" name="Picture 14">
          <a:extLst>
            <a:ext uri="{FF2B5EF4-FFF2-40B4-BE49-F238E27FC236}">
              <a16:creationId xmlns:a16="http://schemas.microsoft.com/office/drawing/2014/main" id="{46B3619B-2B58-4B40-AE35-FDFB8A8D2F95}"/>
            </a:ext>
          </a:extLst>
        </xdr:cNvPr>
        <xdr:cNvPicPr>
          <a:picLocks noChangeAspect="1"/>
        </xdr:cNvPicPr>
      </xdr:nvPicPr>
      <xdr:blipFill>
        <a:blip xmlns:r="http://schemas.openxmlformats.org/officeDocument/2006/relationships" r:embed="rId8"/>
        <a:stretch>
          <a:fillRect/>
        </a:stretch>
      </xdr:blipFill>
      <xdr:spPr>
        <a:xfrm>
          <a:off x="11715750" y="38100"/>
          <a:ext cx="1133475" cy="5903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797860</xdr:colOff>
      <xdr:row>114</xdr:row>
      <xdr:rowOff>87407</xdr:rowOff>
    </xdr:from>
    <xdr:to>
      <xdr:col>3</xdr:col>
      <xdr:colOff>657225</xdr:colOff>
      <xdr:row>115</xdr:row>
      <xdr:rowOff>135031</xdr:rowOff>
    </xdr:to>
    <xdr:sp macro="" textlink="">
      <xdr:nvSpPr>
        <xdr:cNvPr id="5" name="TextBox 4">
          <a:extLst>
            <a:ext uri="{FF2B5EF4-FFF2-40B4-BE49-F238E27FC236}">
              <a16:creationId xmlns:a16="http://schemas.microsoft.com/office/drawing/2014/main" id="{D2703B87-88AA-41C3-9C7C-02AF3B0756F9}"/>
            </a:ext>
          </a:extLst>
        </xdr:cNvPr>
        <xdr:cNvSpPr txBox="1"/>
      </xdr:nvSpPr>
      <xdr:spPr>
        <a:xfrm>
          <a:off x="3845860" y="25747757"/>
          <a:ext cx="3097865"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latin typeface="+mn-lt"/>
              <a:ea typeface="+mn-ea"/>
              <a:cs typeface="+mn-cs"/>
            </a:rPr>
            <a:t>You saved your school</a:t>
          </a:r>
        </a:p>
      </xdr:txBody>
    </xdr:sp>
    <xdr:clientData/>
  </xdr:twoCellAnchor>
  <xdr:twoCellAnchor>
    <xdr:from>
      <xdr:col>2</xdr:col>
      <xdr:colOff>1781176</xdr:colOff>
      <xdr:row>149</xdr:row>
      <xdr:rowOff>57151</xdr:rowOff>
    </xdr:from>
    <xdr:to>
      <xdr:col>2</xdr:col>
      <xdr:colOff>3124200</xdr:colOff>
      <xdr:row>150</xdr:row>
      <xdr:rowOff>104775</xdr:rowOff>
    </xdr:to>
    <xdr:sp macro="" textlink="">
      <xdr:nvSpPr>
        <xdr:cNvPr id="9" name="TextBox 8">
          <a:extLst>
            <a:ext uri="{FF2B5EF4-FFF2-40B4-BE49-F238E27FC236}">
              <a16:creationId xmlns:a16="http://schemas.microsoft.com/office/drawing/2014/main" id="{C28DDFAC-13D0-417F-8CF4-6DD7B44FB437}"/>
            </a:ext>
          </a:extLst>
        </xdr:cNvPr>
        <xdr:cNvSpPr txBox="1"/>
      </xdr:nvSpPr>
      <xdr:spPr>
        <a:xfrm>
          <a:off x="4591051" y="31489651"/>
          <a:ext cx="1333499"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5</xdr:col>
      <xdr:colOff>2000250</xdr:colOff>
      <xdr:row>117</xdr:row>
      <xdr:rowOff>28575</xdr:rowOff>
    </xdr:from>
    <xdr:to>
      <xdr:col>5</xdr:col>
      <xdr:colOff>2914650</xdr:colOff>
      <xdr:row>121</xdr:row>
      <xdr:rowOff>180975</xdr:rowOff>
    </xdr:to>
    <xdr:pic>
      <xdr:nvPicPr>
        <xdr:cNvPr id="11" name="Graphic 10" descr="Bathtub">
          <a:extLst>
            <a:ext uri="{FF2B5EF4-FFF2-40B4-BE49-F238E27FC236}">
              <a16:creationId xmlns:a16="http://schemas.microsoft.com/office/drawing/2014/main" id="{6DA86924-796B-4E7E-B2D1-A9DFB852AD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0191750" y="26308050"/>
          <a:ext cx="914400" cy="914400"/>
        </a:xfrm>
        <a:prstGeom prst="rect">
          <a:avLst/>
        </a:prstGeom>
      </xdr:spPr>
    </xdr:pic>
    <xdr:clientData/>
  </xdr:twoCellAnchor>
  <xdr:twoCellAnchor editAs="oneCell">
    <xdr:from>
      <xdr:col>2</xdr:col>
      <xdr:colOff>1295400</xdr:colOff>
      <xdr:row>117</xdr:row>
      <xdr:rowOff>28575</xdr:rowOff>
    </xdr:from>
    <xdr:to>
      <xdr:col>2</xdr:col>
      <xdr:colOff>2209800</xdr:colOff>
      <xdr:row>121</xdr:row>
      <xdr:rowOff>180975</xdr:rowOff>
    </xdr:to>
    <xdr:pic>
      <xdr:nvPicPr>
        <xdr:cNvPr id="13" name="Graphic 12" descr="Water">
          <a:extLst>
            <a:ext uri="{FF2B5EF4-FFF2-40B4-BE49-F238E27FC236}">
              <a16:creationId xmlns:a16="http://schemas.microsoft.com/office/drawing/2014/main" id="{20947505-D522-473F-B298-CE0BD0604A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4343400" y="26384250"/>
          <a:ext cx="914400" cy="914400"/>
        </a:xfrm>
        <a:prstGeom prst="rect">
          <a:avLst/>
        </a:prstGeom>
      </xdr:spPr>
    </xdr:pic>
    <xdr:clientData/>
  </xdr:twoCellAnchor>
  <xdr:twoCellAnchor editAs="oneCell">
    <xdr:from>
      <xdr:col>2</xdr:col>
      <xdr:colOff>2867025</xdr:colOff>
      <xdr:row>117</xdr:row>
      <xdr:rowOff>19050</xdr:rowOff>
    </xdr:from>
    <xdr:to>
      <xdr:col>3</xdr:col>
      <xdr:colOff>235221</xdr:colOff>
      <xdr:row>121</xdr:row>
      <xdr:rowOff>171449</xdr:rowOff>
    </xdr:to>
    <xdr:pic>
      <xdr:nvPicPr>
        <xdr:cNvPr id="14" name="Graphic 13" descr="Dollar">
          <a:extLst>
            <a:ext uri="{FF2B5EF4-FFF2-40B4-BE49-F238E27FC236}">
              <a16:creationId xmlns:a16="http://schemas.microsoft.com/office/drawing/2014/main" id="{22E3CD35-6ED8-4AB2-B306-1502E9981A1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5915025" y="26260425"/>
          <a:ext cx="921021" cy="914399"/>
        </a:xfrm>
        <a:prstGeom prst="rect">
          <a:avLst/>
        </a:prstGeom>
      </xdr:spPr>
    </xdr:pic>
    <xdr:clientData/>
  </xdr:twoCellAnchor>
  <xdr:twoCellAnchor editAs="oneCell">
    <xdr:from>
      <xdr:col>2</xdr:col>
      <xdr:colOff>3352800</xdr:colOff>
      <xdr:row>152</xdr:row>
      <xdr:rowOff>0</xdr:rowOff>
    </xdr:from>
    <xdr:to>
      <xdr:col>3</xdr:col>
      <xdr:colOff>730521</xdr:colOff>
      <xdr:row>156</xdr:row>
      <xdr:rowOff>152399</xdr:rowOff>
    </xdr:to>
    <xdr:pic>
      <xdr:nvPicPr>
        <xdr:cNvPr id="15" name="Graphic 14" descr="Dollar">
          <a:extLst>
            <a:ext uri="{FF2B5EF4-FFF2-40B4-BE49-F238E27FC236}">
              <a16:creationId xmlns:a16="http://schemas.microsoft.com/office/drawing/2014/main" id="{591B71F0-EFBF-4B5E-A0B2-95B6B9D8A27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6486525" y="31089600"/>
          <a:ext cx="921021" cy="914399"/>
        </a:xfrm>
        <a:prstGeom prst="rect">
          <a:avLst/>
        </a:prstGeom>
      </xdr:spPr>
    </xdr:pic>
    <xdr:clientData/>
  </xdr:twoCellAnchor>
  <xdr:twoCellAnchor editAs="oneCell">
    <xdr:from>
      <xdr:col>2</xdr:col>
      <xdr:colOff>1009650</xdr:colOff>
      <xdr:row>152</xdr:row>
      <xdr:rowOff>76200</xdr:rowOff>
    </xdr:from>
    <xdr:to>
      <xdr:col>2</xdr:col>
      <xdr:colOff>1924050</xdr:colOff>
      <xdr:row>157</xdr:row>
      <xdr:rowOff>38100</xdr:rowOff>
    </xdr:to>
    <xdr:pic>
      <xdr:nvPicPr>
        <xdr:cNvPr id="16" name="Graphic 15" descr="Water">
          <a:extLst>
            <a:ext uri="{FF2B5EF4-FFF2-40B4-BE49-F238E27FC236}">
              <a16:creationId xmlns:a16="http://schemas.microsoft.com/office/drawing/2014/main" id="{7F28D8A4-7C76-4136-BA30-DEB314FFAF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4143375" y="31165800"/>
          <a:ext cx="914400" cy="914400"/>
        </a:xfrm>
        <a:prstGeom prst="rect">
          <a:avLst/>
        </a:prstGeom>
      </xdr:spPr>
    </xdr:pic>
    <xdr:clientData/>
  </xdr:twoCellAnchor>
  <xdr:twoCellAnchor editAs="oneCell">
    <xdr:from>
      <xdr:col>5</xdr:col>
      <xdr:colOff>2019300</xdr:colOff>
      <xdr:row>152</xdr:row>
      <xdr:rowOff>0</xdr:rowOff>
    </xdr:from>
    <xdr:to>
      <xdr:col>5</xdr:col>
      <xdr:colOff>2933700</xdr:colOff>
      <xdr:row>156</xdr:row>
      <xdr:rowOff>152400</xdr:rowOff>
    </xdr:to>
    <xdr:pic>
      <xdr:nvPicPr>
        <xdr:cNvPr id="17" name="Graphic 16" descr="Bathtub">
          <a:extLst>
            <a:ext uri="{FF2B5EF4-FFF2-40B4-BE49-F238E27FC236}">
              <a16:creationId xmlns:a16="http://schemas.microsoft.com/office/drawing/2014/main" id="{0BCDD559-392A-48F2-BACC-085FE8B37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0115550" y="31470600"/>
          <a:ext cx="914400" cy="914400"/>
        </a:xfrm>
        <a:prstGeom prst="rect">
          <a:avLst/>
        </a:prstGeom>
      </xdr:spPr>
    </xdr:pic>
    <xdr:clientData/>
  </xdr:twoCellAnchor>
  <xdr:twoCellAnchor>
    <xdr:from>
      <xdr:col>2</xdr:col>
      <xdr:colOff>797860</xdr:colOff>
      <xdr:row>124</xdr:row>
      <xdr:rowOff>87407</xdr:rowOff>
    </xdr:from>
    <xdr:to>
      <xdr:col>3</xdr:col>
      <xdr:colOff>657225</xdr:colOff>
      <xdr:row>125</xdr:row>
      <xdr:rowOff>135031</xdr:rowOff>
    </xdr:to>
    <xdr:sp macro="" textlink="">
      <xdr:nvSpPr>
        <xdr:cNvPr id="21" name="TextBox 20">
          <a:extLst>
            <a:ext uri="{FF2B5EF4-FFF2-40B4-BE49-F238E27FC236}">
              <a16:creationId xmlns:a16="http://schemas.microsoft.com/office/drawing/2014/main" id="{667B203E-ECD1-4CA2-A295-EF45D72942CD}"/>
            </a:ext>
          </a:extLst>
        </xdr:cNvPr>
        <xdr:cNvSpPr txBox="1"/>
      </xdr:nvSpPr>
      <xdr:spPr>
        <a:xfrm>
          <a:off x="3845860" y="25747757"/>
          <a:ext cx="3097865"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Thanks to your rain garden</a:t>
          </a:r>
        </a:p>
      </xdr:txBody>
    </xdr:sp>
    <xdr:clientData/>
  </xdr:twoCellAnchor>
  <xdr:oneCellAnchor>
    <xdr:from>
      <xdr:col>2</xdr:col>
      <xdr:colOff>1952625</xdr:colOff>
      <xdr:row>127</xdr:row>
      <xdr:rowOff>104775</xdr:rowOff>
    </xdr:from>
    <xdr:ext cx="914400" cy="914400"/>
    <xdr:pic>
      <xdr:nvPicPr>
        <xdr:cNvPr id="24" name="Graphic 23" descr="Sustainability">
          <a:extLst>
            <a:ext uri="{FF2B5EF4-FFF2-40B4-BE49-F238E27FC236}">
              <a16:creationId xmlns:a16="http://schemas.microsoft.com/office/drawing/2014/main" id="{13389DCE-F47F-40D7-B2B4-2C7CBB3A7B9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a:off x="5000625" y="28432125"/>
          <a:ext cx="914400" cy="914400"/>
        </a:xfrm>
        <a:prstGeom prst="rect">
          <a:avLst/>
        </a:prstGeom>
      </xdr:spPr>
    </xdr:pic>
    <xdr:clientData/>
  </xdr:oneCellAnchor>
  <xdr:twoCellAnchor editAs="oneCell">
    <xdr:from>
      <xdr:col>6</xdr:col>
      <xdr:colOff>276225</xdr:colOff>
      <xdr:row>0</xdr:row>
      <xdr:rowOff>38100</xdr:rowOff>
    </xdr:from>
    <xdr:to>
      <xdr:col>6</xdr:col>
      <xdr:colOff>1409700</xdr:colOff>
      <xdr:row>0</xdr:row>
      <xdr:rowOff>628452</xdr:rowOff>
    </xdr:to>
    <xdr:pic>
      <xdr:nvPicPr>
        <xdr:cNvPr id="12" name="Picture 11">
          <a:extLst>
            <a:ext uri="{FF2B5EF4-FFF2-40B4-BE49-F238E27FC236}">
              <a16:creationId xmlns:a16="http://schemas.microsoft.com/office/drawing/2014/main" id="{887DBDDA-6414-42F0-AD04-D79811EC61D3}"/>
            </a:ext>
          </a:extLst>
        </xdr:cNvPr>
        <xdr:cNvPicPr>
          <a:picLocks noChangeAspect="1"/>
        </xdr:cNvPicPr>
      </xdr:nvPicPr>
      <xdr:blipFill>
        <a:blip xmlns:r="http://schemas.openxmlformats.org/officeDocument/2006/relationships" r:embed="rId10"/>
        <a:stretch>
          <a:fillRect/>
        </a:stretch>
      </xdr:blipFill>
      <xdr:spPr>
        <a:xfrm>
          <a:off x="11677650" y="38100"/>
          <a:ext cx="1133475" cy="5903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1809750</xdr:colOff>
      <xdr:row>93</xdr:row>
      <xdr:rowOff>57150</xdr:rowOff>
    </xdr:from>
    <xdr:to>
      <xdr:col>2</xdr:col>
      <xdr:colOff>2724150</xdr:colOff>
      <xdr:row>98</xdr:row>
      <xdr:rowOff>19049</xdr:rowOff>
    </xdr:to>
    <xdr:pic>
      <xdr:nvPicPr>
        <xdr:cNvPr id="2" name="Graphic 1" descr="CO2">
          <a:extLst>
            <a:ext uri="{FF2B5EF4-FFF2-40B4-BE49-F238E27FC236}">
              <a16:creationId xmlns:a16="http://schemas.microsoft.com/office/drawing/2014/main" id="{2358DCC8-9B3A-4ECC-A6E5-42B3AA647E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4857750" y="21174075"/>
          <a:ext cx="914400" cy="914399"/>
        </a:xfrm>
        <a:prstGeom prst="rect">
          <a:avLst/>
        </a:prstGeom>
      </xdr:spPr>
    </xdr:pic>
    <xdr:clientData/>
  </xdr:twoCellAnchor>
  <xdr:twoCellAnchor editAs="oneCell">
    <xdr:from>
      <xdr:col>2</xdr:col>
      <xdr:colOff>3600450</xdr:colOff>
      <xdr:row>93</xdr:row>
      <xdr:rowOff>76200</xdr:rowOff>
    </xdr:from>
    <xdr:to>
      <xdr:col>3</xdr:col>
      <xdr:colOff>910937</xdr:colOff>
      <xdr:row>98</xdr:row>
      <xdr:rowOff>38099</xdr:rowOff>
    </xdr:to>
    <xdr:pic>
      <xdr:nvPicPr>
        <xdr:cNvPr id="3" name="Graphic 2" descr="Dollar">
          <a:extLst>
            <a:ext uri="{FF2B5EF4-FFF2-40B4-BE49-F238E27FC236}">
              <a16:creationId xmlns:a16="http://schemas.microsoft.com/office/drawing/2014/main" id="{CD927079-811C-4229-A157-ADCE7DEB8C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7067550" y="20526375"/>
          <a:ext cx="920461" cy="914399"/>
        </a:xfrm>
        <a:prstGeom prst="rect">
          <a:avLst/>
        </a:prstGeom>
      </xdr:spPr>
    </xdr:pic>
    <xdr:clientData/>
  </xdr:twoCellAnchor>
  <xdr:twoCellAnchor editAs="oneCell">
    <xdr:from>
      <xdr:col>5</xdr:col>
      <xdr:colOff>1964871</xdr:colOff>
      <xdr:row>93</xdr:row>
      <xdr:rowOff>48078</xdr:rowOff>
    </xdr:from>
    <xdr:to>
      <xdr:col>5</xdr:col>
      <xdr:colOff>2879271</xdr:colOff>
      <xdr:row>98</xdr:row>
      <xdr:rowOff>9977</xdr:rowOff>
    </xdr:to>
    <xdr:pic>
      <xdr:nvPicPr>
        <xdr:cNvPr id="4" name="Graphic 3" descr="Deciduous tree">
          <a:extLst>
            <a:ext uri="{FF2B5EF4-FFF2-40B4-BE49-F238E27FC236}">
              <a16:creationId xmlns:a16="http://schemas.microsoft.com/office/drawing/2014/main" id="{533F0F2C-F7A7-4F89-9B91-E6827203253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0070646" y="21165003"/>
          <a:ext cx="914400" cy="914399"/>
        </a:xfrm>
        <a:prstGeom prst="rect">
          <a:avLst/>
        </a:prstGeom>
      </xdr:spPr>
    </xdr:pic>
    <xdr:clientData/>
  </xdr:twoCellAnchor>
  <xdr:twoCellAnchor>
    <xdr:from>
      <xdr:col>2</xdr:col>
      <xdr:colOff>933451</xdr:colOff>
      <xdr:row>90</xdr:row>
      <xdr:rowOff>85726</xdr:rowOff>
    </xdr:from>
    <xdr:to>
      <xdr:col>3</xdr:col>
      <xdr:colOff>733425</xdr:colOff>
      <xdr:row>91</xdr:row>
      <xdr:rowOff>133350</xdr:rowOff>
    </xdr:to>
    <xdr:sp macro="" textlink="">
      <xdr:nvSpPr>
        <xdr:cNvPr id="5" name="TextBox 4">
          <a:extLst>
            <a:ext uri="{FF2B5EF4-FFF2-40B4-BE49-F238E27FC236}">
              <a16:creationId xmlns:a16="http://schemas.microsoft.com/office/drawing/2014/main" id="{390958E9-ABB9-40C1-879F-A4847BC59EDF}"/>
            </a:ext>
          </a:extLst>
        </xdr:cNvPr>
        <xdr:cNvSpPr txBox="1"/>
      </xdr:nvSpPr>
      <xdr:spPr>
        <a:xfrm>
          <a:off x="3981451" y="20583526"/>
          <a:ext cx="3047999"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000" b="1">
              <a:solidFill>
                <a:srgbClr val="26583A"/>
              </a:solidFill>
              <a:latin typeface="+mn-lt"/>
              <a:ea typeface="+mn-ea"/>
              <a:cs typeface="+mn-cs"/>
            </a:rPr>
            <a:t>You saved your school</a:t>
          </a:r>
        </a:p>
      </xdr:txBody>
    </xdr:sp>
    <xdr:clientData/>
  </xdr:twoCellAnchor>
  <xdr:oneCellAnchor>
    <xdr:from>
      <xdr:col>2</xdr:col>
      <xdr:colOff>2057400</xdr:colOff>
      <xdr:row>117</xdr:row>
      <xdr:rowOff>60780</xdr:rowOff>
    </xdr:from>
    <xdr:ext cx="914400" cy="914400"/>
    <xdr:pic>
      <xdr:nvPicPr>
        <xdr:cNvPr id="6" name="Graphic 5" descr="CO2">
          <a:extLst>
            <a:ext uri="{FF2B5EF4-FFF2-40B4-BE49-F238E27FC236}">
              <a16:creationId xmlns:a16="http://schemas.microsoft.com/office/drawing/2014/main" id="{E77DE856-3716-4C5D-B8B3-50B86FD7F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524500" y="25178205"/>
          <a:ext cx="914400" cy="914400"/>
        </a:xfrm>
        <a:prstGeom prst="rect">
          <a:avLst/>
        </a:prstGeom>
      </xdr:spPr>
    </xdr:pic>
    <xdr:clientData/>
  </xdr:oneCellAnchor>
  <xdr:oneCellAnchor>
    <xdr:from>
      <xdr:col>3</xdr:col>
      <xdr:colOff>135618</xdr:colOff>
      <xdr:row>117</xdr:row>
      <xdr:rowOff>29482</xdr:rowOff>
    </xdr:from>
    <xdr:ext cx="914400" cy="914400"/>
    <xdr:pic>
      <xdr:nvPicPr>
        <xdr:cNvPr id="7" name="Graphic 6" descr="Dollar">
          <a:extLst>
            <a:ext uri="{FF2B5EF4-FFF2-40B4-BE49-F238E27FC236}">
              <a16:creationId xmlns:a16="http://schemas.microsoft.com/office/drawing/2014/main" id="{692764C1-2137-4CFB-BFF4-B6163E07B98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6431643" y="23613382"/>
          <a:ext cx="914400" cy="914400"/>
        </a:xfrm>
        <a:prstGeom prst="rect">
          <a:avLst/>
        </a:prstGeom>
      </xdr:spPr>
    </xdr:pic>
    <xdr:clientData/>
  </xdr:oneCellAnchor>
  <xdr:oneCellAnchor>
    <xdr:from>
      <xdr:col>5</xdr:col>
      <xdr:colOff>1971222</xdr:colOff>
      <xdr:row>117</xdr:row>
      <xdr:rowOff>56696</xdr:rowOff>
    </xdr:from>
    <xdr:ext cx="914400" cy="914400"/>
    <xdr:pic>
      <xdr:nvPicPr>
        <xdr:cNvPr id="8" name="Graphic 7" descr="Deciduous tree">
          <a:extLst>
            <a:ext uri="{FF2B5EF4-FFF2-40B4-BE49-F238E27FC236}">
              <a16:creationId xmlns:a16="http://schemas.microsoft.com/office/drawing/2014/main" id="{79FB0AE4-07AB-40DA-BF16-D68A8752041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0172247" y="23640596"/>
          <a:ext cx="914400" cy="914400"/>
        </a:xfrm>
        <a:prstGeom prst="rect">
          <a:avLst/>
        </a:prstGeom>
      </xdr:spPr>
    </xdr:pic>
    <xdr:clientData/>
  </xdr:oneCellAnchor>
  <xdr:twoCellAnchor>
    <xdr:from>
      <xdr:col>2</xdr:col>
      <xdr:colOff>1781176</xdr:colOff>
      <xdr:row>114</xdr:row>
      <xdr:rowOff>57151</xdr:rowOff>
    </xdr:from>
    <xdr:to>
      <xdr:col>2</xdr:col>
      <xdr:colOff>3124200</xdr:colOff>
      <xdr:row>115</xdr:row>
      <xdr:rowOff>104775</xdr:rowOff>
    </xdr:to>
    <xdr:sp macro="" textlink="">
      <xdr:nvSpPr>
        <xdr:cNvPr id="9" name="TextBox 8">
          <a:extLst>
            <a:ext uri="{FF2B5EF4-FFF2-40B4-BE49-F238E27FC236}">
              <a16:creationId xmlns:a16="http://schemas.microsoft.com/office/drawing/2014/main" id="{43626EDB-D2C4-4874-A105-5119067D4A02}"/>
            </a:ext>
          </a:extLst>
        </xdr:cNvPr>
        <xdr:cNvSpPr txBox="1"/>
      </xdr:nvSpPr>
      <xdr:spPr>
        <a:xfrm>
          <a:off x="4591051" y="31489651"/>
          <a:ext cx="1333499"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2</xdr:col>
      <xdr:colOff>447675</xdr:colOff>
      <xdr:row>93</xdr:row>
      <xdr:rowOff>38100</xdr:rowOff>
    </xdr:from>
    <xdr:to>
      <xdr:col>2</xdr:col>
      <xdr:colOff>1362075</xdr:colOff>
      <xdr:row>98</xdr:row>
      <xdr:rowOff>0</xdr:rowOff>
    </xdr:to>
    <xdr:pic>
      <xdr:nvPicPr>
        <xdr:cNvPr id="11" name="Graphic 10" descr="Mop and bucket">
          <a:extLst>
            <a:ext uri="{FF2B5EF4-FFF2-40B4-BE49-F238E27FC236}">
              <a16:creationId xmlns:a16="http://schemas.microsoft.com/office/drawing/2014/main" id="{A3DE1682-C01C-48E8-97B4-9270FB736BA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a:off x="3914775" y="20488275"/>
          <a:ext cx="914400" cy="914400"/>
        </a:xfrm>
        <a:prstGeom prst="rect">
          <a:avLst/>
        </a:prstGeom>
      </xdr:spPr>
    </xdr:pic>
    <xdr:clientData/>
  </xdr:twoCellAnchor>
  <xdr:twoCellAnchor editAs="oneCell">
    <xdr:from>
      <xdr:col>2</xdr:col>
      <xdr:colOff>285750</xdr:colOff>
      <xdr:row>117</xdr:row>
      <xdr:rowOff>0</xdr:rowOff>
    </xdr:from>
    <xdr:to>
      <xdr:col>2</xdr:col>
      <xdr:colOff>1200150</xdr:colOff>
      <xdr:row>121</xdr:row>
      <xdr:rowOff>152400</xdr:rowOff>
    </xdr:to>
    <xdr:pic>
      <xdr:nvPicPr>
        <xdr:cNvPr id="12" name="Graphic 11" descr="Mop and bucket">
          <a:extLst>
            <a:ext uri="{FF2B5EF4-FFF2-40B4-BE49-F238E27FC236}">
              <a16:creationId xmlns:a16="http://schemas.microsoft.com/office/drawing/2014/main" id="{D4E8A0A6-020F-48AA-8920-53162C8A3D2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a:off x="3752850" y="25117425"/>
          <a:ext cx="914400" cy="914400"/>
        </a:xfrm>
        <a:prstGeom prst="rect">
          <a:avLst/>
        </a:prstGeom>
      </xdr:spPr>
    </xdr:pic>
    <xdr:clientData/>
  </xdr:twoCellAnchor>
  <xdr:twoCellAnchor editAs="oneCell">
    <xdr:from>
      <xdr:col>6</xdr:col>
      <xdr:colOff>276225</xdr:colOff>
      <xdr:row>0</xdr:row>
      <xdr:rowOff>38100</xdr:rowOff>
    </xdr:from>
    <xdr:to>
      <xdr:col>6</xdr:col>
      <xdr:colOff>1409700</xdr:colOff>
      <xdr:row>0</xdr:row>
      <xdr:rowOff>628452</xdr:rowOff>
    </xdr:to>
    <xdr:pic>
      <xdr:nvPicPr>
        <xdr:cNvPr id="13" name="Picture 12">
          <a:extLst>
            <a:ext uri="{FF2B5EF4-FFF2-40B4-BE49-F238E27FC236}">
              <a16:creationId xmlns:a16="http://schemas.microsoft.com/office/drawing/2014/main" id="{F4418D3D-A3BD-46A9-B7A5-3440C1190F39}"/>
            </a:ext>
          </a:extLst>
        </xdr:cNvPr>
        <xdr:cNvPicPr>
          <a:picLocks noChangeAspect="1"/>
        </xdr:cNvPicPr>
      </xdr:nvPicPr>
      <xdr:blipFill>
        <a:blip xmlns:r="http://schemas.openxmlformats.org/officeDocument/2006/relationships" r:embed="rId10"/>
        <a:stretch>
          <a:fillRect/>
        </a:stretch>
      </xdr:blipFill>
      <xdr:spPr>
        <a:xfrm>
          <a:off x="11696700" y="38100"/>
          <a:ext cx="1133475" cy="5903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847725</xdr:colOff>
      <xdr:row>174</xdr:row>
      <xdr:rowOff>95250</xdr:rowOff>
    </xdr:from>
    <xdr:to>
      <xdr:col>2</xdr:col>
      <xdr:colOff>1762125</xdr:colOff>
      <xdr:row>179</xdr:row>
      <xdr:rowOff>57149</xdr:rowOff>
    </xdr:to>
    <xdr:pic>
      <xdr:nvPicPr>
        <xdr:cNvPr id="2" name="Graphic 1" descr="CO2">
          <a:extLst>
            <a:ext uri="{FF2B5EF4-FFF2-40B4-BE49-F238E27FC236}">
              <a16:creationId xmlns:a16="http://schemas.microsoft.com/office/drawing/2014/main" id="{1609AFA2-AC40-47F0-85D4-B30632835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847725" y="28032075"/>
          <a:ext cx="914400" cy="914400"/>
        </a:xfrm>
        <a:prstGeom prst="rect">
          <a:avLst/>
        </a:prstGeom>
      </xdr:spPr>
    </xdr:pic>
    <xdr:clientData/>
  </xdr:twoCellAnchor>
  <xdr:twoCellAnchor editAs="oneCell">
    <xdr:from>
      <xdr:col>2</xdr:col>
      <xdr:colOff>2819400</xdr:colOff>
      <xdr:row>174</xdr:row>
      <xdr:rowOff>66675</xdr:rowOff>
    </xdr:from>
    <xdr:to>
      <xdr:col>3</xdr:col>
      <xdr:colOff>187036</xdr:colOff>
      <xdr:row>179</xdr:row>
      <xdr:rowOff>28574</xdr:rowOff>
    </xdr:to>
    <xdr:pic>
      <xdr:nvPicPr>
        <xdr:cNvPr id="3" name="Graphic 2" descr="Dollar">
          <a:extLst>
            <a:ext uri="{FF2B5EF4-FFF2-40B4-BE49-F238E27FC236}">
              <a16:creationId xmlns:a16="http://schemas.microsoft.com/office/drawing/2014/main" id="{0EDB161A-84D1-4679-8921-ECB91D9158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2819400" y="28003500"/>
          <a:ext cx="914400" cy="914400"/>
        </a:xfrm>
        <a:prstGeom prst="rect">
          <a:avLst/>
        </a:prstGeom>
      </xdr:spPr>
    </xdr:pic>
    <xdr:clientData/>
  </xdr:twoCellAnchor>
  <xdr:twoCellAnchor editAs="oneCell">
    <xdr:from>
      <xdr:col>5</xdr:col>
      <xdr:colOff>1983921</xdr:colOff>
      <xdr:row>174</xdr:row>
      <xdr:rowOff>57603</xdr:rowOff>
    </xdr:from>
    <xdr:to>
      <xdr:col>5</xdr:col>
      <xdr:colOff>2898321</xdr:colOff>
      <xdr:row>179</xdr:row>
      <xdr:rowOff>19502</xdr:rowOff>
    </xdr:to>
    <xdr:pic>
      <xdr:nvPicPr>
        <xdr:cNvPr id="4" name="Graphic 3" descr="Deciduous tree">
          <a:extLst>
            <a:ext uri="{FF2B5EF4-FFF2-40B4-BE49-F238E27FC236}">
              <a16:creationId xmlns:a16="http://schemas.microsoft.com/office/drawing/2014/main" id="{BEC5D6B6-5806-401E-8B10-91647950092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7022646" y="27994428"/>
          <a:ext cx="914400" cy="914400"/>
        </a:xfrm>
        <a:prstGeom prst="rect">
          <a:avLst/>
        </a:prstGeom>
      </xdr:spPr>
    </xdr:pic>
    <xdr:clientData/>
  </xdr:twoCellAnchor>
  <xdr:twoCellAnchor>
    <xdr:from>
      <xdr:col>2</xdr:col>
      <xdr:colOff>874060</xdr:colOff>
      <xdr:row>171</xdr:row>
      <xdr:rowOff>77882</xdr:rowOff>
    </xdr:from>
    <xdr:to>
      <xdr:col>3</xdr:col>
      <xdr:colOff>647700</xdr:colOff>
      <xdr:row>172</xdr:row>
      <xdr:rowOff>125506</xdr:rowOff>
    </xdr:to>
    <xdr:sp macro="" textlink="">
      <xdr:nvSpPr>
        <xdr:cNvPr id="5" name="TextBox 4">
          <a:extLst>
            <a:ext uri="{FF2B5EF4-FFF2-40B4-BE49-F238E27FC236}">
              <a16:creationId xmlns:a16="http://schemas.microsoft.com/office/drawing/2014/main" id="{06E835DC-1A27-4C11-B152-494508DFEEEF}"/>
            </a:ext>
          </a:extLst>
        </xdr:cNvPr>
        <xdr:cNvSpPr txBox="1"/>
      </xdr:nvSpPr>
      <xdr:spPr>
        <a:xfrm>
          <a:off x="3922060" y="27652757"/>
          <a:ext cx="3012140"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n-US" sz="2000" b="1">
              <a:solidFill>
                <a:srgbClr val="26583A"/>
              </a:solidFill>
              <a:latin typeface="+mn-lt"/>
              <a:ea typeface="+mn-ea"/>
              <a:cs typeface="+mn-cs"/>
            </a:rPr>
            <a:t>You saved your school</a:t>
          </a:r>
        </a:p>
      </xdr:txBody>
    </xdr:sp>
    <xdr:clientData/>
  </xdr:twoCellAnchor>
  <xdr:oneCellAnchor>
    <xdr:from>
      <xdr:col>2</xdr:col>
      <xdr:colOff>847725</xdr:colOff>
      <xdr:row>198</xdr:row>
      <xdr:rowOff>22680</xdr:rowOff>
    </xdr:from>
    <xdr:ext cx="914400" cy="914400"/>
    <xdr:pic>
      <xdr:nvPicPr>
        <xdr:cNvPr id="6" name="Graphic 5" descr="CO2">
          <a:extLst>
            <a:ext uri="{FF2B5EF4-FFF2-40B4-BE49-F238E27FC236}">
              <a16:creationId xmlns:a16="http://schemas.microsoft.com/office/drawing/2014/main" id="{02F50BAB-07F3-4006-8913-C6F238587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847725" y="32750580"/>
          <a:ext cx="914400" cy="914400"/>
        </a:xfrm>
        <a:prstGeom prst="rect">
          <a:avLst/>
        </a:prstGeom>
      </xdr:spPr>
    </xdr:pic>
    <xdr:clientData/>
  </xdr:oneCellAnchor>
  <xdr:oneCellAnchor>
    <xdr:from>
      <xdr:col>2</xdr:col>
      <xdr:colOff>3012168</xdr:colOff>
      <xdr:row>198</xdr:row>
      <xdr:rowOff>77107</xdr:rowOff>
    </xdr:from>
    <xdr:ext cx="914400" cy="914400"/>
    <xdr:pic>
      <xdr:nvPicPr>
        <xdr:cNvPr id="7" name="Graphic 6" descr="Dollar">
          <a:extLst>
            <a:ext uri="{FF2B5EF4-FFF2-40B4-BE49-F238E27FC236}">
              <a16:creationId xmlns:a16="http://schemas.microsoft.com/office/drawing/2014/main" id="{0D9FF768-7B5B-4632-AB5A-822C9584E63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3012168" y="30585682"/>
          <a:ext cx="914400" cy="914400"/>
        </a:xfrm>
        <a:prstGeom prst="rect">
          <a:avLst/>
        </a:prstGeom>
      </xdr:spPr>
    </xdr:pic>
    <xdr:clientData/>
  </xdr:oneCellAnchor>
  <xdr:oneCellAnchor>
    <xdr:from>
      <xdr:col>5</xdr:col>
      <xdr:colOff>1971222</xdr:colOff>
      <xdr:row>198</xdr:row>
      <xdr:rowOff>75746</xdr:rowOff>
    </xdr:from>
    <xdr:ext cx="914400" cy="914400"/>
    <xdr:pic>
      <xdr:nvPicPr>
        <xdr:cNvPr id="8" name="Graphic 7" descr="Deciduous tree">
          <a:extLst>
            <a:ext uri="{FF2B5EF4-FFF2-40B4-BE49-F238E27FC236}">
              <a16:creationId xmlns:a16="http://schemas.microsoft.com/office/drawing/2014/main" id="{C82F442A-75D1-4C1B-B2EE-AFC12D24DC5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0172247" y="33079871"/>
          <a:ext cx="914400" cy="914400"/>
        </a:xfrm>
        <a:prstGeom prst="rect">
          <a:avLst/>
        </a:prstGeom>
      </xdr:spPr>
    </xdr:pic>
    <xdr:clientData/>
  </xdr:oneCellAnchor>
  <xdr:twoCellAnchor>
    <xdr:from>
      <xdr:col>2</xdr:col>
      <xdr:colOff>1781176</xdr:colOff>
      <xdr:row>195</xdr:row>
      <xdr:rowOff>57151</xdr:rowOff>
    </xdr:from>
    <xdr:to>
      <xdr:col>2</xdr:col>
      <xdr:colOff>3124200</xdr:colOff>
      <xdr:row>196</xdr:row>
      <xdr:rowOff>104775</xdr:rowOff>
    </xdr:to>
    <xdr:sp macro="" textlink="">
      <xdr:nvSpPr>
        <xdr:cNvPr id="9" name="TextBox 8">
          <a:extLst>
            <a:ext uri="{FF2B5EF4-FFF2-40B4-BE49-F238E27FC236}">
              <a16:creationId xmlns:a16="http://schemas.microsoft.com/office/drawing/2014/main" id="{EB342D80-E021-46C2-9B43-DA902820F2F6}"/>
            </a:ext>
          </a:extLst>
        </xdr:cNvPr>
        <xdr:cNvSpPr txBox="1"/>
      </xdr:nvSpPr>
      <xdr:spPr>
        <a:xfrm>
          <a:off x="1781176" y="32165926"/>
          <a:ext cx="1343024"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6</xdr:col>
      <xdr:colOff>276225</xdr:colOff>
      <xdr:row>0</xdr:row>
      <xdr:rowOff>38100</xdr:rowOff>
    </xdr:from>
    <xdr:to>
      <xdr:col>6</xdr:col>
      <xdr:colOff>1409700</xdr:colOff>
      <xdr:row>0</xdr:row>
      <xdr:rowOff>628452</xdr:rowOff>
    </xdr:to>
    <xdr:pic>
      <xdr:nvPicPr>
        <xdr:cNvPr id="10" name="Picture 9">
          <a:extLst>
            <a:ext uri="{FF2B5EF4-FFF2-40B4-BE49-F238E27FC236}">
              <a16:creationId xmlns:a16="http://schemas.microsoft.com/office/drawing/2014/main" id="{A6E5951C-A9D5-4A68-989E-B553ECD22560}"/>
            </a:ext>
          </a:extLst>
        </xdr:cNvPr>
        <xdr:cNvPicPr>
          <a:picLocks noChangeAspect="1"/>
        </xdr:cNvPicPr>
      </xdr:nvPicPr>
      <xdr:blipFill>
        <a:blip xmlns:r="http://schemas.openxmlformats.org/officeDocument/2006/relationships" r:embed="rId8"/>
        <a:stretch>
          <a:fillRect/>
        </a:stretch>
      </xdr:blipFill>
      <xdr:spPr>
        <a:xfrm>
          <a:off x="11677650" y="38100"/>
          <a:ext cx="1133475" cy="5903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847725</xdr:colOff>
      <xdr:row>95</xdr:row>
      <xdr:rowOff>95250</xdr:rowOff>
    </xdr:from>
    <xdr:to>
      <xdr:col>2</xdr:col>
      <xdr:colOff>1762125</xdr:colOff>
      <xdr:row>100</xdr:row>
      <xdr:rowOff>57150</xdr:rowOff>
    </xdr:to>
    <xdr:pic>
      <xdr:nvPicPr>
        <xdr:cNvPr id="2" name="Graphic 1" descr="CO2">
          <a:extLst>
            <a:ext uri="{FF2B5EF4-FFF2-40B4-BE49-F238E27FC236}">
              <a16:creationId xmlns:a16="http://schemas.microsoft.com/office/drawing/2014/main" id="{B3DEAF51-62EE-4AFB-ADF1-A4E0C8042D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952875" y="32146875"/>
          <a:ext cx="914400" cy="914400"/>
        </a:xfrm>
        <a:prstGeom prst="rect">
          <a:avLst/>
        </a:prstGeom>
      </xdr:spPr>
    </xdr:pic>
    <xdr:clientData/>
  </xdr:twoCellAnchor>
  <xdr:twoCellAnchor editAs="oneCell">
    <xdr:from>
      <xdr:col>2</xdr:col>
      <xdr:colOff>2638425</xdr:colOff>
      <xdr:row>95</xdr:row>
      <xdr:rowOff>85725</xdr:rowOff>
    </xdr:from>
    <xdr:to>
      <xdr:col>2</xdr:col>
      <xdr:colOff>3533775</xdr:colOff>
      <xdr:row>100</xdr:row>
      <xdr:rowOff>47625</xdr:rowOff>
    </xdr:to>
    <xdr:pic>
      <xdr:nvPicPr>
        <xdr:cNvPr id="3" name="Graphic 2" descr="Dollar">
          <a:extLst>
            <a:ext uri="{FF2B5EF4-FFF2-40B4-BE49-F238E27FC236}">
              <a16:creationId xmlns:a16="http://schemas.microsoft.com/office/drawing/2014/main" id="{18D0EF1A-8609-42F5-A3AD-C032564BCC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5600700" y="17897475"/>
          <a:ext cx="904875" cy="914400"/>
        </a:xfrm>
        <a:prstGeom prst="rect">
          <a:avLst/>
        </a:prstGeom>
      </xdr:spPr>
    </xdr:pic>
    <xdr:clientData/>
  </xdr:twoCellAnchor>
  <xdr:twoCellAnchor editAs="oneCell">
    <xdr:from>
      <xdr:col>5</xdr:col>
      <xdr:colOff>2098221</xdr:colOff>
      <xdr:row>95</xdr:row>
      <xdr:rowOff>67128</xdr:rowOff>
    </xdr:from>
    <xdr:to>
      <xdr:col>5</xdr:col>
      <xdr:colOff>3012621</xdr:colOff>
      <xdr:row>100</xdr:row>
      <xdr:rowOff>29028</xdr:rowOff>
    </xdr:to>
    <xdr:pic>
      <xdr:nvPicPr>
        <xdr:cNvPr id="4" name="Graphic 3" descr="Deciduous tree">
          <a:extLst>
            <a:ext uri="{FF2B5EF4-FFF2-40B4-BE49-F238E27FC236}">
              <a16:creationId xmlns:a16="http://schemas.microsoft.com/office/drawing/2014/main" id="{793BAC70-E14E-4717-B071-6AEEDB014D0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0289721" y="20622078"/>
          <a:ext cx="914400" cy="914400"/>
        </a:xfrm>
        <a:prstGeom prst="rect">
          <a:avLst/>
        </a:prstGeom>
      </xdr:spPr>
    </xdr:pic>
    <xdr:clientData/>
  </xdr:twoCellAnchor>
  <xdr:twoCellAnchor>
    <xdr:from>
      <xdr:col>2</xdr:col>
      <xdr:colOff>828675</xdr:colOff>
      <xdr:row>92</xdr:row>
      <xdr:rowOff>66675</xdr:rowOff>
    </xdr:from>
    <xdr:to>
      <xdr:col>3</xdr:col>
      <xdr:colOff>609599</xdr:colOff>
      <xdr:row>93</xdr:row>
      <xdr:rowOff>180974</xdr:rowOff>
    </xdr:to>
    <xdr:sp macro="" textlink="">
      <xdr:nvSpPr>
        <xdr:cNvPr id="5" name="TextBox 4">
          <a:extLst>
            <a:ext uri="{FF2B5EF4-FFF2-40B4-BE49-F238E27FC236}">
              <a16:creationId xmlns:a16="http://schemas.microsoft.com/office/drawing/2014/main" id="{4F7B1AF1-3FA0-442E-A29B-EF1E33D8ABB9}"/>
            </a:ext>
          </a:extLst>
        </xdr:cNvPr>
        <xdr:cNvSpPr txBox="1"/>
      </xdr:nvSpPr>
      <xdr:spPr>
        <a:xfrm>
          <a:off x="3876675" y="19992975"/>
          <a:ext cx="3019424" cy="30479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n-US" sz="2000" b="1">
              <a:solidFill>
                <a:srgbClr val="26583A"/>
              </a:solidFill>
              <a:latin typeface="+mn-lt"/>
              <a:ea typeface="+mn-ea"/>
              <a:cs typeface="+mn-cs"/>
            </a:rPr>
            <a:t>You saved your school</a:t>
          </a:r>
        </a:p>
      </xdr:txBody>
    </xdr:sp>
    <xdr:clientData/>
  </xdr:twoCellAnchor>
  <xdr:oneCellAnchor>
    <xdr:from>
      <xdr:col>2</xdr:col>
      <xdr:colOff>771525</xdr:colOff>
      <xdr:row>119</xdr:row>
      <xdr:rowOff>32205</xdr:rowOff>
    </xdr:from>
    <xdr:ext cx="914400" cy="914400"/>
    <xdr:pic>
      <xdr:nvPicPr>
        <xdr:cNvPr id="6" name="Graphic 5" descr="CO2">
          <a:extLst>
            <a:ext uri="{FF2B5EF4-FFF2-40B4-BE49-F238E27FC236}">
              <a16:creationId xmlns:a16="http://schemas.microsoft.com/office/drawing/2014/main" id="{6CAD19F1-0020-4347-B679-48165B20CA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819525" y="23425605"/>
          <a:ext cx="914400" cy="914400"/>
        </a:xfrm>
        <a:prstGeom prst="rect">
          <a:avLst/>
        </a:prstGeom>
      </xdr:spPr>
    </xdr:pic>
    <xdr:clientData/>
  </xdr:oneCellAnchor>
  <xdr:oneCellAnchor>
    <xdr:from>
      <xdr:col>2</xdr:col>
      <xdr:colOff>2878818</xdr:colOff>
      <xdr:row>119</xdr:row>
      <xdr:rowOff>39007</xdr:rowOff>
    </xdr:from>
    <xdr:ext cx="914400" cy="914400"/>
    <xdr:pic>
      <xdr:nvPicPr>
        <xdr:cNvPr id="7" name="Graphic 6" descr="Dollar">
          <a:extLst>
            <a:ext uri="{FF2B5EF4-FFF2-40B4-BE49-F238E27FC236}">
              <a16:creationId xmlns:a16="http://schemas.microsoft.com/office/drawing/2014/main" id="{E2DFA887-17E2-43E5-B4D4-EFCAC8C84CD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5926818" y="23432407"/>
          <a:ext cx="914400" cy="914400"/>
        </a:xfrm>
        <a:prstGeom prst="rect">
          <a:avLst/>
        </a:prstGeom>
      </xdr:spPr>
    </xdr:pic>
    <xdr:clientData/>
  </xdr:oneCellAnchor>
  <xdr:oneCellAnchor>
    <xdr:from>
      <xdr:col>5</xdr:col>
      <xdr:colOff>1942647</xdr:colOff>
      <xdr:row>119</xdr:row>
      <xdr:rowOff>66221</xdr:rowOff>
    </xdr:from>
    <xdr:ext cx="914400" cy="914400"/>
    <xdr:pic>
      <xdr:nvPicPr>
        <xdr:cNvPr id="8" name="Graphic 7" descr="Deciduous tree">
          <a:extLst>
            <a:ext uri="{FF2B5EF4-FFF2-40B4-BE49-F238E27FC236}">
              <a16:creationId xmlns:a16="http://schemas.microsoft.com/office/drawing/2014/main" id="{C7CB20F4-AAEF-4B93-B4CB-788D9C024D5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0038897" y="25621796"/>
          <a:ext cx="914400" cy="914400"/>
        </a:xfrm>
        <a:prstGeom prst="rect">
          <a:avLst/>
        </a:prstGeom>
      </xdr:spPr>
    </xdr:pic>
    <xdr:clientData/>
  </xdr:oneCellAnchor>
  <xdr:twoCellAnchor>
    <xdr:from>
      <xdr:col>2</xdr:col>
      <xdr:colOff>1743076</xdr:colOff>
      <xdr:row>116</xdr:row>
      <xdr:rowOff>85726</xdr:rowOff>
    </xdr:from>
    <xdr:to>
      <xdr:col>2</xdr:col>
      <xdr:colOff>3086100</xdr:colOff>
      <xdr:row>117</xdr:row>
      <xdr:rowOff>133350</xdr:rowOff>
    </xdr:to>
    <xdr:sp macro="" textlink="">
      <xdr:nvSpPr>
        <xdr:cNvPr id="9" name="TextBox 8">
          <a:extLst>
            <a:ext uri="{FF2B5EF4-FFF2-40B4-BE49-F238E27FC236}">
              <a16:creationId xmlns:a16="http://schemas.microsoft.com/office/drawing/2014/main" id="{E59D65AF-5B83-4C67-989E-C5FCA8F25EE8}"/>
            </a:ext>
          </a:extLst>
        </xdr:cNvPr>
        <xdr:cNvSpPr txBox="1"/>
      </xdr:nvSpPr>
      <xdr:spPr>
        <a:xfrm>
          <a:off x="4791076" y="24831676"/>
          <a:ext cx="1343024"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6</xdr:col>
      <xdr:colOff>276225</xdr:colOff>
      <xdr:row>0</xdr:row>
      <xdr:rowOff>38100</xdr:rowOff>
    </xdr:from>
    <xdr:to>
      <xdr:col>6</xdr:col>
      <xdr:colOff>1409700</xdr:colOff>
      <xdr:row>0</xdr:row>
      <xdr:rowOff>628452</xdr:rowOff>
    </xdr:to>
    <xdr:pic>
      <xdr:nvPicPr>
        <xdr:cNvPr id="10" name="Picture 9">
          <a:extLst>
            <a:ext uri="{FF2B5EF4-FFF2-40B4-BE49-F238E27FC236}">
              <a16:creationId xmlns:a16="http://schemas.microsoft.com/office/drawing/2014/main" id="{1031220C-7A60-414A-AD3C-7C3CF61B9DFF}"/>
            </a:ext>
          </a:extLst>
        </xdr:cNvPr>
        <xdr:cNvPicPr>
          <a:picLocks noChangeAspect="1"/>
        </xdr:cNvPicPr>
      </xdr:nvPicPr>
      <xdr:blipFill>
        <a:blip xmlns:r="http://schemas.openxmlformats.org/officeDocument/2006/relationships" r:embed="rId8"/>
        <a:stretch>
          <a:fillRect/>
        </a:stretch>
      </xdr:blipFill>
      <xdr:spPr>
        <a:xfrm>
          <a:off x="11677650" y="38100"/>
          <a:ext cx="1133475" cy="5903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2754796</xdr:colOff>
      <xdr:row>108</xdr:row>
      <xdr:rowOff>50110</xdr:rowOff>
    </xdr:from>
    <xdr:to>
      <xdr:col>3</xdr:col>
      <xdr:colOff>106846</xdr:colOff>
      <xdr:row>113</xdr:row>
      <xdr:rowOff>12010</xdr:rowOff>
    </xdr:to>
    <xdr:pic>
      <xdr:nvPicPr>
        <xdr:cNvPr id="3" name="Graphic 2" descr="Dollar">
          <a:extLst>
            <a:ext uri="{FF2B5EF4-FFF2-40B4-BE49-F238E27FC236}">
              <a16:creationId xmlns:a16="http://schemas.microsoft.com/office/drawing/2014/main" id="{DF47C1CB-8AD7-499E-B2D9-496EF4CD8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802796" y="20662210"/>
          <a:ext cx="904875" cy="914400"/>
        </a:xfrm>
        <a:prstGeom prst="rect">
          <a:avLst/>
        </a:prstGeom>
      </xdr:spPr>
    </xdr:pic>
    <xdr:clientData/>
  </xdr:twoCellAnchor>
  <xdr:twoCellAnchor>
    <xdr:from>
      <xdr:col>2</xdr:col>
      <xdr:colOff>967409</xdr:colOff>
      <xdr:row>105</xdr:row>
      <xdr:rowOff>103534</xdr:rowOff>
    </xdr:from>
    <xdr:to>
      <xdr:col>3</xdr:col>
      <xdr:colOff>729283</xdr:colOff>
      <xdr:row>106</xdr:row>
      <xdr:rowOff>151158</xdr:rowOff>
    </xdr:to>
    <xdr:sp macro="" textlink="">
      <xdr:nvSpPr>
        <xdr:cNvPr id="5" name="TextBox 4">
          <a:extLst>
            <a:ext uri="{FF2B5EF4-FFF2-40B4-BE49-F238E27FC236}">
              <a16:creationId xmlns:a16="http://schemas.microsoft.com/office/drawing/2014/main" id="{AAF0D443-AB9C-4800-9B55-7BDDB2B1CF3F}"/>
            </a:ext>
          </a:extLst>
        </xdr:cNvPr>
        <xdr:cNvSpPr txBox="1"/>
      </xdr:nvSpPr>
      <xdr:spPr>
        <a:xfrm>
          <a:off x="4015409" y="20096509"/>
          <a:ext cx="3000374"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n-US" sz="2000" b="1">
              <a:solidFill>
                <a:srgbClr val="26583A"/>
              </a:solidFill>
              <a:latin typeface="+mn-lt"/>
              <a:ea typeface="+mn-ea"/>
              <a:cs typeface="+mn-cs"/>
            </a:rPr>
            <a:t>You saved your school</a:t>
          </a:r>
        </a:p>
      </xdr:txBody>
    </xdr:sp>
    <xdr:clientData/>
  </xdr:twoCellAnchor>
  <xdr:oneCellAnchor>
    <xdr:from>
      <xdr:col>2</xdr:col>
      <xdr:colOff>2831193</xdr:colOff>
      <xdr:row>132</xdr:row>
      <xdr:rowOff>23684</xdr:rowOff>
    </xdr:from>
    <xdr:ext cx="914400" cy="914400"/>
    <xdr:pic>
      <xdr:nvPicPr>
        <xdr:cNvPr id="7" name="Graphic 6" descr="Dollar">
          <a:extLst>
            <a:ext uri="{FF2B5EF4-FFF2-40B4-BE49-F238E27FC236}">
              <a16:creationId xmlns:a16="http://schemas.microsoft.com/office/drawing/2014/main" id="{176457B0-3323-4091-9AD6-26B4756BEE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879193" y="25303034"/>
          <a:ext cx="914400" cy="914400"/>
        </a:xfrm>
        <a:prstGeom prst="rect">
          <a:avLst/>
        </a:prstGeom>
      </xdr:spPr>
    </xdr:pic>
    <xdr:clientData/>
  </xdr:oneCellAnchor>
  <xdr:twoCellAnchor>
    <xdr:from>
      <xdr:col>2</xdr:col>
      <xdr:colOff>1735208</xdr:colOff>
      <xdr:row>129</xdr:row>
      <xdr:rowOff>67918</xdr:rowOff>
    </xdr:from>
    <xdr:to>
      <xdr:col>2</xdr:col>
      <xdr:colOff>3078232</xdr:colOff>
      <xdr:row>130</xdr:row>
      <xdr:rowOff>115542</xdr:rowOff>
    </xdr:to>
    <xdr:sp macro="" textlink="">
      <xdr:nvSpPr>
        <xdr:cNvPr id="9" name="TextBox 8">
          <a:extLst>
            <a:ext uri="{FF2B5EF4-FFF2-40B4-BE49-F238E27FC236}">
              <a16:creationId xmlns:a16="http://schemas.microsoft.com/office/drawing/2014/main" id="{4EBC6ECC-57DB-400B-AD6B-B252AC2067E7}"/>
            </a:ext>
          </a:extLst>
        </xdr:cNvPr>
        <xdr:cNvSpPr txBox="1"/>
      </xdr:nvSpPr>
      <xdr:spPr>
        <a:xfrm>
          <a:off x="4783208" y="24642418"/>
          <a:ext cx="1343024" cy="285749"/>
        </a:xfrm>
        <a:prstGeom prst="rect">
          <a:avLst/>
        </a:prstGeom>
        <a:solidFill>
          <a:srgbClr val="80C34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26583A"/>
              </a:solidFill>
            </a:rPr>
            <a:t>Saved</a:t>
          </a:r>
        </a:p>
      </xdr:txBody>
    </xdr:sp>
    <xdr:clientData/>
  </xdr:twoCellAnchor>
  <xdr:twoCellAnchor editAs="oneCell">
    <xdr:from>
      <xdr:col>2</xdr:col>
      <xdr:colOff>1153353</xdr:colOff>
      <xdr:row>108</xdr:row>
      <xdr:rowOff>37686</xdr:rowOff>
    </xdr:from>
    <xdr:to>
      <xdr:col>2</xdr:col>
      <xdr:colOff>2067753</xdr:colOff>
      <xdr:row>112</xdr:row>
      <xdr:rowOff>190086</xdr:rowOff>
    </xdr:to>
    <xdr:pic>
      <xdr:nvPicPr>
        <xdr:cNvPr id="10" name="Graphic 9" descr="Water">
          <a:extLst>
            <a:ext uri="{FF2B5EF4-FFF2-40B4-BE49-F238E27FC236}">
              <a16:creationId xmlns:a16="http://schemas.microsoft.com/office/drawing/2014/main" id="{35F2F254-DF16-45FB-9EAD-097AA59245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xmlns="" r:embed="rId5"/>
            </a:ext>
          </a:extLst>
        </a:blip>
        <a:stretch>
          <a:fillRect/>
        </a:stretch>
      </xdr:blipFill>
      <xdr:spPr>
        <a:xfrm>
          <a:off x="4201353" y="20649786"/>
          <a:ext cx="914400" cy="914400"/>
        </a:xfrm>
        <a:prstGeom prst="rect">
          <a:avLst/>
        </a:prstGeom>
      </xdr:spPr>
    </xdr:pic>
    <xdr:clientData/>
  </xdr:twoCellAnchor>
  <xdr:twoCellAnchor editAs="oneCell">
    <xdr:from>
      <xdr:col>5</xdr:col>
      <xdr:colOff>1953867</xdr:colOff>
      <xdr:row>108</xdr:row>
      <xdr:rowOff>89866</xdr:rowOff>
    </xdr:from>
    <xdr:to>
      <xdr:col>5</xdr:col>
      <xdr:colOff>2868267</xdr:colOff>
      <xdr:row>113</xdr:row>
      <xdr:rowOff>51766</xdr:rowOff>
    </xdr:to>
    <xdr:pic>
      <xdr:nvPicPr>
        <xdr:cNvPr id="11" name="Graphic 10" descr="Bathtub">
          <a:extLst>
            <a:ext uri="{FF2B5EF4-FFF2-40B4-BE49-F238E27FC236}">
              <a16:creationId xmlns:a16="http://schemas.microsoft.com/office/drawing/2014/main" id="{20EDFF85-36E7-483C-B20C-96B906B724B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10145367" y="20759116"/>
          <a:ext cx="914400" cy="914400"/>
        </a:xfrm>
        <a:prstGeom prst="rect">
          <a:avLst/>
        </a:prstGeom>
      </xdr:spPr>
    </xdr:pic>
    <xdr:clientData/>
  </xdr:twoCellAnchor>
  <xdr:twoCellAnchor editAs="oneCell">
    <xdr:from>
      <xdr:col>5</xdr:col>
      <xdr:colOff>1908727</xdr:colOff>
      <xdr:row>132</xdr:row>
      <xdr:rowOff>33959</xdr:rowOff>
    </xdr:from>
    <xdr:to>
      <xdr:col>5</xdr:col>
      <xdr:colOff>2823127</xdr:colOff>
      <xdr:row>136</xdr:row>
      <xdr:rowOff>186359</xdr:rowOff>
    </xdr:to>
    <xdr:pic>
      <xdr:nvPicPr>
        <xdr:cNvPr id="12" name="Graphic 11" descr="Bathtub">
          <a:extLst>
            <a:ext uri="{FF2B5EF4-FFF2-40B4-BE49-F238E27FC236}">
              <a16:creationId xmlns:a16="http://schemas.microsoft.com/office/drawing/2014/main" id="{E676C8DE-7100-44D8-983F-BA0013D72FE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10004977" y="25313309"/>
          <a:ext cx="914400" cy="914400"/>
        </a:xfrm>
        <a:prstGeom prst="rect">
          <a:avLst/>
        </a:prstGeom>
      </xdr:spPr>
    </xdr:pic>
    <xdr:clientData/>
  </xdr:twoCellAnchor>
  <xdr:twoCellAnchor editAs="oneCell">
    <xdr:from>
      <xdr:col>2</xdr:col>
      <xdr:colOff>1120636</xdr:colOff>
      <xdr:row>132</xdr:row>
      <xdr:rowOff>50523</xdr:rowOff>
    </xdr:from>
    <xdr:to>
      <xdr:col>2</xdr:col>
      <xdr:colOff>2035036</xdr:colOff>
      <xdr:row>137</xdr:row>
      <xdr:rowOff>12423</xdr:rowOff>
    </xdr:to>
    <xdr:pic>
      <xdr:nvPicPr>
        <xdr:cNvPr id="13" name="Graphic 12" descr="Water">
          <a:extLst>
            <a:ext uri="{FF2B5EF4-FFF2-40B4-BE49-F238E27FC236}">
              <a16:creationId xmlns:a16="http://schemas.microsoft.com/office/drawing/2014/main" id="{7FEAF140-00EB-4746-97A7-FB1F5F7CE78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xmlns="" r:embed="rId5"/>
            </a:ext>
          </a:extLst>
        </a:blip>
        <a:stretch>
          <a:fillRect/>
        </a:stretch>
      </xdr:blipFill>
      <xdr:spPr>
        <a:xfrm>
          <a:off x="4168636" y="25329873"/>
          <a:ext cx="914400" cy="914400"/>
        </a:xfrm>
        <a:prstGeom prst="rect">
          <a:avLst/>
        </a:prstGeom>
      </xdr:spPr>
    </xdr:pic>
    <xdr:clientData/>
  </xdr:twoCellAnchor>
  <xdr:twoCellAnchor editAs="oneCell">
    <xdr:from>
      <xdr:col>6</xdr:col>
      <xdr:colOff>276225</xdr:colOff>
      <xdr:row>0</xdr:row>
      <xdr:rowOff>38100</xdr:rowOff>
    </xdr:from>
    <xdr:to>
      <xdr:col>6</xdr:col>
      <xdr:colOff>1409700</xdr:colOff>
      <xdr:row>0</xdr:row>
      <xdr:rowOff>628452</xdr:rowOff>
    </xdr:to>
    <xdr:pic>
      <xdr:nvPicPr>
        <xdr:cNvPr id="14" name="Picture 13">
          <a:extLst>
            <a:ext uri="{FF2B5EF4-FFF2-40B4-BE49-F238E27FC236}">
              <a16:creationId xmlns:a16="http://schemas.microsoft.com/office/drawing/2014/main" id="{0BE0699B-1621-46FB-A685-C4D71ABD9342}"/>
            </a:ext>
          </a:extLst>
        </xdr:cNvPr>
        <xdr:cNvPicPr>
          <a:picLocks noChangeAspect="1"/>
        </xdr:cNvPicPr>
      </xdr:nvPicPr>
      <xdr:blipFill>
        <a:blip xmlns:r="http://schemas.openxmlformats.org/officeDocument/2006/relationships" r:embed="rId8"/>
        <a:stretch>
          <a:fillRect/>
        </a:stretch>
      </xdr:blipFill>
      <xdr:spPr>
        <a:xfrm>
          <a:off x="11677650" y="38100"/>
          <a:ext cx="1133475" cy="5903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1152525</xdr:colOff>
      <xdr:row>8</xdr:row>
      <xdr:rowOff>18597</xdr:rowOff>
    </xdr:from>
    <xdr:to>
      <xdr:col>1</xdr:col>
      <xdr:colOff>2066925</xdr:colOff>
      <xdr:row>11</xdr:row>
      <xdr:rowOff>218622</xdr:rowOff>
    </xdr:to>
    <xdr:pic>
      <xdr:nvPicPr>
        <xdr:cNvPr id="2" name="Graphic 1" descr="CO2">
          <a:extLst>
            <a:ext uri="{FF2B5EF4-FFF2-40B4-BE49-F238E27FC236}">
              <a16:creationId xmlns:a16="http://schemas.microsoft.com/office/drawing/2014/main" id="{8417A1DC-A491-47B1-A05B-F6D2C5336A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762125" y="1361622"/>
          <a:ext cx="914400" cy="914400"/>
        </a:xfrm>
        <a:prstGeom prst="rect">
          <a:avLst/>
        </a:prstGeom>
      </xdr:spPr>
    </xdr:pic>
    <xdr:clientData/>
  </xdr:twoCellAnchor>
  <xdr:twoCellAnchor editAs="oneCell">
    <xdr:from>
      <xdr:col>2</xdr:col>
      <xdr:colOff>1066800</xdr:colOff>
      <xdr:row>34</xdr:row>
      <xdr:rowOff>37647</xdr:rowOff>
    </xdr:from>
    <xdr:to>
      <xdr:col>2</xdr:col>
      <xdr:colOff>1971675</xdr:colOff>
      <xdr:row>38</xdr:row>
      <xdr:rowOff>18597</xdr:rowOff>
    </xdr:to>
    <xdr:pic>
      <xdr:nvPicPr>
        <xdr:cNvPr id="3" name="Graphic 2" descr="Dollar">
          <a:extLst>
            <a:ext uri="{FF2B5EF4-FFF2-40B4-BE49-F238E27FC236}">
              <a16:creationId xmlns:a16="http://schemas.microsoft.com/office/drawing/2014/main" id="{3F2B782D-ACE8-4B80-B8F6-0DDA2D9669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4695825" y="6124122"/>
          <a:ext cx="904875" cy="914400"/>
        </a:xfrm>
        <a:prstGeom prst="rect">
          <a:avLst/>
        </a:prstGeom>
      </xdr:spPr>
    </xdr:pic>
    <xdr:clientData/>
  </xdr:twoCellAnchor>
  <xdr:twoCellAnchor editAs="oneCell">
    <xdr:from>
      <xdr:col>2</xdr:col>
      <xdr:colOff>1164771</xdr:colOff>
      <xdr:row>8</xdr:row>
      <xdr:rowOff>76200</xdr:rowOff>
    </xdr:from>
    <xdr:to>
      <xdr:col>2</xdr:col>
      <xdr:colOff>2079171</xdr:colOff>
      <xdr:row>12</xdr:row>
      <xdr:rowOff>38100</xdr:rowOff>
    </xdr:to>
    <xdr:pic>
      <xdr:nvPicPr>
        <xdr:cNvPr id="4" name="Graphic 3" descr="Deciduous tree">
          <a:extLst>
            <a:ext uri="{FF2B5EF4-FFF2-40B4-BE49-F238E27FC236}">
              <a16:creationId xmlns:a16="http://schemas.microsoft.com/office/drawing/2014/main" id="{D3C8D77E-CF03-47BE-A35B-FF66BC248C5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4908096" y="1419225"/>
          <a:ext cx="914400" cy="914400"/>
        </a:xfrm>
        <a:prstGeom prst="rect">
          <a:avLst/>
        </a:prstGeom>
      </xdr:spPr>
    </xdr:pic>
    <xdr:clientData/>
  </xdr:twoCellAnchor>
  <xdr:twoCellAnchor editAs="oneCell">
    <xdr:from>
      <xdr:col>3</xdr:col>
      <xdr:colOff>1104900</xdr:colOff>
      <xdr:row>8</xdr:row>
      <xdr:rowOff>47625</xdr:rowOff>
    </xdr:from>
    <xdr:to>
      <xdr:col>3</xdr:col>
      <xdr:colOff>2019300</xdr:colOff>
      <xdr:row>12</xdr:row>
      <xdr:rowOff>9525</xdr:rowOff>
    </xdr:to>
    <xdr:pic>
      <xdr:nvPicPr>
        <xdr:cNvPr id="5" name="Graphic 4" descr="Mop and bucket">
          <a:extLst>
            <a:ext uri="{FF2B5EF4-FFF2-40B4-BE49-F238E27FC236}">
              <a16:creationId xmlns:a16="http://schemas.microsoft.com/office/drawing/2014/main" id="{7CB378BF-7844-40B9-B3F4-93116622BB2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7981950" y="1390650"/>
          <a:ext cx="914400" cy="914400"/>
        </a:xfrm>
        <a:prstGeom prst="rect">
          <a:avLst/>
        </a:prstGeom>
      </xdr:spPr>
    </xdr:pic>
    <xdr:clientData/>
  </xdr:twoCellAnchor>
  <xdr:twoCellAnchor editAs="oneCell">
    <xdr:from>
      <xdr:col>2</xdr:col>
      <xdr:colOff>1133475</xdr:colOff>
      <xdr:row>22</xdr:row>
      <xdr:rowOff>0</xdr:rowOff>
    </xdr:from>
    <xdr:to>
      <xdr:col>2</xdr:col>
      <xdr:colOff>2047875</xdr:colOff>
      <xdr:row>25</xdr:row>
      <xdr:rowOff>200025</xdr:rowOff>
    </xdr:to>
    <xdr:pic>
      <xdr:nvPicPr>
        <xdr:cNvPr id="6" name="Graphic 5" descr="Bathtub">
          <a:extLst>
            <a:ext uri="{FF2B5EF4-FFF2-40B4-BE49-F238E27FC236}">
              <a16:creationId xmlns:a16="http://schemas.microsoft.com/office/drawing/2014/main" id="{7407D672-AEEB-4CF0-B321-770FAE2C866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xmlns="" r:embed="rId10"/>
            </a:ext>
          </a:extLst>
        </a:blip>
        <a:stretch>
          <a:fillRect/>
        </a:stretch>
      </xdr:blipFill>
      <xdr:spPr>
        <a:xfrm>
          <a:off x="14277975" y="1533525"/>
          <a:ext cx="914400" cy="914400"/>
        </a:xfrm>
        <a:prstGeom prst="rect">
          <a:avLst/>
        </a:prstGeom>
      </xdr:spPr>
    </xdr:pic>
    <xdr:clientData/>
  </xdr:twoCellAnchor>
  <xdr:twoCellAnchor editAs="oneCell">
    <xdr:from>
      <xdr:col>1</xdr:col>
      <xdr:colOff>1028700</xdr:colOff>
      <xdr:row>21</xdr:row>
      <xdr:rowOff>123825</xdr:rowOff>
    </xdr:from>
    <xdr:to>
      <xdr:col>1</xdr:col>
      <xdr:colOff>1943100</xdr:colOff>
      <xdr:row>25</xdr:row>
      <xdr:rowOff>85725</xdr:rowOff>
    </xdr:to>
    <xdr:pic>
      <xdr:nvPicPr>
        <xdr:cNvPr id="7" name="Graphic 6" descr="Water">
          <a:extLst>
            <a:ext uri="{FF2B5EF4-FFF2-40B4-BE49-F238E27FC236}">
              <a16:creationId xmlns:a16="http://schemas.microsoft.com/office/drawing/2014/main" id="{4529EA72-4E7B-4CC6-B8B7-7D7377FB038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xmlns="" r:embed="rId12"/>
            </a:ext>
          </a:extLst>
        </a:blip>
        <a:stretch>
          <a:fillRect/>
        </a:stretch>
      </xdr:blipFill>
      <xdr:spPr>
        <a:xfrm>
          <a:off x="11039475" y="1466850"/>
          <a:ext cx="914400" cy="914400"/>
        </a:xfrm>
        <a:prstGeom prst="rect">
          <a:avLst/>
        </a:prstGeom>
      </xdr:spPr>
    </xdr:pic>
    <xdr:clientData/>
  </xdr:twoCellAnchor>
  <xdr:oneCellAnchor>
    <xdr:from>
      <xdr:col>3</xdr:col>
      <xdr:colOff>1104900</xdr:colOff>
      <xdr:row>21</xdr:row>
      <xdr:rowOff>180975</xdr:rowOff>
    </xdr:from>
    <xdr:ext cx="914400" cy="914400"/>
    <xdr:pic>
      <xdr:nvPicPr>
        <xdr:cNvPr id="8" name="Graphic 7" descr="Sustainability">
          <a:extLst>
            <a:ext uri="{FF2B5EF4-FFF2-40B4-BE49-F238E27FC236}">
              <a16:creationId xmlns:a16="http://schemas.microsoft.com/office/drawing/2014/main" id="{A4CF3B30-4A0B-4181-9D3A-63EC6B09E96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xmlns="" r:embed="rId14"/>
            </a:ext>
          </a:extLst>
        </a:blip>
        <a:stretch>
          <a:fillRect/>
        </a:stretch>
      </xdr:blipFill>
      <xdr:spPr>
        <a:xfrm>
          <a:off x="7867650" y="4171950"/>
          <a:ext cx="914400" cy="914400"/>
        </a:xfrm>
        <a:prstGeom prst="rect">
          <a:avLst/>
        </a:prstGeom>
      </xdr:spPr>
    </xdr:pic>
    <xdr:clientData/>
  </xdr:oneCellAnchor>
  <xdr:twoCellAnchor editAs="oneCell">
    <xdr:from>
      <xdr:col>3</xdr:col>
      <xdr:colOff>1924050</xdr:colOff>
      <xdr:row>1</xdr:row>
      <xdr:rowOff>38100</xdr:rowOff>
    </xdr:from>
    <xdr:to>
      <xdr:col>3</xdr:col>
      <xdr:colOff>3057525</xdr:colOff>
      <xdr:row>1</xdr:row>
      <xdr:rowOff>628452</xdr:rowOff>
    </xdr:to>
    <xdr:pic>
      <xdr:nvPicPr>
        <xdr:cNvPr id="9" name="Picture 8">
          <a:extLst>
            <a:ext uri="{FF2B5EF4-FFF2-40B4-BE49-F238E27FC236}">
              <a16:creationId xmlns:a16="http://schemas.microsoft.com/office/drawing/2014/main" id="{D38FDC3E-8016-4ADB-B55A-408EF21B039A}"/>
            </a:ext>
          </a:extLst>
        </xdr:cNvPr>
        <xdr:cNvPicPr>
          <a:picLocks noChangeAspect="1"/>
        </xdr:cNvPicPr>
      </xdr:nvPicPr>
      <xdr:blipFill>
        <a:blip xmlns:r="http://schemas.openxmlformats.org/officeDocument/2006/relationships" r:embed="rId15"/>
        <a:stretch>
          <a:fillRect/>
        </a:stretch>
      </xdr:blipFill>
      <xdr:spPr>
        <a:xfrm>
          <a:off x="8667750" y="228600"/>
          <a:ext cx="1133475" cy="5903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1743075</xdr:colOff>
      <xdr:row>0</xdr:row>
      <xdr:rowOff>38100</xdr:rowOff>
    </xdr:from>
    <xdr:to>
      <xdr:col>2</xdr:col>
      <xdr:colOff>2876550</xdr:colOff>
      <xdr:row>0</xdr:row>
      <xdr:rowOff>628452</xdr:rowOff>
    </xdr:to>
    <xdr:pic>
      <xdr:nvPicPr>
        <xdr:cNvPr id="2" name="Picture 1">
          <a:extLst>
            <a:ext uri="{FF2B5EF4-FFF2-40B4-BE49-F238E27FC236}">
              <a16:creationId xmlns:a16="http://schemas.microsoft.com/office/drawing/2014/main" id="{B363C873-749C-44C5-BE1D-D169ACA202F6}"/>
            </a:ext>
          </a:extLst>
        </xdr:cNvPr>
        <xdr:cNvPicPr>
          <a:picLocks noChangeAspect="1"/>
        </xdr:cNvPicPr>
      </xdr:nvPicPr>
      <xdr:blipFill>
        <a:blip xmlns:r="http://schemas.openxmlformats.org/officeDocument/2006/relationships" r:embed="rId1"/>
        <a:stretch>
          <a:fillRect/>
        </a:stretch>
      </xdr:blipFill>
      <xdr:spPr>
        <a:xfrm>
          <a:off x="8420100" y="38100"/>
          <a:ext cx="1133475" cy="5903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2266950</xdr:colOff>
      <xdr:row>17</xdr:row>
      <xdr:rowOff>47625</xdr:rowOff>
    </xdr:from>
    <xdr:to>
      <xdr:col>1</xdr:col>
      <xdr:colOff>3818347</xdr:colOff>
      <xdr:row>17</xdr:row>
      <xdr:rowOff>1209675</xdr:rowOff>
    </xdr:to>
    <xdr:pic>
      <xdr:nvPicPr>
        <xdr:cNvPr id="3" name="Picture 2">
          <a:extLst>
            <a:ext uri="{FF2B5EF4-FFF2-40B4-BE49-F238E27FC236}">
              <a16:creationId xmlns:a16="http://schemas.microsoft.com/office/drawing/2014/main" id="{BF016691-EDA6-4F51-98F1-07AFF140D4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67125" y="4181475"/>
          <a:ext cx="1551397" cy="1162050"/>
        </a:xfrm>
        <a:prstGeom prst="rect">
          <a:avLst/>
        </a:prstGeom>
      </xdr:spPr>
    </xdr:pic>
    <xdr:clientData/>
  </xdr:twoCellAnchor>
  <xdr:twoCellAnchor editAs="oneCell">
    <xdr:from>
      <xdr:col>1</xdr:col>
      <xdr:colOff>9144000</xdr:colOff>
      <xdr:row>0</xdr:row>
      <xdr:rowOff>28575</xdr:rowOff>
    </xdr:from>
    <xdr:to>
      <xdr:col>1</xdr:col>
      <xdr:colOff>10277475</xdr:colOff>
      <xdr:row>0</xdr:row>
      <xdr:rowOff>618927</xdr:rowOff>
    </xdr:to>
    <xdr:pic>
      <xdr:nvPicPr>
        <xdr:cNvPr id="4" name="Picture 3">
          <a:extLst>
            <a:ext uri="{FF2B5EF4-FFF2-40B4-BE49-F238E27FC236}">
              <a16:creationId xmlns:a16="http://schemas.microsoft.com/office/drawing/2014/main" id="{93B5F69C-7D5A-4977-8794-85DD8B13EC63}"/>
            </a:ext>
          </a:extLst>
        </xdr:cNvPr>
        <xdr:cNvPicPr>
          <a:picLocks noChangeAspect="1"/>
        </xdr:cNvPicPr>
      </xdr:nvPicPr>
      <xdr:blipFill>
        <a:blip xmlns:r="http://schemas.openxmlformats.org/officeDocument/2006/relationships" r:embed="rId2"/>
        <a:stretch>
          <a:fillRect/>
        </a:stretch>
      </xdr:blipFill>
      <xdr:spPr>
        <a:xfrm>
          <a:off x="10544175" y="28575"/>
          <a:ext cx="1133475" cy="5903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wagreenschools.org/carbon-calculator-resources/" TargetMode="External"/><Relationship Id="rId1" Type="http://schemas.openxmlformats.org/officeDocument/2006/relationships/hyperlink" Target="mailto:info@wagreenschools.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6" Type="http://schemas.openxmlformats.org/officeDocument/2006/relationships/hyperlink" Target="https://www.jeffjournal.org/papers/Volume7/7.1.3Muthu.pdf" TargetMode="External"/><Relationship Id="rId21" Type="http://schemas.openxmlformats.org/officeDocument/2006/relationships/hyperlink" Target="https://www.epa.gov/sites/production/files/2019-06/documents/warm_v15_management_practices.pdf" TargetMode="External"/><Relationship Id="rId34" Type="http://schemas.openxmlformats.org/officeDocument/2006/relationships/hyperlink" Target="https://ucanr.edu/sites/UrbanHort/files/80212.pdf" TargetMode="External"/><Relationship Id="rId42" Type="http://schemas.openxmlformats.org/officeDocument/2006/relationships/hyperlink" Target="https://www.towergarden.com/blog.read.html/en/2015/4/5_research-backedbe.html" TargetMode="External"/><Relationship Id="rId47" Type="http://schemas.openxmlformats.org/officeDocument/2006/relationships/hyperlink" Target="https://www.target.com/p/white-vinegar-128oz-market-pantry-153/-/A-15295279" TargetMode="External"/><Relationship Id="rId50" Type="http://schemas.openxmlformats.org/officeDocument/2006/relationships/hyperlink" Target="https://www.govinfo.gov/content/pkg/FR-1998-09-11/pdf/98-22660.pdf" TargetMode="External"/><Relationship Id="rId55" Type="http://schemas.openxmlformats.org/officeDocument/2006/relationships/hyperlink" Target="https://www.fns.usda.gov/school-meals/certification-compliance-worksheets-5-day-schedule" TargetMode="External"/><Relationship Id="rId63" Type="http://schemas.openxmlformats.org/officeDocument/2006/relationships/hyperlink" Target="https://ag.umass.edu/landscape/fact-sheets/rain-gardens-way-to-improve-water-quality" TargetMode="External"/><Relationship Id="rId68" Type="http://schemas.openxmlformats.org/officeDocument/2006/relationships/hyperlink" Target="https://www.epa.gov/watersense/fix-leak-week" TargetMode="External"/><Relationship Id="rId76" Type="http://schemas.openxmlformats.org/officeDocument/2006/relationships/hyperlink" Target="https://www.bts.gov/content/average-fuel-efficiency-us-passenger-cars-and-light-trucks" TargetMode="External"/><Relationship Id="rId84" Type="http://schemas.openxmlformats.org/officeDocument/2006/relationships/hyperlink" Target="https://www.bts.gov/content/average-fuel-efficiency-us-passenger-cars-and-light-trucks" TargetMode="External"/><Relationship Id="rId89" Type="http://schemas.openxmlformats.org/officeDocument/2006/relationships/hyperlink" Target="https://www.thepennyhoarder.com/save-money/how-to-save-water-and-money-with-your-toilet/" TargetMode="External"/><Relationship Id="rId97" Type="http://schemas.openxmlformats.org/officeDocument/2006/relationships/printerSettings" Target="../printerSettings/printerSettings6.bin"/><Relationship Id="rId7" Type="http://schemas.openxmlformats.org/officeDocument/2006/relationships/hyperlink" Target="https://www.bls.gov/regions/mid-atlantic/news-release/averageenergyprices_washingtondc.htm" TargetMode="External"/><Relationship Id="rId71" Type="http://schemas.openxmlformats.org/officeDocument/2006/relationships/hyperlink" Target="https://www.thepennyhoarder.com/save-money/how-to-save-water-and-money-with-your-toilet/" TargetMode="External"/><Relationship Id="rId92" Type="http://schemas.openxmlformats.org/officeDocument/2006/relationships/hyperlink" Target="https://www.webstaurantstore.com/genpak-10500-10-3-8-x-8-3-8-x-1-3-16-5-compartment-white-foam-school-tray-case/37410500%20%20%20%20WHITE.html" TargetMode="External"/><Relationship Id="rId2" Type="http://schemas.openxmlformats.org/officeDocument/2006/relationships/hyperlink" Target="https://nces.ed.gov/programs/statereform/tab5_14.asp" TargetMode="External"/><Relationship Id="rId16" Type="http://schemas.openxmlformats.org/officeDocument/2006/relationships/hyperlink" Target="https://c.environmentalpaper.org/individual.html" TargetMode="External"/><Relationship Id="rId29" Type="http://schemas.openxmlformats.org/officeDocument/2006/relationships/hyperlink" Target="https://www.cartridgeworld.com/how-much-are-printer-ink-and-toner-costing-you/" TargetMode="External"/><Relationship Id="rId11" Type="http://schemas.openxmlformats.org/officeDocument/2006/relationships/hyperlink" Target="http://www.petresin.org/news_didyouknow.asp" TargetMode="External"/><Relationship Id="rId24" Type="http://schemas.openxmlformats.org/officeDocument/2006/relationships/hyperlink" Target="http://www.wm.com/location/california/bay_area/castrovalley/commercial/rates.jsp" TargetMode="External"/><Relationship Id="rId32" Type="http://schemas.openxmlformats.org/officeDocument/2006/relationships/hyperlink" Target="https://www.ksre.k-state.edu/irrigate/reports/Klocke.pdf" TargetMode="External"/><Relationship Id="rId37" Type="http://schemas.openxmlformats.org/officeDocument/2006/relationships/hyperlink" Target="https://19january2017snapshot.epa.gov/www3/watersense/commercial/docs/factsheets/education_fact_sheet_508.pdf" TargetMode="External"/><Relationship Id="rId40" Type="http://schemas.openxmlformats.org/officeDocument/2006/relationships/hyperlink" Target="https://www.nasa.gov/vision/earth/technologies/aeroponic_plants.html" TargetMode="External"/><Relationship Id="rId45" Type="http://schemas.openxmlformats.org/officeDocument/2006/relationships/hyperlink" Target="https://greencleaningproductsllc.com/consider-vocs-when-going-for-the-best-commercial-cleaning-products/" TargetMode="External"/><Relationship Id="rId53" Type="http://schemas.openxmlformats.org/officeDocument/2006/relationships/hyperlink" Target="https://www.youtube.com/watch?v=RzZ76-KVVOA" TargetMode="External"/><Relationship Id="rId58" Type="http://schemas.openxmlformats.org/officeDocument/2006/relationships/hyperlink" Target="https://www.bls.gov/regions/mid-atlantic/data/averageretailfoodandenergyprices_usandmidwest_table.htm" TargetMode="External"/><Relationship Id="rId66" Type="http://schemas.openxmlformats.org/officeDocument/2006/relationships/hyperlink" Target="https://www.epa.gov/watersense/bathroom-faucets" TargetMode="External"/><Relationship Id="rId74" Type="http://schemas.openxmlformats.org/officeDocument/2006/relationships/hyperlink" Target="https://www.badeloftusa.com/ideas/how-much-does-bathtub-hold/" TargetMode="External"/><Relationship Id="rId79" Type="http://schemas.openxmlformats.org/officeDocument/2006/relationships/hyperlink" Target="https://wsdot.wa.gov/sites/default/files/2009/01/09/ATP_WA-2016-Student-Travel-Survey-Report.pdf" TargetMode="External"/><Relationship Id="rId87" Type="http://schemas.openxmlformats.org/officeDocument/2006/relationships/hyperlink" Target="https://gasprices.aaa.com/?state=WA" TargetMode="External"/><Relationship Id="rId5" Type="http://schemas.openxmlformats.org/officeDocument/2006/relationships/hyperlink" Target="https://www.usailighting.com/stuff/contentmgr/files/1/92ffeb328de0f4878257999e7d46d6e4/misc/lighting_comparison_chart.pdf" TargetMode="External"/><Relationship Id="rId61" Type="http://schemas.openxmlformats.org/officeDocument/2006/relationships/hyperlink" Target="https://www.asla.org/raingardens.aspx" TargetMode="External"/><Relationship Id="rId82" Type="http://schemas.openxmlformats.org/officeDocument/2006/relationships/hyperlink" Target="https://www.lowcvp.org.uk/Hubs/leb/LEBTechnologies/leb-hybrid.htm" TargetMode="External"/><Relationship Id="rId90" Type="http://schemas.openxmlformats.org/officeDocument/2006/relationships/hyperlink" Target="https://www.waste360.com/mag/waste_profiles_garbage_aseptic" TargetMode="External"/><Relationship Id="rId95" Type="http://schemas.openxmlformats.org/officeDocument/2006/relationships/hyperlink" Target="https://www.groworganic.com/organic-gardening/articles/water-conservation-tips-in-vegetable-gardens" TargetMode="External"/><Relationship Id="rId19" Type="http://schemas.openxmlformats.org/officeDocument/2006/relationships/hyperlink" Target="https://c.environmentalpaper.org/individual.html" TargetMode="External"/><Relationship Id="rId14" Type="http://schemas.openxmlformats.org/officeDocument/2006/relationships/hyperlink" Target="https://c.environmentalpaper.org/individual.html" TargetMode="External"/><Relationship Id="rId22" Type="http://schemas.openxmlformats.org/officeDocument/2006/relationships/hyperlink" Target="https://www.epa.gov/sites/production/files/2019-06/documents/warm_v15_management_practices.pdf" TargetMode="External"/><Relationship Id="rId27" Type="http://schemas.openxmlformats.org/officeDocument/2006/relationships/hyperlink" Target="http://www.remanufacturing.org.uk/pdf/story/1p265.pdf" TargetMode="External"/><Relationship Id="rId30" Type="http://schemas.openxmlformats.org/officeDocument/2006/relationships/hyperlink" Target="http://irrigation.wsu.edu/Content/Calculators/Residential/Tree-Water-Management.php" TargetMode="External"/><Relationship Id="rId35" Type="http://schemas.openxmlformats.org/officeDocument/2006/relationships/hyperlink" Target="http://www.seattle.gov/utilities/services/rates/water-rates/residential-water-rates" TargetMode="External"/><Relationship Id="rId43" Type="http://schemas.openxmlformats.org/officeDocument/2006/relationships/hyperlink" Target="https://homeguides.sfgate.com/long-before-plant-starts-grow-tomatoes-59989.html" TargetMode="External"/><Relationship Id="rId48" Type="http://schemas.openxmlformats.org/officeDocument/2006/relationships/hyperlink" Target="https://www.edf.org/attention-drivers-turn-your-idling-engines" TargetMode="External"/><Relationship Id="rId56" Type="http://schemas.openxmlformats.org/officeDocument/2006/relationships/hyperlink" Target="http://trophiccascades.forestry.oregonstate.edu/sites/trophic/files/Beans_for_Beef.pdf" TargetMode="External"/><Relationship Id="rId64" Type="http://schemas.openxmlformats.org/officeDocument/2006/relationships/hyperlink" Target="http://www.12000raingardens.org/about-rain-gardens/benefits/" TargetMode="External"/><Relationship Id="rId69" Type="http://schemas.openxmlformats.org/officeDocument/2006/relationships/hyperlink" Target="https://www.watercalculator.org/save-water/outdoor-water-leaks/" TargetMode="External"/><Relationship Id="rId77" Type="http://schemas.openxmlformats.org/officeDocument/2006/relationships/hyperlink" Target="https://gasprices.aaa.com/?state=WA" TargetMode="External"/><Relationship Id="rId100" Type="http://schemas.openxmlformats.org/officeDocument/2006/relationships/comments" Target="../comments1.xml"/><Relationship Id="rId8" Type="http://schemas.openxmlformats.org/officeDocument/2006/relationships/hyperlink" Target="https://www.energuide.be/en/questions-answers/how-much-power-does-a-computer-use-and-how-much-co2-does-that-represent/54/" TargetMode="External"/><Relationship Id="rId51" Type="http://schemas.openxmlformats.org/officeDocument/2006/relationships/hyperlink" Target="https://www.epa.gov/sites/production/files/2018-03/documents/emission-factors_mar_2018_0.pdf" TargetMode="External"/><Relationship Id="rId72" Type="http://schemas.openxmlformats.org/officeDocument/2006/relationships/hyperlink" Target="https://www.thepennyhoarder.com/save-money/how-to-save-water-and-money-with-your-toilet/" TargetMode="External"/><Relationship Id="rId80" Type="http://schemas.openxmlformats.org/officeDocument/2006/relationships/hyperlink" Target="https://www.schoolbusfleet.com/article/611951/why-miles-matter" TargetMode="External"/><Relationship Id="rId85" Type="http://schemas.openxmlformats.org/officeDocument/2006/relationships/hyperlink" Target="https://www.fueleconomy.gov/feg/PowerSearch.do?action=noform&amp;path=3&amp;year1=2017&amp;year2=2018&amp;vtype=Hybrid&amp;srchtyp=newAfv&amp;pageno=1&amp;sortBy=Comb&amp;tabView=0&amp;rowLimit=10" TargetMode="External"/><Relationship Id="rId93" Type="http://schemas.openxmlformats.org/officeDocument/2006/relationships/hyperlink" Target="https://www.webstaurantstore.com/carlisle-kl44485-4-compartment-dark-cranberry-melamine-tray-11-x-8-11-16/271KL444GRNT.html" TargetMode="External"/><Relationship Id="rId98" Type="http://schemas.openxmlformats.org/officeDocument/2006/relationships/drawing" Target="../drawings/drawing9.xml"/><Relationship Id="rId3" Type="http://schemas.openxmlformats.org/officeDocument/2006/relationships/hyperlink" Target="https://www.currentbyge.com/ideas/cfl-vs-halogen-vs-led" TargetMode="External"/><Relationship Id="rId12" Type="http://schemas.openxmlformats.org/officeDocument/2006/relationships/hyperlink" Target="https://www.plasticpollutioncoalition.org/pft/2015/11/17/plastic-pollution-and-climate-change" TargetMode="External"/><Relationship Id="rId17" Type="http://schemas.openxmlformats.org/officeDocument/2006/relationships/hyperlink" Target="https://www.papersizes.org/weight-of-sheets.htm" TargetMode="External"/><Relationship Id="rId25" Type="http://schemas.openxmlformats.org/officeDocument/2006/relationships/hyperlink" Target="https://www.huffpost.com/entry/reusable-waste-free-lunch_b_5634600" TargetMode="External"/><Relationship Id="rId33" Type="http://schemas.openxmlformats.org/officeDocument/2006/relationships/hyperlink" Target="http://irrigation.wsu.edu/Content/Calculators/Residential/Tree-Water-Management.php" TargetMode="External"/><Relationship Id="rId38" Type="http://schemas.openxmlformats.org/officeDocument/2006/relationships/hyperlink" Target="https://www.theecologycenter.org/6-proven-reasons-to-have-a-native-garden/" TargetMode="External"/><Relationship Id="rId46" Type="http://schemas.openxmlformats.org/officeDocument/2006/relationships/hyperlink" Target="https://www.target.com/p/pine-sol-multi-surface-cleaner-original-100-oz/-/A-12969917" TargetMode="External"/><Relationship Id="rId59" Type="http://schemas.openxmlformats.org/officeDocument/2006/relationships/hyperlink" Target="https://www.bls.gov/regions/mid-atlantic/data/averageretailfoodandenergyprices_usandmidwest_table.htm" TargetMode="External"/><Relationship Id="rId67" Type="http://schemas.openxmlformats.org/officeDocument/2006/relationships/hyperlink" Target="https://www.chandleraz.gov/residents/water/water-conservation/education-and-resources/indoor-water-conservation-tips?pageid=710" TargetMode="External"/><Relationship Id="rId20" Type="http://schemas.openxmlformats.org/officeDocument/2006/relationships/hyperlink" Target="https://www.officedepot.com/a/browse/copy-and-multipurpose-paper/N=5+530730&amp;cbxRefine=553630&amp;cbxRefine=722807/" TargetMode="External"/><Relationship Id="rId41" Type="http://schemas.openxmlformats.org/officeDocument/2006/relationships/hyperlink" Target="https://living.thebump.com/many-gallons-water-should-fullsized-tomato-plant-need-week-11140.html" TargetMode="External"/><Relationship Id="rId54" Type="http://schemas.openxmlformats.org/officeDocument/2006/relationships/hyperlink" Target="http://www.ed-data.org/district/San-Diego/San-Diego-Unified" TargetMode="External"/><Relationship Id="rId62" Type="http://schemas.openxmlformats.org/officeDocument/2006/relationships/hyperlink" Target="https://www.asla.org/raingardens.aspx" TargetMode="External"/><Relationship Id="rId70" Type="http://schemas.openxmlformats.org/officeDocument/2006/relationships/hyperlink" Target="https://www.epa.gov/watersense/fix-leak-week" TargetMode="External"/><Relationship Id="rId75" Type="http://schemas.openxmlformats.org/officeDocument/2006/relationships/hyperlink" Target="https://www.bts.gov/content/average-fuel-efficiency-us-passenger-cars-and-light-trucks" TargetMode="External"/><Relationship Id="rId83" Type="http://schemas.openxmlformats.org/officeDocument/2006/relationships/hyperlink" Target="https://afdc.energy.gov/data/10309" TargetMode="External"/><Relationship Id="rId88" Type="http://schemas.openxmlformats.org/officeDocument/2006/relationships/hyperlink" Target="https://odetoclean.com/blogs/fresh-air/which-cleaning-products-are-polluting-your-home-the-most" TargetMode="External"/><Relationship Id="rId91" Type="http://schemas.openxmlformats.org/officeDocument/2006/relationships/hyperlink" Target="https://www.genpak.com/product/school-lunch-trays/" TargetMode="External"/><Relationship Id="rId96" Type="http://schemas.openxmlformats.org/officeDocument/2006/relationships/hyperlink" Target="https://www.almanac.com/content/when-water-your-vegetable-garden-watering-chart" TargetMode="External"/><Relationship Id="rId1" Type="http://schemas.openxmlformats.org/officeDocument/2006/relationships/hyperlink" Target="https://www.eia.gov/electricity/data/browser/" TargetMode="External"/><Relationship Id="rId6" Type="http://schemas.openxmlformats.org/officeDocument/2006/relationships/hyperlink" Target="https://nces.ed.gov/programs/statereform/tab5_14.asp" TargetMode="External"/><Relationship Id="rId15" Type="http://schemas.openxmlformats.org/officeDocument/2006/relationships/hyperlink" Target="https://c.environmentalpaper.org/individual.html" TargetMode="External"/><Relationship Id="rId23" Type="http://schemas.openxmlformats.org/officeDocument/2006/relationships/hyperlink" Target="https://www.epa.gov/sites/production/files/2019-06/documents/warm_v15_management_practices.pdf" TargetMode="External"/><Relationship Id="rId28" Type="http://schemas.openxmlformats.org/officeDocument/2006/relationships/hyperlink" Target="http://www.remanufacturing.org.uk/pdf/story/1p265.pdf" TargetMode="External"/><Relationship Id="rId36" Type="http://schemas.openxmlformats.org/officeDocument/2006/relationships/hyperlink" Target="https://unclejimswormfarm.com/how-much-feed-composting-worms/" TargetMode="External"/><Relationship Id="rId49" Type="http://schemas.openxmlformats.org/officeDocument/2006/relationships/hyperlink" Target="https://gasprices.aaa.com/?state=WA" TargetMode="External"/><Relationship Id="rId57" Type="http://schemas.openxmlformats.org/officeDocument/2006/relationships/hyperlink" Target="http://trophiccascades.forestry.oregonstate.edu/sites/trophic/files/Beans_for_Beef.pdf" TargetMode="External"/><Relationship Id="rId10" Type="http://schemas.openxmlformats.org/officeDocument/2006/relationships/hyperlink" Target="https://www.energuide.be/en/questions-answers/how-much-power-does-a-computer-use-and-how-much-co2-does-that-represent/54/" TargetMode="External"/><Relationship Id="rId31" Type="http://schemas.openxmlformats.org/officeDocument/2006/relationships/hyperlink" Target="https://pnwisa.org/tree-care/maintenance/providing-water-nutrients/" TargetMode="External"/><Relationship Id="rId44" Type="http://schemas.openxmlformats.org/officeDocument/2006/relationships/hyperlink" Target="http://www.nbcnews.com/id/29708619/ns/business-personal_finance/t/economy-turns-gardening-growth-industry/" TargetMode="External"/><Relationship Id="rId52" Type="http://schemas.openxmlformats.org/officeDocument/2006/relationships/hyperlink" Target="https://www.youtube.com/watch?v=RzZ76-KVVOA" TargetMode="External"/><Relationship Id="rId60" Type="http://schemas.openxmlformats.org/officeDocument/2006/relationships/hyperlink" Target="http://www.12000raingardens.org/about-rain-gardens/benefits/" TargetMode="External"/><Relationship Id="rId65" Type="http://schemas.openxmlformats.org/officeDocument/2006/relationships/hyperlink" Target="https://www.epa.gov/watersense/bathroom-faucets" TargetMode="External"/><Relationship Id="rId73" Type="http://schemas.openxmlformats.org/officeDocument/2006/relationships/hyperlink" Target="https://www.currentresults.com/Weather/Washington/average-yearly-precipitation.php" TargetMode="External"/><Relationship Id="rId78" Type="http://schemas.openxmlformats.org/officeDocument/2006/relationships/hyperlink" Target="https://www.epa.gov/sites/production/files/2018-03/documents/emission-factors_mar_2018_0.pdf" TargetMode="External"/><Relationship Id="rId81" Type="http://schemas.openxmlformats.org/officeDocument/2006/relationships/hyperlink" Target="https://afdc.energy.gov/data/10310" TargetMode="External"/><Relationship Id="rId86" Type="http://schemas.openxmlformats.org/officeDocument/2006/relationships/hyperlink" Target="https://www.thepennyhoarder.com/save-money/how-to-save-water-and-money-with-your-toilet/" TargetMode="External"/><Relationship Id="rId94" Type="http://schemas.openxmlformats.org/officeDocument/2006/relationships/hyperlink" Target="http://www.petresin.org/news_didyouknow.asp" TargetMode="External"/><Relationship Id="rId99" Type="http://schemas.openxmlformats.org/officeDocument/2006/relationships/vmlDrawing" Target="../drawings/vmlDrawing1.vml"/><Relationship Id="rId4" Type="http://schemas.openxmlformats.org/officeDocument/2006/relationships/hyperlink" Target="https://www.energy.gov/sites/prod/files/2017/10/f37/2017_gateway_tuning-classroom_0.pdf" TargetMode="External"/><Relationship Id="rId9" Type="http://schemas.openxmlformats.org/officeDocument/2006/relationships/hyperlink" Target="https://www.energuide.be/en/questions-answers/how-much-power-does-a-computer-use-and-how-much-co2-does-that-represent/54/" TargetMode="External"/><Relationship Id="rId13" Type="http://schemas.openxmlformats.org/officeDocument/2006/relationships/hyperlink" Target="https://composting.ces.ncsu.edu/wp-content/uploads/2017/04/vermicomposting_earthworms_q_a-2017.pdf?fwd=no" TargetMode="External"/><Relationship Id="rId18" Type="http://schemas.openxmlformats.org/officeDocument/2006/relationships/hyperlink" Target="http://www.officexpress.co.uk/paper-guide/" TargetMode="External"/><Relationship Id="rId39" Type="http://schemas.openxmlformats.org/officeDocument/2006/relationships/hyperlink" Target="https://homeguides.sfgate.com/average-yield-tomato-plant-60969.html"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showGridLines="0" topLeftCell="A52" workbookViewId="0">
      <selection activeCell="A64" sqref="A64:B64"/>
    </sheetView>
  </sheetViews>
  <sheetFormatPr defaultColWidth="11.42578125" defaultRowHeight="15" x14ac:dyDescent="0.25"/>
  <cols>
    <col min="1" max="1" width="45" style="343" customWidth="1"/>
    <col min="2" max="2" width="41.7109375" style="343" customWidth="1"/>
    <col min="3" max="3" width="90" style="343" customWidth="1"/>
    <col min="4" max="16384" width="11.42578125" style="343"/>
  </cols>
  <sheetData>
    <row r="1" spans="1:6" ht="49.5" customHeight="1" x14ac:dyDescent="0.25">
      <c r="A1" s="556" t="s">
        <v>554</v>
      </c>
      <c r="B1" s="556"/>
      <c r="C1" s="556"/>
    </row>
    <row r="2" spans="1:6" x14ac:dyDescent="0.25">
      <c r="C2" s="467" t="s">
        <v>906</v>
      </c>
    </row>
    <row r="3" spans="1:6" ht="15.75" thickBot="1" x14ac:dyDescent="0.3">
      <c r="C3" s="465"/>
    </row>
    <row r="4" spans="1:6" ht="19.5" thickBot="1" x14ac:dyDescent="0.35">
      <c r="A4" s="194" t="s">
        <v>584</v>
      </c>
      <c r="B4" s="192"/>
      <c r="C4" s="193"/>
    </row>
    <row r="5" spans="1:6" s="211" customFormat="1" x14ac:dyDescent="0.25">
      <c r="A5" s="212" t="s">
        <v>586</v>
      </c>
      <c r="B5" s="209"/>
      <c r="C5" s="210"/>
    </row>
    <row r="6" spans="1:6" ht="59.25" customHeight="1" x14ac:dyDescent="0.25">
      <c r="A6" s="565" t="s">
        <v>903</v>
      </c>
      <c r="B6" s="566"/>
      <c r="C6" s="567"/>
    </row>
    <row r="7" spans="1:6" ht="42" customHeight="1" x14ac:dyDescent="0.25">
      <c r="A7" s="565" t="s">
        <v>773</v>
      </c>
      <c r="B7" s="566"/>
      <c r="C7" s="567"/>
    </row>
    <row r="8" spans="1:6" ht="42" customHeight="1" thickBot="1" x14ac:dyDescent="0.3">
      <c r="A8" s="565" t="s">
        <v>701</v>
      </c>
      <c r="B8" s="566"/>
      <c r="C8" s="567"/>
    </row>
    <row r="9" spans="1:6" ht="18" customHeight="1" x14ac:dyDescent="0.25">
      <c r="A9" s="221" t="s">
        <v>744</v>
      </c>
      <c r="B9" s="209"/>
      <c r="C9" s="210"/>
    </row>
    <row r="10" spans="1:6" ht="42" customHeight="1" thickBot="1" x14ac:dyDescent="0.3">
      <c r="A10" s="565" t="s">
        <v>699</v>
      </c>
      <c r="B10" s="566"/>
      <c r="C10" s="567"/>
    </row>
    <row r="11" spans="1:6" ht="18" customHeight="1" x14ac:dyDescent="0.25">
      <c r="A11" s="221" t="s">
        <v>679</v>
      </c>
      <c r="B11" s="209"/>
      <c r="C11" s="210"/>
    </row>
    <row r="12" spans="1:6" ht="36.75" customHeight="1" x14ac:dyDescent="0.25">
      <c r="A12" s="565" t="s">
        <v>772</v>
      </c>
      <c r="B12" s="566"/>
      <c r="C12" s="567"/>
      <c r="F12" s="344"/>
    </row>
    <row r="13" spans="1:6" ht="36.75" customHeight="1" x14ac:dyDescent="0.25">
      <c r="A13" s="565" t="s">
        <v>745</v>
      </c>
      <c r="B13" s="566"/>
      <c r="C13" s="567"/>
    </row>
    <row r="14" spans="1:6" ht="36.75" customHeight="1" x14ac:dyDescent="0.25">
      <c r="A14" s="565" t="s">
        <v>746</v>
      </c>
      <c r="B14" s="566"/>
      <c r="C14" s="567"/>
    </row>
    <row r="15" spans="1:6" ht="36.75" customHeight="1" x14ac:dyDescent="0.25">
      <c r="A15" s="565" t="s">
        <v>747</v>
      </c>
      <c r="B15" s="566"/>
      <c r="C15" s="567"/>
    </row>
    <row r="16" spans="1:6" ht="36.75" customHeight="1" x14ac:dyDescent="0.25">
      <c r="A16" s="565" t="s">
        <v>748</v>
      </c>
      <c r="B16" s="566"/>
      <c r="C16" s="567"/>
    </row>
    <row r="17" spans="1:4" ht="36.75" customHeight="1" thickBot="1" x14ac:dyDescent="0.3">
      <c r="A17" s="565" t="s">
        <v>783</v>
      </c>
      <c r="B17" s="566"/>
      <c r="C17" s="567"/>
    </row>
    <row r="18" spans="1:4" s="211" customFormat="1" x14ac:dyDescent="0.25">
      <c r="A18" s="212" t="s">
        <v>587</v>
      </c>
      <c r="B18" s="209"/>
      <c r="C18" s="210"/>
    </row>
    <row r="19" spans="1:4" x14ac:dyDescent="0.25">
      <c r="A19" s="345" t="s">
        <v>721</v>
      </c>
      <c r="B19" s="346"/>
      <c r="C19" s="347"/>
      <c r="D19" s="348"/>
    </row>
    <row r="20" spans="1:4" ht="21.75" customHeight="1" thickBot="1" x14ac:dyDescent="0.3">
      <c r="A20" s="349" t="s">
        <v>585</v>
      </c>
      <c r="B20" s="350"/>
      <c r="C20" s="351"/>
    </row>
    <row r="21" spans="1:4" s="211" customFormat="1" x14ac:dyDescent="0.25">
      <c r="A21" s="212" t="s">
        <v>588</v>
      </c>
      <c r="B21" s="209"/>
      <c r="C21" s="210"/>
    </row>
    <row r="22" spans="1:4" ht="21" customHeight="1" x14ac:dyDescent="0.25">
      <c r="A22" s="345" t="s">
        <v>589</v>
      </c>
      <c r="B22" s="346"/>
      <c r="C22" s="352"/>
    </row>
    <row r="23" spans="1:4" ht="27" customHeight="1" thickBot="1" x14ac:dyDescent="0.3">
      <c r="A23" s="345"/>
      <c r="B23" s="346"/>
      <c r="C23" s="351"/>
    </row>
    <row r="24" spans="1:4" s="211" customFormat="1" x14ac:dyDescent="0.25">
      <c r="A24" s="212" t="s">
        <v>522</v>
      </c>
      <c r="B24" s="209"/>
      <c r="C24" s="210"/>
    </row>
    <row r="25" spans="1:4" ht="27" customHeight="1" x14ac:dyDescent="0.25">
      <c r="A25" s="562" t="s">
        <v>682</v>
      </c>
      <c r="B25" s="563"/>
      <c r="C25" s="564"/>
    </row>
    <row r="26" spans="1:4" ht="30.75" customHeight="1" thickBot="1" x14ac:dyDescent="0.3">
      <c r="A26" s="590" t="s">
        <v>550</v>
      </c>
      <c r="B26" s="591"/>
      <c r="C26" s="353" t="s">
        <v>549</v>
      </c>
    </row>
    <row r="27" spans="1:4" s="547" customFormat="1" ht="18.75" customHeight="1" x14ac:dyDescent="0.25">
      <c r="A27" s="545"/>
      <c r="B27" s="545"/>
      <c r="C27" s="546"/>
    </row>
    <row r="28" spans="1:4" x14ac:dyDescent="0.25">
      <c r="A28" s="343" t="s">
        <v>868</v>
      </c>
      <c r="B28" s="2" t="s">
        <v>869</v>
      </c>
    </row>
    <row r="29" spans="1:4" ht="15.75" thickBot="1" x14ac:dyDescent="0.3"/>
    <row r="30" spans="1:4" ht="19.5" thickBot="1" x14ac:dyDescent="0.3">
      <c r="A30" s="592" t="s">
        <v>551</v>
      </c>
      <c r="B30" s="593"/>
      <c r="C30" s="594"/>
    </row>
    <row r="31" spans="1:4" x14ac:dyDescent="0.25">
      <c r="A31" s="354" t="s">
        <v>526</v>
      </c>
      <c r="B31" s="557"/>
      <c r="C31" s="558"/>
    </row>
    <row r="32" spans="1:4" x14ac:dyDescent="0.25">
      <c r="A32" s="355" t="s">
        <v>542</v>
      </c>
      <c r="B32" s="559"/>
      <c r="C32" s="560"/>
    </row>
    <row r="33" spans="1:7" x14ac:dyDescent="0.25">
      <c r="A33" s="355" t="s">
        <v>774</v>
      </c>
      <c r="B33" s="568"/>
      <c r="C33" s="569"/>
    </row>
    <row r="34" spans="1:7" x14ac:dyDescent="0.25">
      <c r="A34" s="356" t="s">
        <v>553</v>
      </c>
      <c r="B34" s="559"/>
      <c r="C34" s="560"/>
      <c r="G34" s="344"/>
    </row>
    <row r="35" spans="1:7" x14ac:dyDescent="0.25">
      <c r="A35" s="356" t="s">
        <v>552</v>
      </c>
      <c r="B35" s="561"/>
      <c r="C35" s="560"/>
    </row>
    <row r="36" spans="1:7" ht="15.75" thickBot="1" x14ac:dyDescent="0.3">
      <c r="A36" s="357" t="s">
        <v>527</v>
      </c>
      <c r="B36" s="570"/>
      <c r="C36" s="571"/>
    </row>
    <row r="39" spans="1:7" ht="26.25" customHeight="1" x14ac:dyDescent="0.25">
      <c r="A39" s="574" t="s">
        <v>541</v>
      </c>
      <c r="B39" s="574"/>
      <c r="C39" s="574"/>
    </row>
    <row r="40" spans="1:7" ht="15.75" thickBot="1" x14ac:dyDescent="0.3"/>
    <row r="41" spans="1:7" ht="26.25" customHeight="1" thickBot="1" x14ac:dyDescent="0.3">
      <c r="A41" s="575" t="s">
        <v>140</v>
      </c>
      <c r="B41" s="576"/>
      <c r="C41" s="577"/>
    </row>
    <row r="42" spans="1:7" x14ac:dyDescent="0.25">
      <c r="A42" s="572" t="s">
        <v>165</v>
      </c>
      <c r="B42" s="573"/>
      <c r="C42" s="195" t="s">
        <v>166</v>
      </c>
    </row>
    <row r="43" spans="1:7" x14ac:dyDescent="0.25">
      <c r="A43" s="580" t="s">
        <v>323</v>
      </c>
      <c r="B43" s="581"/>
      <c r="C43" s="468" t="s">
        <v>96</v>
      </c>
    </row>
    <row r="44" spans="1:7" x14ac:dyDescent="0.25">
      <c r="A44" s="580" t="s">
        <v>533</v>
      </c>
      <c r="B44" s="581"/>
      <c r="C44" s="468" t="s">
        <v>111</v>
      </c>
    </row>
    <row r="45" spans="1:7" ht="15.75" thickBot="1" x14ac:dyDescent="0.3">
      <c r="A45" s="582" t="s">
        <v>114</v>
      </c>
      <c r="B45" s="583"/>
      <c r="C45" s="359"/>
    </row>
    <row r="47" spans="1:7" ht="26.25" customHeight="1" thickBot="1" x14ac:dyDescent="0.3">
      <c r="A47" s="574" t="s">
        <v>528</v>
      </c>
      <c r="B47" s="574"/>
      <c r="C47" s="574"/>
    </row>
    <row r="48" spans="1:7" x14ac:dyDescent="0.25">
      <c r="A48" s="572" t="s">
        <v>165</v>
      </c>
      <c r="B48" s="573"/>
      <c r="C48" s="195" t="s">
        <v>166</v>
      </c>
    </row>
    <row r="49" spans="1:5" x14ac:dyDescent="0.25">
      <c r="A49" s="580" t="s">
        <v>332</v>
      </c>
      <c r="B49" s="581"/>
      <c r="C49" s="468" t="s">
        <v>534</v>
      </c>
    </row>
    <row r="50" spans="1:5" x14ac:dyDescent="0.25">
      <c r="A50" s="586"/>
      <c r="B50" s="587"/>
      <c r="C50" s="468" t="s">
        <v>402</v>
      </c>
    </row>
    <row r="51" spans="1:5" x14ac:dyDescent="0.25">
      <c r="A51" s="586"/>
      <c r="B51" s="587"/>
      <c r="C51" s="468" t="s">
        <v>574</v>
      </c>
    </row>
    <row r="52" spans="1:5" ht="15" customHeight="1" thickBot="1" x14ac:dyDescent="0.3">
      <c r="A52" s="605"/>
      <c r="B52" s="606"/>
      <c r="C52" s="469" t="s">
        <v>465</v>
      </c>
    </row>
    <row r="53" spans="1:5" ht="16.5" customHeight="1" x14ac:dyDescent="0.25"/>
    <row r="54" spans="1:5" ht="26.25" customHeight="1" thickBot="1" x14ac:dyDescent="0.3">
      <c r="A54" s="574" t="s">
        <v>529</v>
      </c>
      <c r="B54" s="574"/>
      <c r="C54" s="574"/>
    </row>
    <row r="55" spans="1:5" x14ac:dyDescent="0.25">
      <c r="A55" s="572" t="s">
        <v>165</v>
      </c>
      <c r="B55" s="573"/>
      <c r="C55" s="195" t="s">
        <v>166</v>
      </c>
    </row>
    <row r="56" spans="1:5" x14ac:dyDescent="0.25">
      <c r="A56" s="584" t="s">
        <v>785</v>
      </c>
      <c r="B56" s="585"/>
      <c r="C56" s="470" t="s">
        <v>342</v>
      </c>
    </row>
    <row r="57" spans="1:5" x14ac:dyDescent="0.25">
      <c r="A57" s="599"/>
      <c r="B57" s="600"/>
      <c r="C57" s="470" t="s">
        <v>626</v>
      </c>
    </row>
    <row r="58" spans="1:5" ht="15.75" thickBot="1" x14ac:dyDescent="0.3">
      <c r="A58" s="601"/>
      <c r="B58" s="602"/>
      <c r="C58" s="469" t="s">
        <v>787</v>
      </c>
    </row>
    <row r="60" spans="1:5" ht="26.25" customHeight="1" thickBot="1" x14ac:dyDescent="0.3">
      <c r="A60" s="574" t="s">
        <v>530</v>
      </c>
      <c r="B60" s="574"/>
      <c r="C60" s="574"/>
      <c r="E60" s="535"/>
    </row>
    <row r="61" spans="1:5" x14ac:dyDescent="0.25">
      <c r="A61" s="572" t="s">
        <v>165</v>
      </c>
      <c r="B61" s="573"/>
      <c r="C61" s="195" t="s">
        <v>166</v>
      </c>
      <c r="E61" s="119"/>
    </row>
    <row r="62" spans="1:5" x14ac:dyDescent="0.25">
      <c r="A62" s="578" t="s">
        <v>535</v>
      </c>
      <c r="B62" s="579"/>
      <c r="C62" s="470" t="s">
        <v>250</v>
      </c>
      <c r="E62" s="35"/>
    </row>
    <row r="63" spans="1:5" x14ac:dyDescent="0.25">
      <c r="A63" s="578" t="s">
        <v>180</v>
      </c>
      <c r="B63" s="579"/>
      <c r="C63" s="468" t="s">
        <v>789</v>
      </c>
    </row>
    <row r="64" spans="1:5" x14ac:dyDescent="0.25">
      <c r="A64" s="578" t="s">
        <v>791</v>
      </c>
      <c r="B64" s="579"/>
      <c r="C64" s="468" t="s">
        <v>831</v>
      </c>
    </row>
    <row r="65" spans="1:3" x14ac:dyDescent="0.25">
      <c r="A65" s="595" t="s">
        <v>536</v>
      </c>
      <c r="B65" s="596"/>
      <c r="C65" s="541" t="s">
        <v>840</v>
      </c>
    </row>
    <row r="66" spans="1:3" ht="15.75" thickBot="1" x14ac:dyDescent="0.3">
      <c r="A66" s="603"/>
      <c r="B66" s="604"/>
      <c r="C66" s="540" t="s">
        <v>850</v>
      </c>
    </row>
    <row r="67" spans="1:3" x14ac:dyDescent="0.25">
      <c r="A67" s="46"/>
      <c r="B67" s="46"/>
      <c r="C67" s="360"/>
    </row>
    <row r="68" spans="1:3" ht="26.25" customHeight="1" thickBot="1" x14ac:dyDescent="0.3">
      <c r="A68" s="574" t="s">
        <v>531</v>
      </c>
      <c r="B68" s="574"/>
      <c r="C68" s="574"/>
    </row>
    <row r="69" spans="1:3" x14ac:dyDescent="0.25">
      <c r="A69" s="572" t="s">
        <v>165</v>
      </c>
      <c r="B69" s="573"/>
      <c r="C69" s="195" t="s">
        <v>166</v>
      </c>
    </row>
    <row r="70" spans="1:3" x14ac:dyDescent="0.25">
      <c r="A70" s="578" t="s">
        <v>537</v>
      </c>
      <c r="B70" s="579"/>
      <c r="C70" s="468" t="s">
        <v>539</v>
      </c>
    </row>
    <row r="71" spans="1:3" x14ac:dyDescent="0.25">
      <c r="A71" s="578" t="s">
        <v>538</v>
      </c>
      <c r="B71" s="579"/>
      <c r="C71" s="358"/>
    </row>
    <row r="72" spans="1:3" ht="15.75" thickBot="1" x14ac:dyDescent="0.3">
      <c r="A72" s="597" t="s">
        <v>788</v>
      </c>
      <c r="B72" s="598"/>
      <c r="C72" s="185"/>
    </row>
    <row r="73" spans="1:3" ht="18.75" x14ac:dyDescent="0.25">
      <c r="A73" s="97"/>
      <c r="B73" s="97"/>
    </row>
    <row r="74" spans="1:3" ht="19.5" thickBot="1" x14ac:dyDescent="0.3">
      <c r="A74" s="574" t="s">
        <v>532</v>
      </c>
      <c r="B74" s="574"/>
      <c r="C74" s="574"/>
    </row>
    <row r="75" spans="1:3" x14ac:dyDescent="0.25">
      <c r="A75" s="572" t="s">
        <v>165</v>
      </c>
      <c r="B75" s="573"/>
      <c r="C75" s="195" t="s">
        <v>166</v>
      </c>
    </row>
    <row r="76" spans="1:3" x14ac:dyDescent="0.25">
      <c r="A76" s="578" t="s">
        <v>540</v>
      </c>
      <c r="B76" s="579"/>
      <c r="C76" s="468" t="s">
        <v>272</v>
      </c>
    </row>
    <row r="77" spans="1:3" x14ac:dyDescent="0.25">
      <c r="A77" s="548"/>
      <c r="B77" s="549"/>
      <c r="C77" s="471" t="s">
        <v>301</v>
      </c>
    </row>
    <row r="78" spans="1:3" x14ac:dyDescent="0.25">
      <c r="A78" s="552"/>
      <c r="B78" s="553"/>
      <c r="C78" s="554" t="s">
        <v>858</v>
      </c>
    </row>
    <row r="79" spans="1:3" ht="15.75" thickBot="1" x14ac:dyDescent="0.3">
      <c r="A79" s="588"/>
      <c r="B79" s="589"/>
      <c r="C79" s="472" t="s">
        <v>784</v>
      </c>
    </row>
    <row r="80" spans="1:3" x14ac:dyDescent="0.25">
      <c r="A80" s="46"/>
      <c r="B80" s="46"/>
    </row>
    <row r="81" spans="1:3" x14ac:dyDescent="0.25">
      <c r="A81" s="46"/>
      <c r="B81" s="46"/>
    </row>
    <row r="82" spans="1:3" ht="15.75" thickBot="1" x14ac:dyDescent="0.3"/>
    <row r="83" spans="1:3" ht="15.75" thickBot="1" x14ac:dyDescent="0.3">
      <c r="A83" s="361" t="s">
        <v>700</v>
      </c>
      <c r="B83" s="362"/>
      <c r="C83" s="363"/>
    </row>
    <row r="84" spans="1:3" x14ac:dyDescent="0.25">
      <c r="A84" s="364"/>
      <c r="B84" s="364"/>
    </row>
  </sheetData>
  <protectedRanges>
    <protectedRange sqref="B31:C36" name="GeneralInfo"/>
  </protectedRanges>
  <mergeCells count="53">
    <mergeCell ref="A79:B79"/>
    <mergeCell ref="A26:B26"/>
    <mergeCell ref="A30:C30"/>
    <mergeCell ref="A65:B65"/>
    <mergeCell ref="A69:B69"/>
    <mergeCell ref="A70:B70"/>
    <mergeCell ref="A71:B71"/>
    <mergeCell ref="A72:B72"/>
    <mergeCell ref="A75:B75"/>
    <mergeCell ref="A57:B57"/>
    <mergeCell ref="A58:B58"/>
    <mergeCell ref="A61:B61"/>
    <mergeCell ref="A66:B66"/>
    <mergeCell ref="A52:B52"/>
    <mergeCell ref="A60:C60"/>
    <mergeCell ref="A48:B48"/>
    <mergeCell ref="A55:B55"/>
    <mergeCell ref="A56:B56"/>
    <mergeCell ref="A50:B50"/>
    <mergeCell ref="A51:B51"/>
    <mergeCell ref="A54:C54"/>
    <mergeCell ref="A43:B43"/>
    <mergeCell ref="A44:B44"/>
    <mergeCell ref="A45:B45"/>
    <mergeCell ref="A49:B49"/>
    <mergeCell ref="A47:C47"/>
    <mergeCell ref="A76:B76"/>
    <mergeCell ref="A62:B62"/>
    <mergeCell ref="A63:B63"/>
    <mergeCell ref="A64:B64"/>
    <mergeCell ref="A68:C68"/>
    <mergeCell ref="A74:C74"/>
    <mergeCell ref="B36:C36"/>
    <mergeCell ref="A42:B42"/>
    <mergeCell ref="A6:C6"/>
    <mergeCell ref="A7:C7"/>
    <mergeCell ref="A8:C8"/>
    <mergeCell ref="A39:C39"/>
    <mergeCell ref="A41:C41"/>
    <mergeCell ref="A10:C10"/>
    <mergeCell ref="A12:C12"/>
    <mergeCell ref="A13:C13"/>
    <mergeCell ref="A14:C14"/>
    <mergeCell ref="A15:C15"/>
    <mergeCell ref="A16:C16"/>
    <mergeCell ref="A1:C1"/>
    <mergeCell ref="B31:C31"/>
    <mergeCell ref="B32:C32"/>
    <mergeCell ref="B34:C34"/>
    <mergeCell ref="B35:C35"/>
    <mergeCell ref="A25:C25"/>
    <mergeCell ref="A17:C17"/>
    <mergeCell ref="B33:C33"/>
  </mergeCells>
  <hyperlinks>
    <hyperlink ref="C26" r:id="rId1"/>
    <hyperlink ref="A20" location="'Results Summary'!A1" display="Summary page."/>
    <hyperlink ref="A43:B43" location="Energy!D11" display="Turn off lights when the classroom is empty - during lunch, planning periods, etc."/>
    <hyperlink ref="A44:B44" location="Energy!C28" display="Change all light bulbs to LEDs"/>
    <hyperlink ref="A45:B45" location="Energy!C46" display="Turn off computers and printers at the end of the day, rather than putting them in sleep mode"/>
    <hyperlink ref="C43" location="Energy!C87" display="Adjust your thermostat by turning down the heat"/>
    <hyperlink ref="C44" location="Energy!C102" display="Install motion sensing light switches in hallways, bathrooms, etc. "/>
    <hyperlink ref="A49:B49" location="Water!C11" display="Create a rain garden to absorb extra water, create less runoff"/>
    <hyperlink ref="C49" location="Water!C24" display="Install aerators on sinks to increase pressure and reduce flow"/>
    <hyperlink ref="C50" location="Water!C38" display="Fix any leaks inside the building and/or on school grounds"/>
    <hyperlink ref="C51" location="Water!C51" display="Place water savers in toilet tanks to use less water in your toilet"/>
    <hyperlink ref="C52" location="Water!C65" display="Install rain barrels to use “free water” for your lawn and plants"/>
    <hyperlink ref="A56:B56" location="'Healthy School Buildings'!C11" display="Learn how to make DIY natural cleaning products (ex. vinegar + water mix)"/>
    <hyperlink ref="C56" location="'Healthy School Buildings'!C25" display="Implement an anti-idling campaign"/>
    <hyperlink ref="C57" location="'Healthy School Buildings'!C38" display="Implement a School Share Table"/>
    <hyperlink ref="C58" location="'Healthy School Buildings'!C50" display="“Meatless” Monday"/>
    <hyperlink ref="A62:B62" location="'Waste and Recycling'!C11" display="Use a reusable water bottle or mug"/>
    <hyperlink ref="A63:B63" location="'Waste and Recycling'!C26" display="Use recycled paper"/>
    <hyperlink ref="A64:B64" location="'Waste and Recycling'!C41" display="Start a worm bin for your classroom"/>
    <hyperlink ref="A65:B65" location="'Waste and Recycling'!C56" display="Plan a zero waste classroom lunch period"/>
    <hyperlink ref="C62" location="'Waste and Recycling'!C74" display="Purchase remanufactured Ink and Toner cartridges"/>
    <hyperlink ref="A70:B70" location="Transportation!C12" display="Walk to school campaign"/>
    <hyperlink ref="A71:B71" location="Transportation!C23" display="Bike to school campaign"/>
    <hyperlink ref="A72:B72" location="Transportation!C34" display="Develop carpooling arrangements between families"/>
    <hyperlink ref="C70" location="Transportation!C51" display="Change policy so that all purchased district vehicles are hybrid/high MPG/run on biodiesel "/>
    <hyperlink ref="A76:B76" location="'School Grounds &amp; Gardens'!C11" display="Create an aeroponic gardening project"/>
    <hyperlink ref="C76" location="'School Grounds &amp; Gardens'!C25" display="Mulch the base of trees and plants"/>
    <hyperlink ref="C77" location="'School Grounds &amp; Gardens'!C39" display="Plant a native plants garden"/>
    <hyperlink ref="C79" location="'School Grounds &amp; Gardens'!C51" display="Plant a community vegetable or herb garden"/>
    <hyperlink ref="C63" location="'Waste and Recycling'!C86" display="Implement School-Wide composting"/>
    <hyperlink ref="C64" location="'Waste and Recycling'!C98" display="Utilize a milk dispenser instead of individual cartons"/>
    <hyperlink ref="C65" location="'Waste and Recycling'!C110" display="Use durable trays versus disposable"/>
    <hyperlink ref="C66" location="'Waste and Recycling'!C122" display="Install refillable water stations"/>
    <hyperlink ref="B28" r:id="rId2"/>
    <hyperlink ref="C78" location="'School Grounds &amp; Gardens'!C51" display="Plant raised garden beds"/>
  </hyperlinks>
  <pageMargins left="0.7" right="0.7" top="0.75" bottom="0.75" header="0.3" footer="0.3"/>
  <pageSetup orientation="portrait" horizontalDpi="360" verticalDpi="36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79"/>
  <sheetViews>
    <sheetView showGridLines="0" zoomScaleNormal="100" workbookViewId="0">
      <selection activeCell="F44" sqref="F44"/>
    </sheetView>
  </sheetViews>
  <sheetFormatPr defaultColWidth="8.85546875" defaultRowHeight="15" x14ac:dyDescent="0.25"/>
  <cols>
    <col min="1" max="1" width="38.42578125" customWidth="1"/>
    <col min="2" max="2" width="7.140625" customWidth="1"/>
    <col min="3" max="3" width="53.140625" customWidth="1"/>
    <col min="4" max="4" width="21.42578125" customWidth="1"/>
    <col min="5" max="5" width="7.140625" customWidth="1"/>
    <col min="6" max="6" width="49" customWidth="1"/>
    <col min="7" max="7" width="21.42578125" customWidth="1"/>
    <col min="8" max="8" width="7" customWidth="1"/>
    <col min="10" max="10" width="13.140625" customWidth="1"/>
    <col min="17" max="17" width="22.42578125" customWidth="1"/>
  </cols>
  <sheetData>
    <row r="1" spans="1:11" ht="51" customHeight="1" x14ac:dyDescent="0.25">
      <c r="C1" s="622" t="s">
        <v>143</v>
      </c>
      <c r="D1" s="622"/>
      <c r="E1" s="622"/>
      <c r="F1" s="622"/>
      <c r="G1" s="622"/>
    </row>
    <row r="2" spans="1:11" s="119" customFormat="1" x14ac:dyDescent="0.25">
      <c r="C2" s="1"/>
      <c r="G2" s="467" t="s">
        <v>906</v>
      </c>
    </row>
    <row r="3" spans="1:11" ht="26.25" x14ac:dyDescent="0.25">
      <c r="C3" s="622" t="s">
        <v>144</v>
      </c>
      <c r="D3" s="622"/>
      <c r="E3" s="622"/>
      <c r="F3" s="622"/>
      <c r="G3" s="622"/>
    </row>
    <row r="4" spans="1:11" ht="15.75" thickBot="1" x14ac:dyDescent="0.3">
      <c r="C4" s="1"/>
      <c r="G4" s="3"/>
    </row>
    <row r="5" spans="1:11" s="119" customFormat="1" ht="27" customHeight="1" x14ac:dyDescent="0.25">
      <c r="C5" s="239" t="s">
        <v>557</v>
      </c>
      <c r="D5" s="240"/>
      <c r="E5" s="240"/>
      <c r="F5" s="240"/>
      <c r="G5" s="241"/>
    </row>
    <row r="6" spans="1:11" s="119" customFormat="1" ht="27" customHeight="1" x14ac:dyDescent="0.25">
      <c r="C6" s="242" t="s">
        <v>590</v>
      </c>
      <c r="D6" s="143"/>
      <c r="E6" s="143"/>
      <c r="F6" s="143"/>
      <c r="G6" s="5"/>
    </row>
    <row r="7" spans="1:11" s="119" customFormat="1" ht="27" customHeight="1" x14ac:dyDescent="0.25">
      <c r="C7" s="242" t="s">
        <v>904</v>
      </c>
      <c r="D7" s="143"/>
      <c r="E7" s="143"/>
      <c r="F7" s="143"/>
      <c r="G7" s="5"/>
    </row>
    <row r="8" spans="1:11" s="119" customFormat="1" ht="27" customHeight="1" thickBot="1" x14ac:dyDescent="0.3">
      <c r="C8" s="242" t="s">
        <v>591</v>
      </c>
      <c r="D8" s="242"/>
      <c r="E8" s="410"/>
      <c r="F8" s="410"/>
      <c r="G8" s="409"/>
    </row>
    <row r="9" spans="1:11" s="119" customFormat="1" ht="27" customHeight="1" thickBot="1" x14ac:dyDescent="0.3">
      <c r="A9" s="245" t="s">
        <v>712</v>
      </c>
      <c r="C9" s="242" t="s">
        <v>592</v>
      </c>
      <c r="D9" s="143"/>
      <c r="E9" s="143"/>
      <c r="F9" s="143"/>
      <c r="G9" s="5"/>
      <c r="K9" s="143"/>
    </row>
    <row r="10" spans="1:11" s="119" customFormat="1" ht="42" customHeight="1" thickBot="1" x14ac:dyDescent="0.3">
      <c r="C10" s="607" t="s">
        <v>749</v>
      </c>
      <c r="D10" s="608"/>
      <c r="E10" s="608"/>
      <c r="F10" s="608"/>
      <c r="G10" s="609"/>
      <c r="J10" s="96"/>
      <c r="K10" s="143"/>
    </row>
    <row r="11" spans="1:11" x14ac:dyDescent="0.25">
      <c r="G11" s="3"/>
    </row>
    <row r="12" spans="1:11" ht="18.75" x14ac:dyDescent="0.3">
      <c r="C12" s="633" t="s">
        <v>29</v>
      </c>
      <c r="D12" s="634"/>
    </row>
    <row r="13" spans="1:11" ht="29.25" customHeight="1" x14ac:dyDescent="0.25">
      <c r="C13" s="638" t="s">
        <v>323</v>
      </c>
      <c r="D13" s="639"/>
      <c r="E13" s="35"/>
    </row>
    <row r="14" spans="1:11" ht="21" customHeight="1" thickBot="1" x14ac:dyDescent="0.3">
      <c r="C14" s="119"/>
      <c r="E14" s="18"/>
      <c r="J14" s="18"/>
    </row>
    <row r="15" spans="1:11" ht="15.75" thickBot="1" x14ac:dyDescent="0.3">
      <c r="C15" s="610" t="s">
        <v>327</v>
      </c>
      <c r="D15" s="612" t="s">
        <v>0</v>
      </c>
      <c r="F15" s="37" t="s">
        <v>94</v>
      </c>
      <c r="G15" s="42"/>
      <c r="J15" s="18"/>
    </row>
    <row r="16" spans="1:11" ht="17.25" customHeight="1" x14ac:dyDescent="0.25">
      <c r="A16" s="315" t="s">
        <v>560</v>
      </c>
      <c r="C16" s="611"/>
      <c r="D16" s="613"/>
      <c r="E16" s="35"/>
      <c r="F16" s="152" t="s">
        <v>611</v>
      </c>
      <c r="G16" s="117">
        <f>IFERROR(D24*D20*D25,0)</f>
        <v>0</v>
      </c>
      <c r="J16" s="18"/>
    </row>
    <row r="17" spans="1:10" ht="15.75" thickBot="1" x14ac:dyDescent="0.3">
      <c r="A17" s="316" t="s">
        <v>675</v>
      </c>
      <c r="C17" s="6" t="s">
        <v>26</v>
      </c>
      <c r="D17" s="7"/>
      <c r="E17" s="35"/>
      <c r="F17" s="123" t="s">
        <v>136</v>
      </c>
      <c r="G17" s="23">
        <f>IFERROR(G16*'Conversion factors'!B41,"")</f>
        <v>0</v>
      </c>
    </row>
    <row r="18" spans="1:10" ht="15.95" customHeight="1" x14ac:dyDescent="0.25">
      <c r="A18" s="668" t="s">
        <v>739</v>
      </c>
      <c r="C18" s="160" t="s">
        <v>722</v>
      </c>
      <c r="D18" s="68" t="s">
        <v>28</v>
      </c>
      <c r="F18" s="123" t="s">
        <v>594</v>
      </c>
      <c r="G18" s="23">
        <f>IFERROR(IF(D24*D20*D22*'Conversion factors'!B4=0,D24*D20*'Conversion factors'!B36,D24*D20*D22*'Conversion factors'!B4),0)</f>
        <v>0</v>
      </c>
    </row>
    <row r="19" spans="1:10" ht="15.75" customHeight="1" x14ac:dyDescent="0.25">
      <c r="A19" s="668"/>
      <c r="C19" s="213" t="s">
        <v>593</v>
      </c>
      <c r="D19" s="126"/>
      <c r="F19" s="123" t="s">
        <v>137</v>
      </c>
      <c r="G19" s="23">
        <f>IFERROR(IF(D20*D24*D22*'Conversion factors'!B4*'Conversion factors'!B41=0,D24*D20*'Conversion factors'!B41*'Conversion factors'!B36,D20*D24*D22*'Conversion factors'!B4*'Conversion factors'!B41),0)</f>
        <v>0</v>
      </c>
    </row>
    <row r="20" spans="1:10" ht="15.75" thickBot="1" x14ac:dyDescent="0.3">
      <c r="A20" s="668"/>
      <c r="C20" s="214" t="s">
        <v>663</v>
      </c>
      <c r="D20" s="126"/>
      <c r="E20" s="35"/>
      <c r="F20" s="124" t="s">
        <v>24</v>
      </c>
      <c r="G20" s="133">
        <f>IFERROR(G17*'Conversion factors'!B48,"")</f>
        <v>0</v>
      </c>
    </row>
    <row r="21" spans="1:10" ht="15.75" thickBot="1" x14ac:dyDescent="0.3">
      <c r="A21" s="317"/>
      <c r="C21" s="125" t="s">
        <v>25</v>
      </c>
      <c r="D21" s="126"/>
      <c r="E21" s="35"/>
      <c r="F21" s="35"/>
      <c r="J21" s="18"/>
    </row>
    <row r="22" spans="1:10" ht="17.25" customHeight="1" x14ac:dyDescent="0.25">
      <c r="A22" s="668" t="s">
        <v>875</v>
      </c>
      <c r="C22" s="125" t="s">
        <v>676</v>
      </c>
      <c r="D22" s="126"/>
      <c r="E22" s="35"/>
      <c r="F22" s="37" t="s">
        <v>288</v>
      </c>
      <c r="G22" s="38"/>
      <c r="J22" s="18"/>
    </row>
    <row r="23" spans="1:10" x14ac:dyDescent="0.25">
      <c r="A23" s="668"/>
      <c r="C23" s="125" t="s">
        <v>905</v>
      </c>
      <c r="D23" s="411"/>
      <c r="E23" s="18"/>
      <c r="F23" s="8" t="s">
        <v>595</v>
      </c>
      <c r="G23" s="23">
        <f>IFERROR(G17*D21,0)</f>
        <v>0</v>
      </c>
      <c r="J23" s="18"/>
    </row>
    <row r="24" spans="1:10" x14ac:dyDescent="0.25">
      <c r="A24" s="668"/>
      <c r="C24" s="123" t="s">
        <v>2</v>
      </c>
      <c r="D24" s="10" t="str">
        <f>IFERROR(VLOOKUP(D18,'Conversion factors'!A53:B57,2,FALSE)*D19, "")</f>
        <v/>
      </c>
      <c r="E24" s="35"/>
      <c r="F24" s="8" t="s">
        <v>93</v>
      </c>
      <c r="G24" s="23">
        <f>IFERROR(D21*G19,0)</f>
        <v>0</v>
      </c>
      <c r="J24" s="18"/>
    </row>
    <row r="25" spans="1:10" ht="15.75" thickBot="1" x14ac:dyDescent="0.3">
      <c r="A25" s="668"/>
      <c r="B25" s="119"/>
      <c r="C25" s="124" t="s">
        <v>20</v>
      </c>
      <c r="D25" s="43">
        <f>'Conversion factors'!J30*'Conversion factors'!B4</f>
        <v>6.5529200000000003E-4</v>
      </c>
      <c r="E25" s="35"/>
      <c r="F25" s="9" t="s">
        <v>24</v>
      </c>
      <c r="G25" s="133">
        <f>IFERROR(G23*'Conversion factors'!B48,0)</f>
        <v>0</v>
      </c>
      <c r="J25" s="18"/>
    </row>
    <row r="26" spans="1:10" ht="15.75" thickBot="1" x14ac:dyDescent="0.3">
      <c r="A26" s="669"/>
      <c r="B26" s="119"/>
      <c r="C26" s="119"/>
      <c r="D26" s="35"/>
      <c r="E26" s="35"/>
      <c r="J26" s="18"/>
    </row>
    <row r="27" spans="1:10" s="119" customFormat="1" x14ac:dyDescent="0.25">
      <c r="A27" s="196"/>
      <c r="D27" s="143"/>
      <c r="E27" s="143"/>
      <c r="J27" s="129"/>
    </row>
    <row r="28" spans="1:10" s="119" customFormat="1" ht="15.75" thickBot="1" x14ac:dyDescent="0.3">
      <c r="A28" s="196"/>
      <c r="D28" s="143"/>
      <c r="E28" s="143"/>
      <c r="J28" s="129"/>
    </row>
    <row r="29" spans="1:10" ht="19.5" thickBot="1" x14ac:dyDescent="0.3">
      <c r="A29" s="318" t="s">
        <v>713</v>
      </c>
      <c r="C29" s="635" t="s">
        <v>36</v>
      </c>
      <c r="D29" s="636"/>
      <c r="F29" s="37" t="s">
        <v>94</v>
      </c>
      <c r="G29" s="42"/>
      <c r="J29" s="18"/>
    </row>
    <row r="30" spans="1:10" ht="30" customHeight="1" x14ac:dyDescent="0.25">
      <c r="A30" s="319" t="s">
        <v>560</v>
      </c>
      <c r="C30" s="616" t="s">
        <v>328</v>
      </c>
      <c r="D30" s="617"/>
      <c r="E30" s="35"/>
      <c r="F30" s="163" t="s">
        <v>612</v>
      </c>
      <c r="G30" s="164">
        <f>IFERROR((D36-D41)*D37,0)</f>
        <v>0</v>
      </c>
      <c r="J30" s="18"/>
    </row>
    <row r="31" spans="1:10" ht="30.75" customHeight="1" thickBot="1" x14ac:dyDescent="0.3">
      <c r="A31" s="320" t="s">
        <v>675</v>
      </c>
      <c r="C31" s="129"/>
      <c r="D31" s="129"/>
      <c r="E31" s="35"/>
      <c r="F31" s="147" t="s">
        <v>611</v>
      </c>
      <c r="G31" s="155">
        <f>IFERROR(G30*D42*D37,0)</f>
        <v>0</v>
      </c>
      <c r="J31" s="18"/>
    </row>
    <row r="32" spans="1:10" ht="20.25" customHeight="1" x14ac:dyDescent="0.25">
      <c r="A32" s="668" t="s">
        <v>739</v>
      </c>
      <c r="C32" s="610" t="s">
        <v>329</v>
      </c>
      <c r="D32" s="612" t="s">
        <v>0</v>
      </c>
      <c r="E32" s="35"/>
      <c r="F32" s="8" t="s">
        <v>136</v>
      </c>
      <c r="G32" s="23">
        <f>IFERROR(G31*'Conversion factors'!B43,0)</f>
        <v>0</v>
      </c>
      <c r="J32" s="18"/>
    </row>
    <row r="33" spans="1:10" x14ac:dyDescent="0.25">
      <c r="A33" s="668"/>
      <c r="C33" s="611"/>
      <c r="D33" s="613"/>
      <c r="E33" s="35"/>
      <c r="F33" s="8" t="s">
        <v>89</v>
      </c>
      <c r="G33" s="23">
        <f>IFERROR(IF(Energy!G30*Energy!D39*'Conversion factors'!B4*'Conversion factors'!B44=0,Energy!G30*'Conversion factors'!B44*'Conversion factors'!B36,Energy!G30*Energy!D39*'Conversion factors'!B4*'Conversion factors'!B44),0)</f>
        <v>0</v>
      </c>
      <c r="J33" s="18"/>
    </row>
    <row r="34" spans="1:10" ht="15.75" thickBot="1" x14ac:dyDescent="0.3">
      <c r="A34" s="668"/>
      <c r="C34" s="6" t="s">
        <v>26</v>
      </c>
      <c r="D34" s="7"/>
      <c r="E34" s="35"/>
      <c r="F34" s="8" t="s">
        <v>137</v>
      </c>
      <c r="G34" s="23">
        <f>IFERROR(G33*'Conversion factors'!B41,0)</f>
        <v>0</v>
      </c>
    </row>
    <row r="35" spans="1:10" ht="31.5" customHeight="1" thickBot="1" x14ac:dyDescent="0.3">
      <c r="A35" s="321"/>
      <c r="C35" s="67" t="s">
        <v>723</v>
      </c>
      <c r="D35" s="68"/>
      <c r="E35" s="35"/>
      <c r="F35" s="49" t="s">
        <v>24</v>
      </c>
      <c r="G35" s="133">
        <f>IFERROR(G32*'Conversion factors'!B48,0)</f>
        <v>0</v>
      </c>
    </row>
    <row r="36" spans="1:10" ht="15.75" customHeight="1" thickBot="1" x14ac:dyDescent="0.3">
      <c r="A36" s="668" t="s">
        <v>876</v>
      </c>
      <c r="C36" s="127" t="s">
        <v>724</v>
      </c>
      <c r="D36" s="13"/>
      <c r="E36" s="35"/>
      <c r="F36" s="35"/>
    </row>
    <row r="37" spans="1:10" ht="20.100000000000001" customHeight="1" x14ac:dyDescent="0.25">
      <c r="A37" s="668"/>
      <c r="C37" s="125" t="s">
        <v>163</v>
      </c>
      <c r="D37" s="126"/>
      <c r="E37" s="35"/>
      <c r="F37" s="144" t="s">
        <v>288</v>
      </c>
      <c r="G37" s="38"/>
    </row>
    <row r="38" spans="1:10" ht="15" customHeight="1" x14ac:dyDescent="0.25">
      <c r="A38" s="668"/>
      <c r="C38" s="125" t="s">
        <v>25</v>
      </c>
      <c r="D38" s="126"/>
      <c r="E38" s="35"/>
      <c r="F38" s="618" t="s">
        <v>595</v>
      </c>
      <c r="G38" s="620">
        <f>IFERROR(G32*D38,0)</f>
        <v>0</v>
      </c>
      <c r="J38" s="18"/>
    </row>
    <row r="39" spans="1:10" ht="15.75" customHeight="1" x14ac:dyDescent="0.25">
      <c r="A39" s="668"/>
      <c r="C39" s="53" t="s">
        <v>725</v>
      </c>
      <c r="D39" s="126"/>
      <c r="E39" s="35"/>
      <c r="F39" s="619"/>
      <c r="G39" s="621"/>
      <c r="J39" s="18"/>
    </row>
    <row r="40" spans="1:10" ht="18" customHeight="1" x14ac:dyDescent="0.25">
      <c r="A40" s="668"/>
      <c r="C40" s="125" t="s">
        <v>905</v>
      </c>
      <c r="D40" s="411"/>
      <c r="F40" s="123" t="s">
        <v>93</v>
      </c>
      <c r="G40" s="23">
        <f>IFERROR(D38*G34,0)</f>
        <v>0</v>
      </c>
      <c r="J40" s="18"/>
    </row>
    <row r="41" spans="1:10" ht="15.75" thickBot="1" x14ac:dyDescent="0.3">
      <c r="A41" s="668"/>
      <c r="C41" s="123" t="s">
        <v>88</v>
      </c>
      <c r="D41" s="14" t="str">
        <f>IFERROR(VLOOKUP(D35&amp;D36,'Conversion factors'!C88:D103,2,FALSE),"")</f>
        <v/>
      </c>
      <c r="F41" s="124" t="s">
        <v>24</v>
      </c>
      <c r="G41" s="133">
        <f>IFERROR(G38*'Conversion factors'!B48,0)</f>
        <v>0</v>
      </c>
      <c r="J41" s="18"/>
    </row>
    <row r="42" spans="1:10" ht="15.75" thickBot="1" x14ac:dyDescent="0.3">
      <c r="A42" s="668"/>
      <c r="C42" s="124" t="s">
        <v>543</v>
      </c>
      <c r="D42" s="43">
        <f>'Conversion factors'!J30*'Conversion factors'!B4</f>
        <v>6.5529200000000003E-4</v>
      </c>
      <c r="J42" s="18"/>
    </row>
    <row r="43" spans="1:10" x14ac:dyDescent="0.25">
      <c r="A43" s="321"/>
      <c r="G43" s="3"/>
      <c r="J43" s="18"/>
    </row>
    <row r="44" spans="1:10" ht="75.75" thickBot="1" x14ac:dyDescent="0.3">
      <c r="A44" s="322" t="s">
        <v>877</v>
      </c>
      <c r="G44" s="3"/>
      <c r="J44" s="18"/>
    </row>
    <row r="45" spans="1:10" s="119" customFormat="1" x14ac:dyDescent="0.25">
      <c r="A45" s="196"/>
      <c r="G45" s="3"/>
      <c r="J45" s="129"/>
    </row>
    <row r="46" spans="1:10" ht="15.75" thickBot="1" x14ac:dyDescent="0.3">
      <c r="A46" s="85"/>
      <c r="G46" s="3"/>
      <c r="J46" s="18"/>
    </row>
    <row r="47" spans="1:10" ht="18.75" x14ac:dyDescent="0.3">
      <c r="C47" s="632" t="s">
        <v>95</v>
      </c>
      <c r="D47" s="632"/>
      <c r="F47" s="37" t="s">
        <v>94</v>
      </c>
      <c r="G47" s="40"/>
      <c r="J47" s="18"/>
    </row>
    <row r="48" spans="1:10" ht="18.95" customHeight="1" x14ac:dyDescent="0.25">
      <c r="C48" s="649" t="s">
        <v>114</v>
      </c>
      <c r="D48" s="649"/>
      <c r="F48" s="6" t="s">
        <v>124</v>
      </c>
      <c r="G48" s="41"/>
      <c r="J48" s="18"/>
    </row>
    <row r="49" spans="1:10" x14ac:dyDescent="0.25">
      <c r="C49" s="650"/>
      <c r="D49" s="650"/>
      <c r="F49" s="8" t="s">
        <v>160</v>
      </c>
      <c r="G49" s="23">
        <f>D54*D58*24*'Conversion factors'!B4-(Energy!D54*Energy!D59*16*'Conversion factors'!B4+Energy!D54*Energy!D58*6*'Conversion factors'!B4)</f>
        <v>0</v>
      </c>
      <c r="J49" s="18"/>
    </row>
    <row r="50" spans="1:10" ht="15.75" thickBot="1" x14ac:dyDescent="0.3">
      <c r="F50" s="8" t="s">
        <v>752</v>
      </c>
      <c r="G50" s="23">
        <f>IFERROR(D54*D58*24*'Conversion factors'!B4*'Conversion factors'!J30-(Energy!D54*Energy!D59*16*'Conversion factors'!B4*'Conversion factors'!J30+Energy!D54*Energy!D58*6*'Conversion factors'!B4*'Conversion factors'!J30),"")</f>
        <v>0</v>
      </c>
      <c r="J50" s="18"/>
    </row>
    <row r="51" spans="1:10" x14ac:dyDescent="0.25">
      <c r="C51" s="610" t="s">
        <v>115</v>
      </c>
      <c r="D51" s="612" t="s">
        <v>0</v>
      </c>
      <c r="F51" s="8" t="s">
        <v>753</v>
      </c>
      <c r="G51" s="23">
        <f>IFERROR(G50*'Conversion factors'!B41,"")</f>
        <v>0</v>
      </c>
      <c r="J51" s="18"/>
    </row>
    <row r="52" spans="1:10" x14ac:dyDescent="0.25">
      <c r="A52" s="54"/>
      <c r="C52" s="611"/>
      <c r="D52" s="613"/>
      <c r="F52" s="8" t="s">
        <v>89</v>
      </c>
      <c r="G52" s="23">
        <f>IFERROR(IF(G49*D56=0,G49*'Conversion factors'!B35,Energy!G49*Energy!D56),"")</f>
        <v>0</v>
      </c>
      <c r="J52" s="18"/>
    </row>
    <row r="53" spans="1:10" ht="15.75" thickBot="1" x14ac:dyDescent="0.3">
      <c r="C53" s="6" t="s">
        <v>26</v>
      </c>
      <c r="D53" s="7"/>
      <c r="F53" s="8" t="s">
        <v>1</v>
      </c>
      <c r="G53" s="23">
        <f>IFERROR(G52*'Conversion factors'!B41,"")</f>
        <v>0</v>
      </c>
    </row>
    <row r="54" spans="1:10" ht="15.75" customHeight="1" thickBot="1" x14ac:dyDescent="0.3">
      <c r="A54" s="318" t="s">
        <v>713</v>
      </c>
      <c r="C54" s="160" t="s">
        <v>126</v>
      </c>
      <c r="D54" s="368"/>
      <c r="F54" s="8" t="s">
        <v>24</v>
      </c>
      <c r="G54" s="23">
        <f>IFERROR(G51*'Conversion factors'!B48,"")</f>
        <v>0</v>
      </c>
    </row>
    <row r="55" spans="1:10" ht="17.25" customHeight="1" x14ac:dyDescent="0.25">
      <c r="A55" s="324" t="s">
        <v>556</v>
      </c>
      <c r="C55" s="125" t="s">
        <v>127</v>
      </c>
      <c r="D55" s="126"/>
      <c r="F55" s="6" t="s">
        <v>125</v>
      </c>
      <c r="G55" s="323"/>
    </row>
    <row r="56" spans="1:10" ht="15" customHeight="1" x14ac:dyDescent="0.25">
      <c r="A56" s="668" t="s">
        <v>878</v>
      </c>
      <c r="C56" s="125" t="s">
        <v>292</v>
      </c>
      <c r="D56" s="126"/>
      <c r="F56" s="8" t="s">
        <v>160</v>
      </c>
      <c r="G56" s="23">
        <f>IFERROR(D54*D58*24*'Conversion factors'!B4-(Energy!D54*Energy!D60*16*'Conversion factors'!B4*+Energy!D54*Energy!D58*6*'Conversion factors'!B4),"")</f>
        <v>0</v>
      </c>
    </row>
    <row r="57" spans="1:10" x14ac:dyDescent="0.25">
      <c r="A57" s="668"/>
      <c r="C57" s="125" t="s">
        <v>905</v>
      </c>
      <c r="D57" s="411"/>
      <c r="F57" s="48" t="s">
        <v>754</v>
      </c>
      <c r="G57" s="23">
        <f>IFERROR(D54*D58*24*'Conversion factors'!B4*'Conversion factors'!J30-(Energy!D54*Energy!D60*16*'Conversion factors'!B4*'Conversion factors'!J30+Energy!D54*Energy!D58*6*'Conversion factors'!B4*'Conversion factors'!J30),"")</f>
        <v>0</v>
      </c>
    </row>
    <row r="58" spans="1:10" x14ac:dyDescent="0.25">
      <c r="A58" s="668"/>
      <c r="C58" s="369" t="s">
        <v>157</v>
      </c>
      <c r="D58" s="16">
        <f>'Conversion factors'!B63</f>
        <v>171</v>
      </c>
      <c r="F58" s="147" t="s">
        <v>755</v>
      </c>
      <c r="G58" s="155">
        <f>IFERROR(G57*'Conversion factors'!B41,"")</f>
        <v>0</v>
      </c>
    </row>
    <row r="59" spans="1:10" x14ac:dyDescent="0.25">
      <c r="A59" s="668"/>
      <c r="C59" s="370" t="s">
        <v>158</v>
      </c>
      <c r="D59" s="326">
        <f>'Conversion factors'!B64</f>
        <v>57</v>
      </c>
      <c r="F59" s="8" t="s">
        <v>89</v>
      </c>
      <c r="G59" s="23">
        <f>IFERROR(IF(G56*D56=0,G56*'Conversion factors'!B35,Energy!G56*Energy!D56),"")</f>
        <v>0</v>
      </c>
    </row>
    <row r="60" spans="1:10" ht="15.75" thickBot="1" x14ac:dyDescent="0.3">
      <c r="A60" s="317"/>
      <c r="C60" s="371" t="s">
        <v>159</v>
      </c>
      <c r="D60" s="39">
        <v>0</v>
      </c>
      <c r="F60" s="8" t="s">
        <v>1</v>
      </c>
      <c r="G60" s="23">
        <f>IFERROR(G59*'Conversion factors'!B41,"")</f>
        <v>0</v>
      </c>
    </row>
    <row r="61" spans="1:10" ht="15.75" thickBot="1" x14ac:dyDescent="0.3">
      <c r="A61" s="325" t="s">
        <v>726</v>
      </c>
      <c r="F61" s="36" t="s">
        <v>24</v>
      </c>
      <c r="G61" s="154">
        <f>IFERROR(G58*'Conversion factors'!B48,"")</f>
        <v>0</v>
      </c>
    </row>
    <row r="62" spans="1:10" x14ac:dyDescent="0.25">
      <c r="F62" s="144" t="s">
        <v>134</v>
      </c>
      <c r="G62" s="203"/>
    </row>
    <row r="63" spans="1:10" ht="30" x14ac:dyDescent="0.25">
      <c r="F63" s="201" t="s">
        <v>120</v>
      </c>
      <c r="G63" s="155">
        <f>IFERROR(G57-G50,"")</f>
        <v>0</v>
      </c>
    </row>
    <row r="64" spans="1:10" ht="30" x14ac:dyDescent="0.25">
      <c r="F64" s="201" t="s">
        <v>121</v>
      </c>
      <c r="G64" s="155">
        <f>IFERROR(G58-G51,"")</f>
        <v>0</v>
      </c>
    </row>
    <row r="65" spans="6:7" ht="30" x14ac:dyDescent="0.25">
      <c r="F65" s="201" t="s">
        <v>122</v>
      </c>
      <c r="G65" s="155">
        <f>IFERROR(G59-G52,"")</f>
        <v>0</v>
      </c>
    </row>
    <row r="66" spans="6:7" ht="30" x14ac:dyDescent="0.25">
      <c r="F66" s="201" t="s">
        <v>123</v>
      </c>
      <c r="G66" s="155">
        <f>IFERROR(G60-G53,"")</f>
        <v>0</v>
      </c>
    </row>
    <row r="67" spans="6:7" ht="15.75" thickBot="1" x14ac:dyDescent="0.3">
      <c r="F67" s="202" t="s">
        <v>135</v>
      </c>
      <c r="G67" s="133">
        <f>IFERROR(G61-G54,"")</f>
        <v>0</v>
      </c>
    </row>
    <row r="70" spans="6:7" ht="15.75" thickBot="1" x14ac:dyDescent="0.3"/>
    <row r="71" spans="6:7" x14ac:dyDescent="0.25">
      <c r="F71" s="37" t="s">
        <v>288</v>
      </c>
      <c r="G71" s="38"/>
    </row>
    <row r="72" spans="6:7" x14ac:dyDescent="0.25">
      <c r="F72" s="6" t="s">
        <v>124</v>
      </c>
      <c r="G72" s="19"/>
    </row>
    <row r="73" spans="6:7" ht="30" x14ac:dyDescent="0.25">
      <c r="F73" s="57" t="s">
        <v>595</v>
      </c>
      <c r="G73" s="155" t="str">
        <f>IFERROR(G51*D55/D54,"")</f>
        <v/>
      </c>
    </row>
    <row r="74" spans="6:7" x14ac:dyDescent="0.25">
      <c r="F74" s="8" t="s">
        <v>93</v>
      </c>
      <c r="G74" s="23" t="str">
        <f>IFERROR(D55*G53/D54,"")</f>
        <v/>
      </c>
    </row>
    <row r="75" spans="6:7" ht="15.75" thickBot="1" x14ac:dyDescent="0.3">
      <c r="F75" s="9" t="s">
        <v>24</v>
      </c>
      <c r="G75" s="133" t="str">
        <f>IFERROR(G73*'Conversion factors'!B48,"")</f>
        <v/>
      </c>
    </row>
    <row r="76" spans="6:7" x14ac:dyDescent="0.25">
      <c r="F76" s="6" t="s">
        <v>125</v>
      </c>
      <c r="G76" s="323"/>
    </row>
    <row r="77" spans="6:7" ht="30" x14ac:dyDescent="0.25">
      <c r="F77" s="57" t="s">
        <v>595</v>
      </c>
      <c r="G77" s="155" t="str">
        <f>IFERROR(G58*D55/D54,"")</f>
        <v/>
      </c>
    </row>
    <row r="78" spans="6:7" x14ac:dyDescent="0.25">
      <c r="F78" s="8" t="s">
        <v>93</v>
      </c>
      <c r="G78" s="23" t="str">
        <f>IFERROR(D55*G60/D54,"")</f>
        <v/>
      </c>
    </row>
    <row r="79" spans="6:7" ht="15.75" thickBot="1" x14ac:dyDescent="0.3">
      <c r="F79" s="9" t="s">
        <v>24</v>
      </c>
      <c r="G79" s="133" t="str">
        <f>IFERROR(G77*'Conversion factors'!B48,"")</f>
        <v/>
      </c>
    </row>
    <row r="80" spans="6:7" ht="15.75" thickBot="1" x14ac:dyDescent="0.3">
      <c r="F80" s="6" t="s">
        <v>134</v>
      </c>
      <c r="G80" s="323"/>
    </row>
    <row r="81" spans="1:10" x14ac:dyDescent="0.25">
      <c r="F81" s="131" t="s">
        <v>136</v>
      </c>
      <c r="G81" s="22" t="str">
        <f>IFERROR(G77-G73,"")</f>
        <v/>
      </c>
    </row>
    <row r="82" spans="1:10" x14ac:dyDescent="0.25">
      <c r="F82" s="123" t="s">
        <v>137</v>
      </c>
      <c r="G82" s="23" t="str">
        <f>IFERROR(G78-G74,"")</f>
        <v/>
      </c>
    </row>
    <row r="83" spans="1:10" ht="15.75" thickBot="1" x14ac:dyDescent="0.3">
      <c r="F83" s="124" t="s">
        <v>135</v>
      </c>
      <c r="G83" s="133" t="str">
        <f>IFERROR(G79-G75,"")</f>
        <v/>
      </c>
    </row>
    <row r="85" spans="1:10" x14ac:dyDescent="0.25">
      <c r="G85" s="3"/>
    </row>
    <row r="86" spans="1:10" ht="26.25" x14ac:dyDescent="0.25">
      <c r="C86" s="622" t="s">
        <v>139</v>
      </c>
      <c r="D86" s="622"/>
      <c r="E86" s="622"/>
      <c r="F86" s="622"/>
      <c r="G86" s="622"/>
    </row>
    <row r="87" spans="1:10" ht="15.75" thickBot="1" x14ac:dyDescent="0.3">
      <c r="G87" s="3"/>
    </row>
    <row r="88" spans="1:10" ht="18.95" customHeight="1" x14ac:dyDescent="0.3">
      <c r="C88" s="625" t="s">
        <v>110</v>
      </c>
      <c r="D88" s="637"/>
      <c r="J88" s="18"/>
    </row>
    <row r="89" spans="1:10" ht="15.75" customHeight="1" thickBot="1" x14ac:dyDescent="0.3">
      <c r="C89" s="614" t="s">
        <v>96</v>
      </c>
      <c r="D89" s="615"/>
      <c r="E89" s="35"/>
      <c r="J89" s="18"/>
    </row>
    <row r="90" spans="1:10" ht="15.75" thickBot="1" x14ac:dyDescent="0.3">
      <c r="A90" s="197"/>
      <c r="C90" s="119"/>
      <c r="D90" s="35"/>
      <c r="E90" s="35"/>
      <c r="J90" s="18"/>
    </row>
    <row r="91" spans="1:10" x14ac:dyDescent="0.25">
      <c r="A91" s="197"/>
      <c r="C91" s="610" t="s">
        <v>96</v>
      </c>
      <c r="D91" s="612" t="s">
        <v>0</v>
      </c>
      <c r="E91" s="35"/>
      <c r="J91" s="18"/>
    </row>
    <row r="92" spans="1:10" ht="15.75" thickBot="1" x14ac:dyDescent="0.3">
      <c r="A92" s="197"/>
      <c r="C92" s="611"/>
      <c r="D92" s="613"/>
      <c r="E92" s="35"/>
      <c r="J92" s="18"/>
    </row>
    <row r="93" spans="1:10" ht="15.75" thickBot="1" x14ac:dyDescent="0.3">
      <c r="A93" s="197"/>
      <c r="C93" s="37" t="s">
        <v>26</v>
      </c>
      <c r="D93" s="45"/>
      <c r="E93" s="35"/>
    </row>
    <row r="94" spans="1:10" ht="18.75" customHeight="1" thickBot="1" x14ac:dyDescent="0.3">
      <c r="A94" s="245" t="s">
        <v>713</v>
      </c>
      <c r="C94" s="160" t="s">
        <v>718</v>
      </c>
      <c r="D94" s="374"/>
      <c r="E94" s="35"/>
    </row>
    <row r="95" spans="1:10" ht="30" customHeight="1" thickBot="1" x14ac:dyDescent="0.3">
      <c r="A95" s="230" t="s">
        <v>560</v>
      </c>
      <c r="C95" s="146" t="s">
        <v>597</v>
      </c>
      <c r="D95" s="367"/>
      <c r="E95" s="35"/>
      <c r="F95" s="37" t="s">
        <v>288</v>
      </c>
      <c r="G95" s="42"/>
    </row>
    <row r="96" spans="1:10" ht="17.25" customHeight="1" x14ac:dyDescent="0.25">
      <c r="A96" s="666" t="s">
        <v>879</v>
      </c>
      <c r="C96" s="125" t="s">
        <v>596</v>
      </c>
      <c r="D96" s="375"/>
      <c r="E96" s="35"/>
      <c r="F96" s="163" t="s">
        <v>727</v>
      </c>
      <c r="G96" s="164">
        <f>IFERROR(D99-(D99-D99*D95*0.02),"")</f>
        <v>0</v>
      </c>
    </row>
    <row r="97" spans="1:10" x14ac:dyDescent="0.25">
      <c r="A97" s="666"/>
      <c r="C97" s="125" t="s">
        <v>905</v>
      </c>
      <c r="D97" s="411"/>
      <c r="E97" s="35"/>
      <c r="F97" s="123" t="s">
        <v>136</v>
      </c>
      <c r="G97" s="23">
        <f>IFERROR(G96*'Conversion factors'!H26,"")</f>
        <v>0</v>
      </c>
      <c r="J97" s="18"/>
    </row>
    <row r="98" spans="1:10" x14ac:dyDescent="0.25">
      <c r="A98" s="666"/>
      <c r="C98" s="369" t="s">
        <v>97</v>
      </c>
      <c r="D98" s="23">
        <f>'Conversion factors'!B113</f>
        <v>29.8</v>
      </c>
      <c r="F98" s="123" t="s">
        <v>137</v>
      </c>
      <c r="G98" s="23">
        <f>IFERROR(IF(G96*D96=0,G96*'Conversion factors'!B39,Energy!G96*Energy!D96),"")</f>
        <v>0</v>
      </c>
      <c r="J98" s="18"/>
    </row>
    <row r="99" spans="1:10" ht="15.75" thickBot="1" x14ac:dyDescent="0.3">
      <c r="A99" s="666"/>
      <c r="C99" s="371" t="s">
        <v>155</v>
      </c>
      <c r="D99" s="133">
        <f>D94*D98</f>
        <v>0</v>
      </c>
      <c r="F99" s="124" t="s">
        <v>24</v>
      </c>
      <c r="G99" s="133">
        <f>IFERROR(G97*'Conversion factors'!B48,"")</f>
        <v>0</v>
      </c>
    </row>
    <row r="100" spans="1:10" s="119" customFormat="1" ht="15.75" thickBot="1" x14ac:dyDescent="0.3">
      <c r="A100" s="667"/>
    </row>
    <row r="101" spans="1:10" s="119" customFormat="1" x14ac:dyDescent="0.25">
      <c r="A101" s="196"/>
    </row>
    <row r="102" spans="1:10" ht="15.75" thickBot="1" x14ac:dyDescent="0.3">
      <c r="G102" s="3"/>
    </row>
    <row r="103" spans="1:10" ht="18" customHeight="1" x14ac:dyDescent="0.3">
      <c r="C103" s="625" t="s">
        <v>113</v>
      </c>
      <c r="D103" s="626"/>
    </row>
    <row r="104" spans="1:10" ht="15" customHeight="1" x14ac:dyDescent="0.25">
      <c r="C104" s="627" t="s">
        <v>111</v>
      </c>
      <c r="D104" s="617"/>
      <c r="J104" s="18"/>
    </row>
    <row r="105" spans="1:10" ht="15.75" thickBot="1" x14ac:dyDescent="0.3">
      <c r="A105" s="197"/>
      <c r="C105" s="119"/>
      <c r="D105" s="35"/>
      <c r="E105" s="35"/>
      <c r="J105" s="18"/>
    </row>
    <row r="106" spans="1:10" x14ac:dyDescent="0.25">
      <c r="A106" s="197"/>
      <c r="C106" s="628" t="s">
        <v>112</v>
      </c>
      <c r="D106" s="629" t="s">
        <v>0</v>
      </c>
      <c r="E106" s="35"/>
      <c r="F106" s="6" t="s">
        <v>288</v>
      </c>
      <c r="G106" s="19"/>
      <c r="J106" s="18"/>
    </row>
    <row r="107" spans="1:10" ht="15.75" thickBot="1" x14ac:dyDescent="0.3">
      <c r="A107" s="197"/>
      <c r="C107" s="611"/>
      <c r="D107" s="630"/>
      <c r="E107" s="35"/>
      <c r="F107" s="8" t="s">
        <v>731</v>
      </c>
      <c r="G107" s="23">
        <f>D109-D112</f>
        <v>0</v>
      </c>
      <c r="J107" s="18"/>
    </row>
    <row r="108" spans="1:10" ht="15" customHeight="1" thickBot="1" x14ac:dyDescent="0.3">
      <c r="A108" s="245" t="s">
        <v>713</v>
      </c>
      <c r="C108" s="6" t="s">
        <v>26</v>
      </c>
      <c r="D108" s="34"/>
      <c r="E108" s="35"/>
      <c r="F108" s="8" t="s">
        <v>613</v>
      </c>
      <c r="G108" s="23">
        <f>IFERROR((D109-D112)*'Conversion factors'!J30,"")</f>
        <v>0</v>
      </c>
    </row>
    <row r="109" spans="1:10" ht="18" customHeight="1" x14ac:dyDescent="0.25">
      <c r="A109" s="230" t="s">
        <v>560</v>
      </c>
      <c r="C109" s="92" t="s">
        <v>719</v>
      </c>
      <c r="D109" s="366"/>
      <c r="E109" s="35"/>
      <c r="F109" s="8" t="s">
        <v>136</v>
      </c>
      <c r="G109" s="23">
        <f>IFERROR(G108*'Conversion factors'!B41,"")</f>
        <v>0</v>
      </c>
    </row>
    <row r="110" spans="1:10" ht="15.75" customHeight="1" x14ac:dyDescent="0.25">
      <c r="A110" s="666" t="s">
        <v>880</v>
      </c>
      <c r="C110" s="125" t="s">
        <v>292</v>
      </c>
      <c r="D110" s="126"/>
      <c r="F110" s="147" t="s">
        <v>89</v>
      </c>
      <c r="G110" s="155">
        <f>IFERROR(IF(G107*D110=0,G107*'Conversion factors'!B35,G107*D110),"")</f>
        <v>0</v>
      </c>
    </row>
    <row r="111" spans="1:10" x14ac:dyDescent="0.25">
      <c r="A111" s="666"/>
      <c r="C111" s="125" t="s">
        <v>905</v>
      </c>
      <c r="D111" s="411"/>
      <c r="F111" s="8" t="s">
        <v>137</v>
      </c>
      <c r="G111" s="23">
        <f>IFERROR(G110*'Conversion factors'!B41,"")</f>
        <v>0</v>
      </c>
    </row>
    <row r="112" spans="1:10" ht="30.75" thickBot="1" x14ac:dyDescent="0.3">
      <c r="A112" s="666"/>
      <c r="C112" s="372" t="s">
        <v>730</v>
      </c>
      <c r="D112" s="373">
        <f>D109-(D109*0.1)</f>
        <v>0</v>
      </c>
      <c r="F112" s="49" t="s">
        <v>24</v>
      </c>
      <c r="G112" s="156">
        <f>IFERROR(G109*'Conversion factors'!B48,"")</f>
        <v>0</v>
      </c>
    </row>
    <row r="113" spans="1:7" ht="15.75" thickBot="1" x14ac:dyDescent="0.3">
      <c r="A113" s="667"/>
    </row>
    <row r="114" spans="1:7" s="119" customFormat="1" x14ac:dyDescent="0.25">
      <c r="A114" s="196"/>
    </row>
    <row r="115" spans="1:7" s="119" customFormat="1" ht="15.75" thickBot="1" x14ac:dyDescent="0.3">
      <c r="A115" s="196"/>
    </row>
    <row r="116" spans="1:7" ht="18.75" x14ac:dyDescent="0.3">
      <c r="C116" s="200" t="s">
        <v>559</v>
      </c>
      <c r="D116" s="198"/>
      <c r="E116" s="198"/>
      <c r="F116" s="198"/>
      <c r="G116" s="199"/>
    </row>
    <row r="117" spans="1:7" ht="26.1" customHeight="1" x14ac:dyDescent="0.25">
      <c r="C117" s="656" t="s">
        <v>598</v>
      </c>
      <c r="D117" s="657"/>
      <c r="E117" s="657"/>
      <c r="F117" s="657"/>
      <c r="G117" s="658"/>
    </row>
    <row r="118" spans="1:7" ht="26.1" customHeight="1" x14ac:dyDescent="0.25">
      <c r="C118" s="656"/>
      <c r="D118" s="657"/>
      <c r="E118" s="657"/>
      <c r="F118" s="657"/>
      <c r="G118" s="658"/>
    </row>
    <row r="119" spans="1:7" ht="26.1" customHeight="1" x14ac:dyDescent="0.25">
      <c r="C119" s="656"/>
      <c r="D119" s="657"/>
      <c r="E119" s="657"/>
      <c r="F119" s="657"/>
      <c r="G119" s="658"/>
    </row>
    <row r="120" spans="1:7" ht="15" customHeight="1" x14ac:dyDescent="0.25">
      <c r="C120" s="656"/>
      <c r="D120" s="657"/>
      <c r="E120" s="657"/>
      <c r="F120" s="657"/>
      <c r="G120" s="658"/>
    </row>
    <row r="121" spans="1:7" ht="15" customHeight="1" x14ac:dyDescent="0.25">
      <c r="C121" s="656"/>
      <c r="D121" s="657"/>
      <c r="E121" s="657"/>
      <c r="F121" s="657"/>
      <c r="G121" s="658"/>
    </row>
    <row r="122" spans="1:7" ht="15" customHeight="1" thickBot="1" x14ac:dyDescent="0.3">
      <c r="C122" s="659"/>
      <c r="D122" s="660"/>
      <c r="E122" s="660"/>
      <c r="F122" s="660"/>
      <c r="G122" s="661"/>
    </row>
    <row r="123" spans="1:7" ht="15.75" thickBot="1" x14ac:dyDescent="0.3"/>
    <row r="124" spans="1:7" ht="15.95" customHeight="1" thickBot="1" x14ac:dyDescent="0.35">
      <c r="A124" s="245" t="s">
        <v>713</v>
      </c>
      <c r="C124" s="625" t="s">
        <v>151</v>
      </c>
      <c r="D124" s="626"/>
    </row>
    <row r="125" spans="1:7" ht="45.95" customHeight="1" x14ac:dyDescent="0.25">
      <c r="A125" s="230" t="s">
        <v>560</v>
      </c>
      <c r="C125" s="651" t="s">
        <v>599</v>
      </c>
      <c r="D125" s="617"/>
    </row>
    <row r="126" spans="1:7" ht="15" customHeight="1" thickBot="1" x14ac:dyDescent="0.3">
      <c r="A126" s="666" t="s">
        <v>164</v>
      </c>
      <c r="C126" s="119"/>
      <c r="D126" s="35"/>
    </row>
    <row r="127" spans="1:7" ht="15.75" customHeight="1" x14ac:dyDescent="0.25">
      <c r="A127" s="666"/>
      <c r="C127" s="652"/>
      <c r="D127" s="629" t="s">
        <v>0</v>
      </c>
    </row>
    <row r="128" spans="1:7" ht="15" customHeight="1" x14ac:dyDescent="0.25">
      <c r="A128" s="666"/>
      <c r="C128" s="653"/>
      <c r="D128" s="630"/>
    </row>
    <row r="129" spans="1:10" ht="18" customHeight="1" thickBot="1" x14ac:dyDescent="0.3">
      <c r="A129" s="666"/>
      <c r="C129" s="103" t="s">
        <v>26</v>
      </c>
      <c r="D129" s="34"/>
      <c r="F129" s="52" t="s">
        <v>152</v>
      </c>
      <c r="G129" s="19"/>
    </row>
    <row r="130" spans="1:10" ht="23.25" customHeight="1" x14ac:dyDescent="0.25">
      <c r="A130" s="189"/>
      <c r="C130" s="662" t="s">
        <v>756</v>
      </c>
      <c r="D130" s="664"/>
      <c r="F130" s="20" t="s">
        <v>732</v>
      </c>
      <c r="G130" s="164">
        <f>IFERROR(D130-D132,"")</f>
        <v>0</v>
      </c>
    </row>
    <row r="131" spans="1:10" ht="23.25" customHeight="1" x14ac:dyDescent="0.25">
      <c r="A131" s="666" t="s">
        <v>600</v>
      </c>
      <c r="C131" s="663"/>
      <c r="D131" s="665"/>
      <c r="F131" s="48" t="s">
        <v>614</v>
      </c>
      <c r="G131" s="155">
        <f>IFERROR(G130*'Conversion factors'!J30,"")</f>
        <v>0</v>
      </c>
    </row>
    <row r="132" spans="1:10" s="231" customFormat="1" ht="24.75" customHeight="1" x14ac:dyDescent="0.25">
      <c r="A132" s="666"/>
      <c r="C132" s="663" t="s">
        <v>757</v>
      </c>
      <c r="D132" s="665"/>
      <c r="F132" s="48" t="s">
        <v>136</v>
      </c>
      <c r="G132" s="155">
        <f>IFERROR(G131*'Conversion factors'!B45,"")</f>
        <v>0</v>
      </c>
    </row>
    <row r="133" spans="1:10" s="231" customFormat="1" ht="24.75" customHeight="1" x14ac:dyDescent="0.25">
      <c r="A133" s="228"/>
      <c r="C133" s="663"/>
      <c r="D133" s="665"/>
      <c r="F133" s="48" t="s">
        <v>154</v>
      </c>
      <c r="G133" s="155">
        <f>IFERROR(IF(G130*D134=0,G130*'Conversion factors'!B35,G130*D134),"")</f>
        <v>0</v>
      </c>
    </row>
    <row r="134" spans="1:10" ht="16.5" customHeight="1" x14ac:dyDescent="0.25">
      <c r="A134" s="666" t="s">
        <v>881</v>
      </c>
      <c r="C134" s="422" t="s">
        <v>292</v>
      </c>
      <c r="D134" s="423"/>
      <c r="F134" s="48" t="s">
        <v>137</v>
      </c>
      <c r="G134" s="155">
        <f>IFERROR(G133*'Conversion factors'!B45,"")</f>
        <v>0</v>
      </c>
    </row>
    <row r="135" spans="1:10" ht="19.5" customHeight="1" thickBot="1" x14ac:dyDescent="0.3">
      <c r="A135" s="666"/>
      <c r="C135" s="420" t="s">
        <v>905</v>
      </c>
      <c r="D135" s="421"/>
      <c r="F135" s="232" t="s">
        <v>24</v>
      </c>
      <c r="G135" s="327">
        <f>IFERROR(G132*'Conversion factors'!B48,"")</f>
        <v>0</v>
      </c>
    </row>
    <row r="136" spans="1:10" x14ac:dyDescent="0.25">
      <c r="A136" s="666"/>
      <c r="J136" s="18"/>
    </row>
    <row r="137" spans="1:10" ht="27" thickBot="1" x14ac:dyDescent="0.3">
      <c r="A137" s="667"/>
      <c r="C137" s="631" t="s">
        <v>138</v>
      </c>
      <c r="D137" s="631"/>
      <c r="E137" s="631"/>
      <c r="F137" s="631"/>
      <c r="G137" s="631"/>
    </row>
    <row r="139" spans="1:10" ht="15.75" thickBot="1" x14ac:dyDescent="0.3">
      <c r="C139" s="21"/>
    </row>
    <row r="140" spans="1:10" ht="26.25" customHeight="1" thickBot="1" x14ac:dyDescent="0.3">
      <c r="A140" s="245" t="s">
        <v>713</v>
      </c>
      <c r="C140" s="646" t="str">
        <f>"Congratulations, you have completed "&amp; COUNT(D19,D36,D95,D54,D109,D133) &amp; " project(s)!"</f>
        <v>Congratulations, you have completed 0 project(s)!</v>
      </c>
      <c r="D140" s="647"/>
      <c r="E140" s="647"/>
      <c r="F140" s="647"/>
      <c r="G140" s="648"/>
      <c r="I140" s="184">
        <f>COUNT(D19,D36,D95,D54,D109,D133)</f>
        <v>0</v>
      </c>
    </row>
    <row r="141" spans="1:10" ht="15.75" thickBot="1" x14ac:dyDescent="0.3"/>
    <row r="142" spans="1:10" ht="18.75" x14ac:dyDescent="0.3">
      <c r="C142" s="165"/>
      <c r="D142" s="166"/>
      <c r="F142" s="32"/>
      <c r="G142" s="26"/>
    </row>
    <row r="143" spans="1:10" x14ac:dyDescent="0.25">
      <c r="C143" s="167"/>
      <c r="D143" s="5"/>
      <c r="F143" s="33"/>
      <c r="G143" s="28"/>
    </row>
    <row r="144" spans="1:10" x14ac:dyDescent="0.25">
      <c r="C144" s="644" t="str">
        <f>TEXT(ROUND(G155,0),"#,###,###")&amp;" lbs of CO2"&amp;"                                      "&amp;TEXT(ROUND(G156,0),"#,###,###")&amp; " dollars"</f>
        <v xml:space="preserve"> lbs of CO2                                       dollars</v>
      </c>
      <c r="D144" s="645"/>
      <c r="F144" s="623" t="str">
        <f>"Your CO2 saving is equal to "&amp;TEXT(ROUND(G157,0),"#,###,###")&amp;" tree seedlings growing for 10 years"</f>
        <v>Your CO2 saving is equal to  tree seedlings growing for 10 years</v>
      </c>
      <c r="G144" s="624"/>
    </row>
    <row r="145" spans="1:7" x14ac:dyDescent="0.25">
      <c r="C145" s="168"/>
      <c r="D145" s="5"/>
      <c r="F145" s="33"/>
      <c r="G145" s="28"/>
    </row>
    <row r="146" spans="1:7" x14ac:dyDescent="0.25">
      <c r="C146" s="168"/>
      <c r="D146" s="5"/>
      <c r="F146" s="33"/>
      <c r="G146" s="28"/>
    </row>
    <row r="147" spans="1:7" x14ac:dyDescent="0.25">
      <c r="C147" s="168"/>
      <c r="D147" s="5"/>
      <c r="F147" s="33"/>
      <c r="G147" s="28"/>
    </row>
    <row r="148" spans="1:7" x14ac:dyDescent="0.25">
      <c r="C148" s="168"/>
      <c r="D148" s="5"/>
      <c r="F148" s="33"/>
      <c r="G148" s="28"/>
    </row>
    <row r="149" spans="1:7" x14ac:dyDescent="0.25">
      <c r="C149" s="168"/>
      <c r="D149" s="5"/>
      <c r="F149" s="33"/>
      <c r="G149" s="28"/>
    </row>
    <row r="150" spans="1:7" ht="15.75" thickBot="1" x14ac:dyDescent="0.3">
      <c r="C150" s="169"/>
      <c r="D150" s="170"/>
      <c r="F150" s="30"/>
      <c r="G150" s="31"/>
    </row>
    <row r="152" spans="1:7" ht="15.75" thickBot="1" x14ac:dyDescent="0.3">
      <c r="C152" s="6" t="s">
        <v>156</v>
      </c>
      <c r="D152" s="6"/>
      <c r="F152" s="6" t="s">
        <v>133</v>
      </c>
      <c r="G152" s="6"/>
    </row>
    <row r="153" spans="1:7" x14ac:dyDescent="0.25">
      <c r="A153" s="12"/>
      <c r="C153" s="20" t="s">
        <v>129</v>
      </c>
      <c r="D153" s="22">
        <f>IFERROR(G17+G32+G64,"")</f>
        <v>0</v>
      </c>
      <c r="F153" s="8" t="s">
        <v>130</v>
      </c>
      <c r="G153" s="23">
        <f>IFERROR(ROUND(G109+G97+G132,2),"")</f>
        <v>0</v>
      </c>
    </row>
    <row r="154" spans="1:7" x14ac:dyDescent="0.25">
      <c r="C154" s="8" t="s">
        <v>128</v>
      </c>
      <c r="D154" s="23">
        <f>IFERROR(G19+G34+G66,"")</f>
        <v>0</v>
      </c>
      <c r="F154" s="8" t="s">
        <v>270</v>
      </c>
      <c r="G154" s="23">
        <f>IFERROR(ROUND(G111+G98+G134,2),"")</f>
        <v>0</v>
      </c>
    </row>
    <row r="155" spans="1:7" ht="15.75" thickBot="1" x14ac:dyDescent="0.3">
      <c r="C155" s="9" t="s">
        <v>24</v>
      </c>
      <c r="D155" s="24">
        <f>IFERROR(G20+G35+G67,"")</f>
        <v>0</v>
      </c>
      <c r="F155" s="8" t="s">
        <v>131</v>
      </c>
      <c r="G155" s="23">
        <f>IFERROR(D153+G153,"")</f>
        <v>0</v>
      </c>
    </row>
    <row r="156" spans="1:7" x14ac:dyDescent="0.25">
      <c r="F156" s="8" t="s">
        <v>132</v>
      </c>
      <c r="G156" s="23">
        <f>IFERROR(D154+G154,"")</f>
        <v>0</v>
      </c>
    </row>
    <row r="157" spans="1:7" ht="15.75" thickBot="1" x14ac:dyDescent="0.3">
      <c r="F157" s="9" t="s">
        <v>24</v>
      </c>
      <c r="G157" s="24">
        <f>IFERROR(ROUND(G25+G41+G99+G83+G112+G135,2),0)</f>
        <v>0</v>
      </c>
    </row>
    <row r="161" spans="1:7" x14ac:dyDescent="0.25">
      <c r="A161" s="119"/>
    </row>
    <row r="162" spans="1:7" x14ac:dyDescent="0.25">
      <c r="A162" s="119"/>
    </row>
    <row r="163" spans="1:7" ht="26.25" customHeight="1" x14ac:dyDescent="0.25">
      <c r="A163" s="119"/>
      <c r="C163" s="654" t="str">
        <f>"Wondering what would be the impact if "&amp;Introduction!B33&amp;" schools implemented the same projects as your school did?"</f>
        <v>Wondering what would be the impact if  schools implemented the same projects as your school did?</v>
      </c>
      <c r="D163" s="655"/>
      <c r="E163" s="655"/>
      <c r="F163" s="655"/>
      <c r="G163" s="655"/>
    </row>
    <row r="164" spans="1:7" x14ac:dyDescent="0.25">
      <c r="A164" s="119"/>
    </row>
    <row r="165" spans="1:7" ht="15.75" thickBot="1" x14ac:dyDescent="0.3">
      <c r="A165" s="119"/>
    </row>
    <row r="166" spans="1:7" ht="18.75" x14ac:dyDescent="0.3">
      <c r="A166" s="119"/>
      <c r="C166" s="165"/>
      <c r="D166" s="166"/>
      <c r="F166" s="171"/>
      <c r="G166" s="166"/>
    </row>
    <row r="167" spans="1:7" x14ac:dyDescent="0.25">
      <c r="A167" s="119"/>
      <c r="C167" s="167"/>
      <c r="D167" s="5"/>
      <c r="F167" s="120"/>
      <c r="G167" s="5"/>
    </row>
    <row r="168" spans="1:7" x14ac:dyDescent="0.25">
      <c r="C168" s="642" t="str">
        <f>TEXT(ROUND(D177,0),"#,###,###,###")&amp;" lbs of CO2"&amp;"                                                 "&amp;TEXT(ROUND(D178,0),"#,###,###,###")&amp; " dollars"</f>
        <v xml:space="preserve"> lbs of CO2                                                  dollars</v>
      </c>
      <c r="D168" s="643"/>
      <c r="F168" s="640" t="str">
        <f>"Your CO2 saving is equal to "&amp;TEXT(ROUND(D179,0),"#,###,###,###")&amp;" tree seedlings growing for 10 years"</f>
        <v>Your CO2 saving is equal to  tree seedlings growing for 10 years</v>
      </c>
      <c r="G168" s="641"/>
    </row>
    <row r="169" spans="1:7" x14ac:dyDescent="0.25">
      <c r="C169" s="168"/>
      <c r="D169" s="5"/>
      <c r="F169" s="120"/>
      <c r="G169" s="5"/>
    </row>
    <row r="170" spans="1:7" x14ac:dyDescent="0.25">
      <c r="C170" s="168"/>
      <c r="D170" s="5"/>
      <c r="F170" s="120"/>
      <c r="G170" s="5"/>
    </row>
    <row r="171" spans="1:7" x14ac:dyDescent="0.25">
      <c r="C171" s="168"/>
      <c r="D171" s="5"/>
      <c r="F171" s="120"/>
      <c r="G171" s="5"/>
    </row>
    <row r="172" spans="1:7" x14ac:dyDescent="0.25">
      <c r="C172" s="168"/>
      <c r="D172" s="5"/>
      <c r="F172" s="120"/>
      <c r="G172" s="5"/>
    </row>
    <row r="173" spans="1:7" x14ac:dyDescent="0.25">
      <c r="C173" s="168"/>
      <c r="D173" s="5"/>
      <c r="F173" s="120"/>
      <c r="G173" s="5"/>
    </row>
    <row r="174" spans="1:7" ht="15.75" thickBot="1" x14ac:dyDescent="0.3">
      <c r="C174" s="169"/>
      <c r="D174" s="170"/>
      <c r="F174" s="169"/>
      <c r="G174" s="170"/>
    </row>
    <row r="176" spans="1:7" x14ac:dyDescent="0.25">
      <c r="C176" s="6" t="s">
        <v>775</v>
      </c>
      <c r="D176" s="6"/>
    </row>
    <row r="177" spans="3:4" x14ac:dyDescent="0.25">
      <c r="C177" s="8" t="s">
        <v>131</v>
      </c>
      <c r="D177" s="23">
        <f>IFERROR(G155*Introduction!B33,"")</f>
        <v>0</v>
      </c>
    </row>
    <row r="178" spans="3:4" x14ac:dyDescent="0.25">
      <c r="C178" s="8" t="s">
        <v>132</v>
      </c>
      <c r="D178" s="23">
        <f>IFERROR(G156*Introduction!B33,"")</f>
        <v>0</v>
      </c>
    </row>
    <row r="179" spans="3:4" ht="15.75" thickBot="1" x14ac:dyDescent="0.3">
      <c r="C179" s="9" t="s">
        <v>24</v>
      </c>
      <c r="D179" s="24">
        <f>IFERROR(G157*Introduction!B33,"")</f>
        <v>0</v>
      </c>
    </row>
  </sheetData>
  <protectedRanges>
    <protectedRange sqref="D130:D134" name="ProjectSix"/>
    <protectedRange sqref="D109:D110" name="ProjectFive"/>
    <protectedRange sqref="D94:D96" name="ProjectFour"/>
    <protectedRange sqref="D54:D56" name="ProjectThree"/>
    <protectedRange sqref="D35:D39" name="ProjectTwo"/>
    <protectedRange sqref="D18:D22" name="ProjectOne"/>
  </protectedRanges>
  <mergeCells count="52">
    <mergeCell ref="A110:A113"/>
    <mergeCell ref="A134:A137"/>
    <mergeCell ref="A131:A132"/>
    <mergeCell ref="A126:A129"/>
    <mergeCell ref="A18:A20"/>
    <mergeCell ref="A32:A34"/>
    <mergeCell ref="A36:A42"/>
    <mergeCell ref="A56:A59"/>
    <mergeCell ref="A96:A100"/>
    <mergeCell ref="A22:A26"/>
    <mergeCell ref="F168:G168"/>
    <mergeCell ref="C168:D168"/>
    <mergeCell ref="C144:D144"/>
    <mergeCell ref="C140:G140"/>
    <mergeCell ref="C48:D49"/>
    <mergeCell ref="C124:D124"/>
    <mergeCell ref="C125:D125"/>
    <mergeCell ref="C127:C128"/>
    <mergeCell ref="D127:D128"/>
    <mergeCell ref="C163:G163"/>
    <mergeCell ref="C117:G122"/>
    <mergeCell ref="C130:C131"/>
    <mergeCell ref="D130:D131"/>
    <mergeCell ref="C132:C133"/>
    <mergeCell ref="D132:D133"/>
    <mergeCell ref="C3:G3"/>
    <mergeCell ref="C1:G1"/>
    <mergeCell ref="C86:G86"/>
    <mergeCell ref="F144:G144"/>
    <mergeCell ref="C51:C52"/>
    <mergeCell ref="D51:D52"/>
    <mergeCell ref="C103:D103"/>
    <mergeCell ref="C104:D104"/>
    <mergeCell ref="C106:C107"/>
    <mergeCell ref="D106:D107"/>
    <mergeCell ref="C137:G137"/>
    <mergeCell ref="C47:D47"/>
    <mergeCell ref="C12:D12"/>
    <mergeCell ref="C29:D29"/>
    <mergeCell ref="C88:D88"/>
    <mergeCell ref="C13:D13"/>
    <mergeCell ref="C10:G10"/>
    <mergeCell ref="C15:C16"/>
    <mergeCell ref="D15:D16"/>
    <mergeCell ref="C89:D89"/>
    <mergeCell ref="C91:C92"/>
    <mergeCell ref="D91:D92"/>
    <mergeCell ref="C30:D30"/>
    <mergeCell ref="C32:C33"/>
    <mergeCell ref="D32:D33"/>
    <mergeCell ref="F38:F39"/>
    <mergeCell ref="G38:G39"/>
  </mergeCells>
  <dataValidations count="5">
    <dataValidation type="whole" allowBlank="1" showInputMessage="1" showErrorMessage="1" sqref="D21 D37:D38 D58 D123">
      <formula1>0</formula1>
      <formula2>10000</formula2>
    </dataValidation>
    <dataValidation type="list" allowBlank="1" showInputMessage="1" showErrorMessage="1" sqref="D36">
      <formula1>INDIRECT($D$35)</formula1>
    </dataValidation>
    <dataValidation type="whole" allowBlank="1" showInputMessage="1" showErrorMessage="1" sqref="D130 D109 D54">
      <formula1>0</formula1>
      <formula2>100000</formula2>
    </dataValidation>
    <dataValidation type="whole" allowBlank="1" showInputMessage="1" showErrorMessage="1" sqref="D94">
      <formula1>0</formula1>
      <formula2>100000000000</formula2>
    </dataValidation>
    <dataValidation type="whole" allowBlank="1" showInputMessage="1" showErrorMessage="1" sqref="D112:D115">
      <formula1>0</formula1>
      <formula2>50</formula2>
    </dataValidation>
  </dataValidations>
  <hyperlinks>
    <hyperlink ref="A31" location="Glossary!A9" display="Lighting type definitions"/>
    <hyperlink ref="A17" location="Glossary!A9" display="Lighting type definitions"/>
    <hyperlink ref="A9" location="Energy!A148" display="Jump to the summary section"/>
    <hyperlink ref="A140" location="Energy!A1" display="Jump to the top of the page"/>
    <hyperlink ref="A124" location="Energy!A1" display="Jump to the top of the page"/>
    <hyperlink ref="A108" location="Energy!A1" display="Jump to the top of the page"/>
    <hyperlink ref="A94" location="Energy!A1" display="Jump to the top of the page"/>
    <hyperlink ref="A54" location="Energy!A1" display="Jump to the top of the page"/>
    <hyperlink ref="A29" location="Energy!A1" display="Jump to the top of the page"/>
  </hyperlinks>
  <pageMargins left="0.7" right="0.7" top="0.75" bottom="0.75" header="0.3" footer="0.3"/>
  <pageSetup orientation="portrait" horizontalDpi="360" verticalDpi="36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'Conversion factors'!$A$107:$E$107</xm:f>
          </x14:formula1>
          <xm:sqref>D35</xm:sqref>
        </x14:dataValidation>
        <x14:dataValidation type="list" allowBlank="1" showInputMessage="1" showErrorMessage="1">
          <x14:formula1>
            <xm:f>'Conversion factors'!$A$52:$A$57</xm:f>
          </x14:formula1>
          <xm:sqref>D18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5"/>
  <sheetViews>
    <sheetView showGridLines="0" topLeftCell="A9" workbookViewId="0">
      <selection activeCell="C110" sqref="C110:G110"/>
    </sheetView>
  </sheetViews>
  <sheetFormatPr defaultColWidth="11.42578125" defaultRowHeight="15" x14ac:dyDescent="0.25"/>
  <cols>
    <col min="1" max="1" width="38.42578125" customWidth="1"/>
    <col min="2" max="2" width="7.140625" customWidth="1"/>
    <col min="3" max="3" width="53.140625" customWidth="1"/>
    <col min="4" max="4" width="21.42578125" customWidth="1"/>
    <col min="5" max="5" width="7.140625" customWidth="1"/>
    <col min="6" max="6" width="48.42578125" customWidth="1"/>
    <col min="7" max="7" width="21.42578125" customWidth="1"/>
  </cols>
  <sheetData>
    <row r="1" spans="1:10" ht="51" customHeight="1" x14ac:dyDescent="0.25">
      <c r="C1" s="622" t="s">
        <v>331</v>
      </c>
      <c r="D1" s="622"/>
      <c r="E1" s="622"/>
      <c r="F1" s="622"/>
      <c r="G1" s="622"/>
      <c r="I1" s="60"/>
    </row>
    <row r="2" spans="1:10" s="119" customFormat="1" x14ac:dyDescent="0.25">
      <c r="C2" s="1"/>
      <c r="G2" s="467" t="s">
        <v>906</v>
      </c>
      <c r="I2" s="96"/>
    </row>
    <row r="3" spans="1:10" ht="26.25" x14ac:dyDescent="0.25">
      <c r="C3" s="622" t="s">
        <v>144</v>
      </c>
      <c r="D3" s="622"/>
      <c r="E3" s="622"/>
      <c r="F3" s="622"/>
      <c r="G3" s="622"/>
      <c r="I3" s="96"/>
    </row>
    <row r="4" spans="1:10" ht="15.75" thickBot="1" x14ac:dyDescent="0.3">
      <c r="C4" s="1"/>
      <c r="G4" s="3"/>
      <c r="I4" s="96"/>
    </row>
    <row r="5" spans="1:10" s="119" customFormat="1" ht="27" customHeight="1" x14ac:dyDescent="0.25">
      <c r="C5" s="239" t="s">
        <v>557</v>
      </c>
      <c r="D5" s="240"/>
      <c r="E5" s="240"/>
      <c r="F5" s="240"/>
      <c r="G5" s="241"/>
      <c r="I5" s="96"/>
    </row>
    <row r="6" spans="1:10" s="119" customFormat="1" ht="27" customHeight="1" x14ac:dyDescent="0.25">
      <c r="C6" s="242" t="s">
        <v>590</v>
      </c>
      <c r="D6" s="143"/>
      <c r="E6" s="143"/>
      <c r="F6" s="143"/>
      <c r="G6" s="5"/>
      <c r="I6" s="96"/>
    </row>
    <row r="7" spans="1:10" s="119" customFormat="1" ht="27" customHeight="1" x14ac:dyDescent="0.25">
      <c r="C7" s="242" t="s">
        <v>904</v>
      </c>
      <c r="D7" s="143"/>
      <c r="E7" s="143"/>
      <c r="F7" s="143"/>
      <c r="G7" s="5"/>
    </row>
    <row r="8" spans="1:10" s="119" customFormat="1" ht="27" customHeight="1" thickBot="1" x14ac:dyDescent="0.3">
      <c r="C8" s="242" t="s">
        <v>591</v>
      </c>
      <c r="D8" s="143"/>
      <c r="E8" s="143"/>
      <c r="F8" s="143"/>
      <c r="G8" s="5"/>
      <c r="I8" s="96"/>
    </row>
    <row r="9" spans="1:10" s="119" customFormat="1" ht="27" customHeight="1" thickBot="1" x14ac:dyDescent="0.3">
      <c r="A9" s="245" t="s">
        <v>712</v>
      </c>
      <c r="C9" s="242" t="s">
        <v>592</v>
      </c>
      <c r="D9" s="143"/>
      <c r="E9" s="143"/>
      <c r="F9" s="143"/>
      <c r="G9" s="5"/>
      <c r="I9" s="96"/>
    </row>
    <row r="10" spans="1:10" s="119" customFormat="1" ht="42" customHeight="1" thickBot="1" x14ac:dyDescent="0.3">
      <c r="C10" s="607" t="s">
        <v>750</v>
      </c>
      <c r="D10" s="608"/>
      <c r="E10" s="608"/>
      <c r="F10" s="608"/>
      <c r="G10" s="609"/>
      <c r="J10" s="96"/>
    </row>
    <row r="11" spans="1:10" ht="15.75" thickBot="1" x14ac:dyDescent="0.3">
      <c r="G11" s="3"/>
      <c r="I11" s="60"/>
    </row>
    <row r="12" spans="1:10" ht="19.5" thickBot="1" x14ac:dyDescent="0.3">
      <c r="A12" s="119"/>
      <c r="C12" s="635" t="s">
        <v>29</v>
      </c>
      <c r="D12" s="636"/>
      <c r="F12" s="205" t="s">
        <v>392</v>
      </c>
      <c r="G12" s="42"/>
      <c r="I12" s="60"/>
    </row>
    <row r="13" spans="1:10" ht="27.75" customHeight="1" x14ac:dyDescent="0.25">
      <c r="A13" s="119"/>
      <c r="B13" s="119"/>
      <c r="C13" s="680" t="s">
        <v>332</v>
      </c>
      <c r="D13" s="681"/>
      <c r="E13" s="35"/>
      <c r="F13" s="682" t="s">
        <v>733</v>
      </c>
      <c r="G13" s="684">
        <f>D18*'Conversion factors'!B318+D19*'Conversion factors'!B320</f>
        <v>0</v>
      </c>
      <c r="I13" s="96"/>
    </row>
    <row r="14" spans="1:10" ht="15.75" customHeight="1" thickBot="1" x14ac:dyDescent="0.3">
      <c r="A14" s="119"/>
      <c r="C14" s="119"/>
      <c r="E14" s="18"/>
      <c r="F14" s="683"/>
      <c r="G14" s="685"/>
      <c r="I14" s="96"/>
    </row>
    <row r="15" spans="1:10" ht="14.25" customHeight="1" x14ac:dyDescent="0.25">
      <c r="A15" s="119"/>
      <c r="C15" s="652" t="s">
        <v>333</v>
      </c>
      <c r="D15" s="629" t="s">
        <v>0</v>
      </c>
      <c r="F15" s="123" t="s">
        <v>477</v>
      </c>
      <c r="G15" s="157">
        <f>IF(G$13&lt;&gt;0,'Conversion factors'!B323,0)</f>
        <v>0</v>
      </c>
      <c r="I15" s="96"/>
    </row>
    <row r="16" spans="1:10" ht="15" customHeight="1" x14ac:dyDescent="0.25">
      <c r="A16" s="119"/>
      <c r="C16" s="653"/>
      <c r="D16" s="630"/>
      <c r="E16" s="35"/>
      <c r="F16" s="123" t="s">
        <v>478</v>
      </c>
      <c r="G16" s="157">
        <f>IF(G$13&lt;&gt;0,'Conversion factors'!B324,0)</f>
        <v>0</v>
      </c>
      <c r="I16" s="96"/>
    </row>
    <row r="17" spans="1:9" ht="15.75" thickBot="1" x14ac:dyDescent="0.3">
      <c r="A17" s="119"/>
      <c r="C17" s="103" t="s">
        <v>26</v>
      </c>
      <c r="D17" s="34"/>
      <c r="E17" s="35"/>
      <c r="F17" s="123" t="s">
        <v>479</v>
      </c>
      <c r="G17" s="157">
        <f>IF(G$13&lt;&gt;0,'Conversion factors'!B325,0)</f>
        <v>0</v>
      </c>
      <c r="I17" s="96"/>
    </row>
    <row r="18" spans="1:9" ht="18" customHeight="1" x14ac:dyDescent="0.25">
      <c r="A18" s="119"/>
      <c r="C18" s="416" t="s">
        <v>393</v>
      </c>
      <c r="D18" s="417"/>
      <c r="F18" s="123" t="s">
        <v>480</v>
      </c>
      <c r="G18" s="157">
        <f>IF(G$13&lt;&gt;0,'Conversion factors'!B326,0)</f>
        <v>0</v>
      </c>
      <c r="I18" s="96"/>
    </row>
    <row r="19" spans="1:9" ht="19.5" customHeight="1" thickBot="1" x14ac:dyDescent="0.3">
      <c r="A19" s="119"/>
      <c r="C19" s="418" t="s">
        <v>394</v>
      </c>
      <c r="D19" s="419"/>
      <c r="F19" s="124" t="s">
        <v>481</v>
      </c>
      <c r="G19" s="118">
        <f>IF(G$13&lt;&gt;0,'Conversion factors'!B327,0)</f>
        <v>0</v>
      </c>
      <c r="I19" s="96"/>
    </row>
    <row r="20" spans="1:9" ht="15.75" thickBot="1" x14ac:dyDescent="0.3">
      <c r="A20" s="216"/>
      <c r="C20" s="420" t="s">
        <v>905</v>
      </c>
      <c r="D20" s="421"/>
      <c r="E20" s="35"/>
    </row>
    <row r="21" spans="1:9" ht="13.5" customHeight="1" x14ac:dyDescent="0.25">
      <c r="A21" s="119"/>
      <c r="B21" s="119"/>
      <c r="D21" s="153"/>
      <c r="E21" s="153"/>
      <c r="F21" s="153"/>
    </row>
    <row r="22" spans="1:9" ht="26.25" x14ac:dyDescent="0.25">
      <c r="A22" s="119"/>
      <c r="B22" s="119"/>
      <c r="C22" s="622" t="s">
        <v>139</v>
      </c>
      <c r="D22" s="622"/>
      <c r="E22" s="622"/>
      <c r="F22" s="622"/>
      <c r="G22" s="622"/>
    </row>
    <row r="23" spans="1:9" x14ac:dyDescent="0.25">
      <c r="A23" s="119"/>
      <c r="B23" s="119"/>
    </row>
    <row r="24" spans="1:9" ht="15.75" thickBot="1" x14ac:dyDescent="0.3">
      <c r="A24" s="119"/>
      <c r="B24" s="119"/>
    </row>
    <row r="25" spans="1:9" ht="19.5" customHeight="1" x14ac:dyDescent="0.3">
      <c r="A25" s="227" t="s">
        <v>556</v>
      </c>
      <c r="C25" s="633" t="s">
        <v>36</v>
      </c>
      <c r="D25" s="634"/>
      <c r="E25" s="119"/>
    </row>
    <row r="26" spans="1:9" ht="18" customHeight="1" x14ac:dyDescent="0.25">
      <c r="A26" s="234" t="s">
        <v>683</v>
      </c>
      <c r="C26" s="638" t="s">
        <v>398</v>
      </c>
      <c r="D26" s="639"/>
      <c r="E26" s="143"/>
    </row>
    <row r="27" spans="1:9" ht="15.75" thickBot="1" x14ac:dyDescent="0.3">
      <c r="A27" s="189"/>
      <c r="C27" s="119"/>
      <c r="D27" s="119"/>
      <c r="E27" s="129"/>
    </row>
    <row r="28" spans="1:9" ht="15" customHeight="1" x14ac:dyDescent="0.25">
      <c r="A28" s="686" t="s">
        <v>672</v>
      </c>
      <c r="C28" s="610" t="s">
        <v>397</v>
      </c>
      <c r="D28" s="612" t="s">
        <v>0</v>
      </c>
      <c r="E28" s="119"/>
    </row>
    <row r="29" spans="1:9" ht="15.75" thickBot="1" x14ac:dyDescent="0.3">
      <c r="A29" s="686"/>
      <c r="C29" s="611"/>
      <c r="D29" s="613"/>
      <c r="E29" s="143"/>
    </row>
    <row r="30" spans="1:9" ht="15.75" thickBot="1" x14ac:dyDescent="0.3">
      <c r="A30" s="686"/>
      <c r="C30" s="121" t="s">
        <v>26</v>
      </c>
      <c r="D30" s="122"/>
      <c r="E30" s="143"/>
      <c r="F30" s="144" t="s">
        <v>392</v>
      </c>
      <c r="G30" s="145"/>
    </row>
    <row r="31" spans="1:9" x14ac:dyDescent="0.25">
      <c r="A31" s="686"/>
      <c r="C31" s="160" t="s">
        <v>602</v>
      </c>
      <c r="D31" s="68"/>
      <c r="E31" s="119"/>
      <c r="F31" s="152" t="s">
        <v>607</v>
      </c>
      <c r="G31" s="159">
        <f>IFERROR(IF(Water!D31*Water!D33*'Conversion factors'!B331-((Water!D31-Water!D32)*'Conversion factors'!B331*Water!D33+Water!D32*Water!D33*'Conversion factors'!B330)=0,(Water!D31*D35*'Conversion factors'!B333*'Conversion factors'!B334*'Conversion factors'!B331-((Water!D31-Water!D32)*'Conversion factors'!B331*D35*'Conversion factors'!B333*'Conversion factors'!B334+Water!D32*D35*'Conversion factors'!B333*'Conversion factors'!B334*'Conversion factors'!B330)),(Water!D31*Water!D33*'Conversion factors'!B331-((Water!D31-Water!D32)*'Conversion factors'!B331*Water!D33+Water!D32*Water!D33*'Conversion factors'!B330))),0)</f>
        <v>0</v>
      </c>
      <c r="I31" s="119"/>
    </row>
    <row r="32" spans="1:9" ht="15" customHeight="1" x14ac:dyDescent="0.25">
      <c r="A32" s="686"/>
      <c r="C32" s="127" t="s">
        <v>603</v>
      </c>
      <c r="D32" s="128"/>
      <c r="E32" s="119"/>
      <c r="F32" s="123" t="s">
        <v>734</v>
      </c>
      <c r="G32" s="158">
        <f>IFERROR(G31*'Conversion factors'!B41,0)</f>
        <v>0</v>
      </c>
    </row>
    <row r="33" spans="1:7" x14ac:dyDescent="0.25">
      <c r="A33" s="686"/>
      <c r="C33" s="58" t="s">
        <v>670</v>
      </c>
      <c r="D33" s="128"/>
      <c r="F33" s="147" t="s">
        <v>609</v>
      </c>
      <c r="G33" s="173">
        <f>IFERROR(IF(G31*D34=0,G31*'Conversion factors'!B228,Water!G31*Water!D34),0)</f>
        <v>0</v>
      </c>
    </row>
    <row r="34" spans="1:7" ht="15.75" customHeight="1" thickBot="1" x14ac:dyDescent="0.3">
      <c r="A34" s="686"/>
      <c r="C34" s="377" t="s">
        <v>671</v>
      </c>
      <c r="D34" s="378"/>
      <c r="F34" s="124" t="s">
        <v>735</v>
      </c>
      <c r="G34" s="133">
        <f>IFERROR(IF(G32*D34=0,G32*'Conversion factors'!B228,Water!G32*Water!D34),0)</f>
        <v>0</v>
      </c>
    </row>
    <row r="35" spans="1:7" s="119" customFormat="1" x14ac:dyDescent="0.25">
      <c r="A35" s="686"/>
      <c r="C35" s="125" t="s">
        <v>616</v>
      </c>
      <c r="D35" s="379"/>
    </row>
    <row r="36" spans="1:7" s="119" customFormat="1" ht="15.75" thickBot="1" x14ac:dyDescent="0.3">
      <c r="A36" s="228"/>
      <c r="C36" s="420" t="s">
        <v>905</v>
      </c>
      <c r="D36" s="413"/>
    </row>
    <row r="37" spans="1:7" ht="60.75" thickBot="1" x14ac:dyDescent="0.3">
      <c r="A37" s="229" t="s">
        <v>882</v>
      </c>
      <c r="C37" s="119"/>
      <c r="D37" s="119"/>
      <c r="E37" s="119"/>
    </row>
    <row r="38" spans="1:7" s="119" customFormat="1" x14ac:dyDescent="0.25"/>
    <row r="39" spans="1:7" ht="18.75" x14ac:dyDescent="0.3">
      <c r="C39" s="633" t="s">
        <v>95</v>
      </c>
      <c r="D39" s="634"/>
      <c r="E39" s="119"/>
    </row>
    <row r="40" spans="1:7" ht="15" customHeight="1" x14ac:dyDescent="0.25">
      <c r="C40" s="680" t="s">
        <v>402</v>
      </c>
      <c r="D40" s="681"/>
      <c r="E40" s="143"/>
    </row>
    <row r="41" spans="1:7" ht="15.75" thickBot="1" x14ac:dyDescent="0.3">
      <c r="C41" s="119"/>
      <c r="D41" s="119"/>
      <c r="E41" s="129"/>
    </row>
    <row r="42" spans="1:7" ht="15.75" thickBot="1" x14ac:dyDescent="0.3">
      <c r="C42" s="610" t="s">
        <v>403</v>
      </c>
      <c r="D42" s="612" t="s">
        <v>0</v>
      </c>
      <c r="E42" s="119"/>
    </row>
    <row r="43" spans="1:7" ht="15.75" thickBot="1" x14ac:dyDescent="0.3">
      <c r="A43" s="245" t="s">
        <v>713</v>
      </c>
      <c r="C43" s="611"/>
      <c r="D43" s="613"/>
      <c r="E43" s="143"/>
    </row>
    <row r="44" spans="1:7" ht="15.75" thickBot="1" x14ac:dyDescent="0.3">
      <c r="A44" s="230" t="s">
        <v>560</v>
      </c>
      <c r="C44" s="121" t="s">
        <v>26</v>
      </c>
      <c r="D44" s="122"/>
      <c r="E44" s="143"/>
      <c r="F44" s="144" t="s">
        <v>392</v>
      </c>
      <c r="G44" s="145"/>
    </row>
    <row r="45" spans="1:7" ht="15.75" customHeight="1" x14ac:dyDescent="0.25">
      <c r="A45" s="666" t="s">
        <v>883</v>
      </c>
      <c r="C45" s="160" t="s">
        <v>604</v>
      </c>
      <c r="D45" s="381"/>
      <c r="E45" s="119"/>
      <c r="F45" s="152" t="s">
        <v>607</v>
      </c>
      <c r="G45" s="159">
        <f>IFERROR(D45*'Conversion factors'!B344+Water!D46*'Conversion factors'!B345+Water!D47*'Conversion factors'!B343+Water!D48*'Conversion factors'!B346,0)</f>
        <v>0</v>
      </c>
    </row>
    <row r="46" spans="1:7" x14ac:dyDescent="0.25">
      <c r="A46" s="666"/>
      <c r="C46" s="125" t="s">
        <v>605</v>
      </c>
      <c r="D46" s="379"/>
      <c r="E46" s="119"/>
      <c r="F46" s="123" t="s">
        <v>618</v>
      </c>
      <c r="G46" s="158">
        <f>IFERROR(G45*365,0)</f>
        <v>0</v>
      </c>
    </row>
    <row r="47" spans="1:7" x14ac:dyDescent="0.25">
      <c r="A47" s="666"/>
      <c r="C47" s="125" t="s">
        <v>606</v>
      </c>
      <c r="D47" s="379"/>
      <c r="E47" s="119"/>
      <c r="F47" s="123" t="s">
        <v>609</v>
      </c>
      <c r="G47" s="154">
        <f>IFERROR(IF(G45*D49=0,G45*'Conversion factors'!B228,Water!G45*Water!D49),0)</f>
        <v>0</v>
      </c>
    </row>
    <row r="48" spans="1:7" ht="15.75" thickBot="1" x14ac:dyDescent="0.3">
      <c r="A48" s="667"/>
      <c r="C48" s="125" t="s">
        <v>615</v>
      </c>
      <c r="D48" s="379"/>
      <c r="E48" s="119"/>
      <c r="F48" s="124" t="s">
        <v>620</v>
      </c>
      <c r="G48" s="133">
        <f>IFERROR(IF(G46*D49=0,G46*'Conversion factors'!B228,Water!G46*Water!D49),0)</f>
        <v>0</v>
      </c>
    </row>
    <row r="49" spans="1:7" x14ac:dyDescent="0.25">
      <c r="A49" s="220"/>
      <c r="C49" s="125" t="s">
        <v>601</v>
      </c>
      <c r="D49" s="379"/>
    </row>
    <row r="50" spans="1:7" ht="15.75" thickBot="1" x14ac:dyDescent="0.3">
      <c r="C50" s="420" t="s">
        <v>905</v>
      </c>
      <c r="D50" s="412"/>
    </row>
    <row r="51" spans="1:7" s="119" customFormat="1" ht="15.75" thickBot="1" x14ac:dyDescent="0.3"/>
    <row r="52" spans="1:7" s="119" customFormat="1" ht="19.5" thickBot="1" x14ac:dyDescent="0.35">
      <c r="A52" s="245" t="s">
        <v>713</v>
      </c>
      <c r="C52" s="633" t="s">
        <v>110</v>
      </c>
      <c r="D52" s="634"/>
    </row>
    <row r="53" spans="1:7" s="119" customFormat="1" ht="16.5" customHeight="1" x14ac:dyDescent="0.25">
      <c r="A53" s="227" t="s">
        <v>556</v>
      </c>
      <c r="C53" s="638" t="s">
        <v>574</v>
      </c>
      <c r="D53" s="639"/>
      <c r="E53" s="143"/>
    </row>
    <row r="54" spans="1:7" s="119" customFormat="1" ht="15.75" thickBot="1" x14ac:dyDescent="0.3">
      <c r="A54" s="234" t="s">
        <v>740</v>
      </c>
      <c r="E54" s="129"/>
    </row>
    <row r="55" spans="1:7" s="119" customFormat="1" x14ac:dyDescent="0.25">
      <c r="A55" s="234" t="s">
        <v>696</v>
      </c>
      <c r="C55" s="610" t="s">
        <v>421</v>
      </c>
      <c r="D55" s="612" t="s">
        <v>0</v>
      </c>
    </row>
    <row r="56" spans="1:7" s="119" customFormat="1" ht="14.25" customHeight="1" thickBot="1" x14ac:dyDescent="0.3">
      <c r="A56" s="189"/>
      <c r="C56" s="611"/>
      <c r="D56" s="613"/>
      <c r="E56" s="143"/>
    </row>
    <row r="57" spans="1:7" s="119" customFormat="1" ht="15" customHeight="1" thickBot="1" x14ac:dyDescent="0.3">
      <c r="A57" s="666" t="s">
        <v>873</v>
      </c>
      <c r="C57" s="121" t="s">
        <v>26</v>
      </c>
      <c r="D57" s="122"/>
      <c r="E57" s="143"/>
      <c r="F57" s="144" t="s">
        <v>392</v>
      </c>
      <c r="G57" s="145"/>
    </row>
    <row r="58" spans="1:7" s="119" customFormat="1" x14ac:dyDescent="0.25">
      <c r="A58" s="666"/>
      <c r="C58" s="160" t="s">
        <v>616</v>
      </c>
      <c r="D58" s="68"/>
      <c r="F58" s="91" t="s">
        <v>617</v>
      </c>
      <c r="G58" s="204">
        <f>IFERROR(IF(D59*Water!D60*'Conversion factors'!B349+Water!D59*Water!D61*'Conversion factors'!B350=0,D58*'Conversion factors'!B352*Water!D60*'Conversion factors'!B349+Water!D58*'Conversion factors'!B352*Water!D61*'Conversion factors'!B350,D59*Water!D60*'Conversion factors'!B349+Water!D59*Water!D61*'Conversion factors'!B350),0)</f>
        <v>0</v>
      </c>
    </row>
    <row r="59" spans="1:7" s="119" customFormat="1" x14ac:dyDescent="0.25">
      <c r="A59" s="666"/>
      <c r="C59" s="58" t="s">
        <v>677</v>
      </c>
      <c r="D59" s="128"/>
      <c r="F59" s="123" t="s">
        <v>618</v>
      </c>
      <c r="G59" s="158">
        <f>IFERROR(G58*'Conversion factors'!B41,0)</f>
        <v>0</v>
      </c>
    </row>
    <row r="60" spans="1:7" s="119" customFormat="1" x14ac:dyDescent="0.25">
      <c r="A60" s="666"/>
      <c r="C60" s="127" t="s">
        <v>621</v>
      </c>
      <c r="D60" s="128"/>
      <c r="F60" s="123" t="s">
        <v>619</v>
      </c>
      <c r="G60" s="154">
        <f>IFERROR(IF(G58*D62=0,G58*'Conversion factors'!B228,Water!G58*Water!D62),0)</f>
        <v>0</v>
      </c>
    </row>
    <row r="61" spans="1:7" s="119" customFormat="1" ht="15.75" thickBot="1" x14ac:dyDescent="0.3">
      <c r="A61" s="666"/>
      <c r="C61" s="380" t="s">
        <v>695</v>
      </c>
      <c r="D61" s="378"/>
      <c r="F61" s="124" t="s">
        <v>620</v>
      </c>
      <c r="G61" s="133">
        <f>IFERROR(IF(G59*D62=0,G59*'Conversion factors'!B228,Water!G59*Water!D62),0)</f>
        <v>0</v>
      </c>
    </row>
    <row r="62" spans="1:7" ht="15" customHeight="1" x14ac:dyDescent="0.25">
      <c r="A62" s="189"/>
      <c r="C62" s="125" t="s">
        <v>671</v>
      </c>
      <c r="D62" s="379"/>
      <c r="E62" s="119"/>
    </row>
    <row r="63" spans="1:7" ht="15" customHeight="1" thickBot="1" x14ac:dyDescent="0.3">
      <c r="A63" s="666" t="s">
        <v>884</v>
      </c>
      <c r="C63" s="420" t="s">
        <v>905</v>
      </c>
      <c r="D63" s="413"/>
    </row>
    <row r="64" spans="1:7" s="119" customFormat="1" x14ac:dyDescent="0.25">
      <c r="A64" s="666"/>
    </row>
    <row r="65" spans="1:7" s="119" customFormat="1" x14ac:dyDescent="0.25">
      <c r="A65" s="666"/>
    </row>
    <row r="66" spans="1:7" s="119" customFormat="1" ht="19.5" thickBot="1" x14ac:dyDescent="0.35">
      <c r="A66" s="667"/>
      <c r="C66" s="633" t="s">
        <v>113</v>
      </c>
      <c r="D66" s="634"/>
    </row>
    <row r="67" spans="1:7" s="119" customFormat="1" x14ac:dyDescent="0.25">
      <c r="A67" s="208"/>
      <c r="C67" s="638" t="s">
        <v>465</v>
      </c>
      <c r="D67" s="639"/>
      <c r="E67" s="143"/>
    </row>
    <row r="68" spans="1:7" s="119" customFormat="1" ht="15.75" thickBot="1" x14ac:dyDescent="0.3">
      <c r="E68" s="129"/>
    </row>
    <row r="69" spans="1:7" s="119" customFormat="1" ht="15.75" thickBot="1" x14ac:dyDescent="0.3">
      <c r="A69" s="245" t="s">
        <v>713</v>
      </c>
      <c r="C69" s="610" t="s">
        <v>466</v>
      </c>
      <c r="D69" s="612" t="s">
        <v>0</v>
      </c>
    </row>
    <row r="70" spans="1:7" s="119" customFormat="1" ht="14.25" customHeight="1" thickBot="1" x14ac:dyDescent="0.3">
      <c r="A70" s="227" t="s">
        <v>556</v>
      </c>
      <c r="C70" s="611"/>
      <c r="D70" s="613"/>
      <c r="E70" s="143"/>
    </row>
    <row r="71" spans="1:7" s="119" customFormat="1" ht="15.75" customHeight="1" thickBot="1" x14ac:dyDescent="0.3">
      <c r="A71" s="666" t="s">
        <v>885</v>
      </c>
      <c r="C71" s="121" t="s">
        <v>26</v>
      </c>
      <c r="D71" s="122"/>
      <c r="E71" s="143"/>
      <c r="F71" s="144" t="s">
        <v>392</v>
      </c>
      <c r="G71" s="145"/>
    </row>
    <row r="72" spans="1:7" s="119" customFormat="1" x14ac:dyDescent="0.25">
      <c r="A72" s="666"/>
      <c r="C72" s="67" t="s">
        <v>576</v>
      </c>
      <c r="D72" s="178" t="s">
        <v>28</v>
      </c>
      <c r="F72" s="91" t="s">
        <v>607</v>
      </c>
      <c r="G72" s="204">
        <f>IFERROR(IF(D76*'Conversion factors'!B399&gt;D73*55,D73*55,D76*'Conversion factors'!B399),0)</f>
        <v>0</v>
      </c>
    </row>
    <row r="73" spans="1:7" s="119" customFormat="1" x14ac:dyDescent="0.25">
      <c r="A73" s="666"/>
      <c r="C73" s="125" t="s">
        <v>622</v>
      </c>
      <c r="D73" s="179"/>
      <c r="F73" s="123" t="s">
        <v>608</v>
      </c>
      <c r="G73" s="158">
        <f>IFERROR(G72*VLOOKUP(D72,'Conversion factors'!A358:D394,2,FALSE),0)</f>
        <v>0</v>
      </c>
    </row>
    <row r="74" spans="1:7" s="119" customFormat="1" ht="15.75" thickBot="1" x14ac:dyDescent="0.3">
      <c r="A74" s="667"/>
      <c r="C74" s="125" t="s">
        <v>601</v>
      </c>
      <c r="D74" s="179"/>
      <c r="F74" s="123" t="s">
        <v>609</v>
      </c>
      <c r="G74" s="154">
        <f>IFERROR(IF(G72*D74=0,G72*'Conversion factors'!B228,Water!G72*Water!D74),0)</f>
        <v>0</v>
      </c>
    </row>
    <row r="75" spans="1:7" s="119" customFormat="1" ht="15.75" thickBot="1" x14ac:dyDescent="0.3">
      <c r="A75" s="220"/>
      <c r="C75" s="125" t="s">
        <v>905</v>
      </c>
      <c r="D75" s="411"/>
      <c r="F75" s="124" t="s">
        <v>610</v>
      </c>
      <c r="G75" s="133">
        <f>IFERROR(IF(G73*D74=0,G73*'Conversion factors'!B228,Water!G73*Water!D74),0)</f>
        <v>0</v>
      </c>
    </row>
    <row r="76" spans="1:7" s="119" customFormat="1" ht="15.75" thickBot="1" x14ac:dyDescent="0.3">
      <c r="C76" s="382" t="s">
        <v>475</v>
      </c>
      <c r="D76" s="383">
        <f>IFERROR(VLOOKUP(D72,'Conversion factors'!A358:D394,4,FALSE),0)</f>
        <v>0</v>
      </c>
    </row>
    <row r="77" spans="1:7" s="119" customFormat="1" x14ac:dyDescent="0.25"/>
    <row r="78" spans="1:7" s="119" customFormat="1" ht="15.75" thickBot="1" x14ac:dyDescent="0.3"/>
    <row r="79" spans="1:7" ht="18.75" x14ac:dyDescent="0.3">
      <c r="C79" s="200" t="s">
        <v>559</v>
      </c>
      <c r="D79" s="198"/>
      <c r="E79" s="198"/>
      <c r="F79" s="198"/>
      <c r="G79" s="199"/>
    </row>
    <row r="80" spans="1:7" ht="15" customHeight="1" x14ac:dyDescent="0.25">
      <c r="C80" s="656" t="s">
        <v>758</v>
      </c>
      <c r="D80" s="657"/>
      <c r="E80" s="657"/>
      <c r="F80" s="657"/>
      <c r="G80" s="658"/>
    </row>
    <row r="81" spans="1:7" ht="15" customHeight="1" x14ac:dyDescent="0.25">
      <c r="C81" s="656"/>
      <c r="D81" s="657"/>
      <c r="E81" s="657"/>
      <c r="F81" s="657"/>
      <c r="G81" s="658"/>
    </row>
    <row r="82" spans="1:7" ht="15" customHeight="1" x14ac:dyDescent="0.25">
      <c r="C82" s="656"/>
      <c r="D82" s="657"/>
      <c r="E82" s="657"/>
      <c r="F82" s="657"/>
      <c r="G82" s="658"/>
    </row>
    <row r="83" spans="1:7" ht="15" customHeight="1" x14ac:dyDescent="0.25">
      <c r="C83" s="656"/>
      <c r="D83" s="657"/>
      <c r="E83" s="657"/>
      <c r="F83" s="657"/>
      <c r="G83" s="658"/>
    </row>
    <row r="84" spans="1:7" ht="15" customHeight="1" thickBot="1" x14ac:dyDescent="0.3">
      <c r="C84" s="656"/>
      <c r="D84" s="657"/>
      <c r="E84" s="657"/>
      <c r="F84" s="657"/>
      <c r="G84" s="658"/>
    </row>
    <row r="85" spans="1:7" ht="15" customHeight="1" x14ac:dyDescent="0.25">
      <c r="A85" s="227" t="s">
        <v>556</v>
      </c>
      <c r="C85" s="656"/>
      <c r="D85" s="657"/>
      <c r="E85" s="657"/>
      <c r="F85" s="657"/>
      <c r="G85" s="658"/>
    </row>
    <row r="86" spans="1:7" ht="15" customHeight="1" x14ac:dyDescent="0.25">
      <c r="A86" s="234" t="s">
        <v>697</v>
      </c>
      <c r="C86" s="656"/>
      <c r="D86" s="657"/>
      <c r="E86" s="657"/>
      <c r="F86" s="657"/>
      <c r="G86" s="658"/>
    </row>
    <row r="87" spans="1:7" ht="15" customHeight="1" thickBot="1" x14ac:dyDescent="0.3">
      <c r="A87" s="236" t="s">
        <v>698</v>
      </c>
      <c r="C87" s="656"/>
      <c r="D87" s="657"/>
      <c r="E87" s="657"/>
      <c r="F87" s="657"/>
      <c r="G87" s="658"/>
    </row>
    <row r="88" spans="1:7" ht="15" customHeight="1" x14ac:dyDescent="0.25">
      <c r="C88" s="656"/>
      <c r="D88" s="657"/>
      <c r="E88" s="657"/>
      <c r="F88" s="657"/>
      <c r="G88" s="658"/>
    </row>
    <row r="89" spans="1:7" s="119" customFormat="1" ht="15" customHeight="1" x14ac:dyDescent="0.25">
      <c r="C89" s="656"/>
      <c r="D89" s="657"/>
      <c r="E89" s="657"/>
      <c r="F89" s="657"/>
      <c r="G89" s="658"/>
    </row>
    <row r="90" spans="1:7" s="119" customFormat="1" ht="15" customHeight="1" x14ac:dyDescent="0.25">
      <c r="C90" s="656"/>
      <c r="D90" s="657"/>
      <c r="E90" s="657"/>
      <c r="F90" s="657"/>
      <c r="G90" s="658"/>
    </row>
    <row r="91" spans="1:7" s="119" customFormat="1" ht="15" customHeight="1" x14ac:dyDescent="0.25">
      <c r="C91" s="656"/>
      <c r="D91" s="657"/>
      <c r="E91" s="657"/>
      <c r="F91" s="657"/>
      <c r="G91" s="658"/>
    </row>
    <row r="92" spans="1:7" ht="15" customHeight="1" thickBot="1" x14ac:dyDescent="0.3">
      <c r="C92" s="659"/>
      <c r="D92" s="660"/>
      <c r="E92" s="660"/>
      <c r="F92" s="660"/>
      <c r="G92" s="661"/>
    </row>
    <row r="94" spans="1:7" ht="15.75" thickBot="1" x14ac:dyDescent="0.3"/>
    <row r="95" spans="1:7" ht="18.75" x14ac:dyDescent="0.3">
      <c r="C95" s="625" t="s">
        <v>151</v>
      </c>
      <c r="D95" s="626"/>
      <c r="E95" s="119"/>
      <c r="F95" s="119"/>
      <c r="G95" s="119"/>
    </row>
    <row r="96" spans="1:7" ht="45.75" customHeight="1" x14ac:dyDescent="0.25">
      <c r="C96" s="651" t="s">
        <v>599</v>
      </c>
      <c r="D96" s="617"/>
      <c r="E96" s="119"/>
      <c r="F96" s="119"/>
      <c r="G96" s="119"/>
    </row>
    <row r="97" spans="1:7" ht="15.75" thickBot="1" x14ac:dyDescent="0.3">
      <c r="C97" s="119"/>
      <c r="D97" s="143"/>
      <c r="E97" s="119"/>
    </row>
    <row r="98" spans="1:7" x14ac:dyDescent="0.25">
      <c r="C98" s="610"/>
      <c r="D98" s="612" t="s">
        <v>0</v>
      </c>
      <c r="E98" s="119"/>
    </row>
    <row r="99" spans="1:7" ht="15.75" customHeight="1" thickBot="1" x14ac:dyDescent="0.3">
      <c r="C99" s="611"/>
      <c r="D99" s="613"/>
      <c r="E99" s="119"/>
    </row>
    <row r="100" spans="1:7" ht="16.5" customHeight="1" thickBot="1" x14ac:dyDescent="0.3">
      <c r="A100" s="245" t="s">
        <v>713</v>
      </c>
      <c r="C100" s="150" t="s">
        <v>26</v>
      </c>
      <c r="D100" s="122"/>
      <c r="E100" s="119"/>
      <c r="F100" s="150" t="s">
        <v>152</v>
      </c>
      <c r="G100" s="130"/>
    </row>
    <row r="101" spans="1:7" ht="15" customHeight="1" x14ac:dyDescent="0.25">
      <c r="A101" s="230" t="s">
        <v>560</v>
      </c>
      <c r="C101" s="674" t="s">
        <v>680</v>
      </c>
      <c r="D101" s="676"/>
      <c r="E101" s="119"/>
      <c r="F101" s="163" t="s">
        <v>472</v>
      </c>
      <c r="G101" s="148">
        <f>IFERROR(D101-D104,"")</f>
        <v>0</v>
      </c>
    </row>
    <row r="102" spans="1:7" ht="15" customHeight="1" x14ac:dyDescent="0.25">
      <c r="A102" s="666" t="s">
        <v>600</v>
      </c>
      <c r="C102" s="675"/>
      <c r="D102" s="677"/>
      <c r="E102" s="119"/>
      <c r="F102" s="147" t="s">
        <v>473</v>
      </c>
      <c r="G102" s="149">
        <f>G101*'Conversion factors'!B45</f>
        <v>0</v>
      </c>
    </row>
    <row r="103" spans="1:7" ht="15.75" customHeight="1" x14ac:dyDescent="0.25">
      <c r="A103" s="666"/>
      <c r="C103" s="678" t="s">
        <v>681</v>
      </c>
      <c r="D103" s="679"/>
      <c r="E103" s="119"/>
      <c r="F103" s="147" t="s">
        <v>154</v>
      </c>
      <c r="G103" s="149">
        <f>IFERROR(IF(G101*D106=0,G101*'Conversion factors'!B228,G101*D106),"")</f>
        <v>0</v>
      </c>
    </row>
    <row r="104" spans="1:7" ht="15.75" thickBot="1" x14ac:dyDescent="0.3">
      <c r="A104" s="666"/>
      <c r="C104" s="678"/>
      <c r="D104" s="679"/>
      <c r="F104" s="49" t="s">
        <v>1</v>
      </c>
      <c r="G104" s="51">
        <f>IFERROR(G103*'Conversion factors'!B45,"")</f>
        <v>0</v>
      </c>
    </row>
    <row r="105" spans="1:7" x14ac:dyDescent="0.25">
      <c r="A105" s="228"/>
      <c r="C105" s="678"/>
      <c r="D105" s="679"/>
    </row>
    <row r="106" spans="1:7" ht="18" customHeight="1" x14ac:dyDescent="0.25">
      <c r="A106" s="666" t="s">
        <v>886</v>
      </c>
      <c r="C106" s="125" t="s">
        <v>601</v>
      </c>
      <c r="D106" s="384"/>
    </row>
    <row r="107" spans="1:7" ht="15.75" thickBot="1" x14ac:dyDescent="0.3">
      <c r="A107" s="666"/>
      <c r="C107" s="56" t="s">
        <v>905</v>
      </c>
      <c r="D107" s="412"/>
    </row>
    <row r="108" spans="1:7" x14ac:dyDescent="0.25">
      <c r="A108" s="666"/>
    </row>
    <row r="109" spans="1:7" ht="15.75" thickBot="1" x14ac:dyDescent="0.3">
      <c r="A109" s="667"/>
    </row>
    <row r="110" spans="1:7" ht="26.25" x14ac:dyDescent="0.25">
      <c r="C110" s="631" t="s">
        <v>138</v>
      </c>
      <c r="D110" s="631"/>
      <c r="E110" s="631"/>
      <c r="F110" s="631"/>
      <c r="G110" s="631"/>
    </row>
    <row r="111" spans="1:7" x14ac:dyDescent="0.25">
      <c r="C111" s="119"/>
      <c r="D111" s="119"/>
      <c r="E111" s="119"/>
      <c r="F111" s="119"/>
      <c r="G111" s="119"/>
    </row>
    <row r="112" spans="1:7" ht="15.75" thickBot="1" x14ac:dyDescent="0.3">
      <c r="C112" s="132"/>
      <c r="D112" s="119"/>
      <c r="E112" s="119"/>
      <c r="F112" s="119"/>
      <c r="G112" s="119"/>
    </row>
    <row r="113" spans="1:9" ht="26.25" customHeight="1" thickBot="1" x14ac:dyDescent="0.3">
      <c r="A113" s="245" t="s">
        <v>713</v>
      </c>
      <c r="C113" s="646" t="str">
        <f>"Congratulations, you have completed "&amp; COUNT(D20,D50,D32,D59,D73,D104) &amp; " project(s)!"</f>
        <v>Congratulations, you have completed 0 project(s)!</v>
      </c>
      <c r="D113" s="647"/>
      <c r="E113" s="647"/>
      <c r="F113" s="647"/>
      <c r="G113" s="648"/>
      <c r="I113" s="184">
        <f>COUNT(D20,D50,D32,D59,D73,D104)</f>
        <v>0</v>
      </c>
    </row>
    <row r="114" spans="1:9" ht="15.75" thickBot="1" x14ac:dyDescent="0.3">
      <c r="C114" s="119"/>
      <c r="D114" s="119"/>
      <c r="E114" s="119"/>
      <c r="F114" s="119"/>
      <c r="G114" s="119"/>
    </row>
    <row r="115" spans="1:9" ht="18.75" x14ac:dyDescent="0.3">
      <c r="C115" s="134"/>
      <c r="D115" s="135"/>
      <c r="E115" s="119"/>
      <c r="F115" s="141"/>
      <c r="G115" s="135"/>
    </row>
    <row r="116" spans="1:9" x14ac:dyDescent="0.25">
      <c r="C116" s="136"/>
      <c r="D116" s="137"/>
      <c r="E116" s="119"/>
      <c r="F116" s="142"/>
      <c r="G116" s="137"/>
    </row>
    <row r="117" spans="1:9" ht="21" customHeight="1" x14ac:dyDescent="0.25">
      <c r="C117" s="670" t="str">
        <f>TEXT(ROUND(G137,0),"#,###,###")&amp;" gallons of water"&amp;"                      "&amp;TEXT(ROUND(G138,0),"#,###,###")&amp; " dollars"</f>
        <v xml:space="preserve"> gallons of water                       dollars</v>
      </c>
      <c r="D117" s="671"/>
      <c r="E117" s="119"/>
      <c r="F117" s="623" t="str">
        <f>"Your water saving is equal to "&amp;TEXT(ROUND(G139,0),"#,###,###")&amp;" bathtubs of water"</f>
        <v>Your water saving is equal to  bathtubs of water</v>
      </c>
      <c r="G117" s="624"/>
    </row>
    <row r="118" spans="1:9" x14ac:dyDescent="0.25">
      <c r="C118" s="138"/>
      <c r="D118" s="137"/>
      <c r="E118" s="119"/>
      <c r="F118" s="142"/>
      <c r="G118" s="137"/>
    </row>
    <row r="119" spans="1:9" x14ac:dyDescent="0.25">
      <c r="C119" s="138"/>
      <c r="D119" s="137"/>
      <c r="E119" s="119"/>
      <c r="F119" s="142"/>
      <c r="G119" s="137"/>
    </row>
    <row r="120" spans="1:9" x14ac:dyDescent="0.25">
      <c r="C120" s="138"/>
      <c r="D120" s="137"/>
      <c r="E120" s="119"/>
      <c r="F120" s="142"/>
      <c r="G120" s="137"/>
    </row>
    <row r="121" spans="1:9" x14ac:dyDescent="0.25">
      <c r="C121" s="138"/>
      <c r="D121" s="137"/>
      <c r="E121" s="119"/>
      <c r="F121" s="142"/>
      <c r="G121" s="137"/>
    </row>
    <row r="122" spans="1:9" x14ac:dyDescent="0.25">
      <c r="C122" s="138"/>
      <c r="D122" s="137"/>
      <c r="E122" s="119"/>
      <c r="F122" s="142"/>
      <c r="G122" s="137"/>
    </row>
    <row r="123" spans="1:9" ht="15.75" thickBot="1" x14ac:dyDescent="0.3">
      <c r="C123" s="139"/>
      <c r="D123" s="140"/>
      <c r="E123" s="119"/>
      <c r="F123" s="139"/>
      <c r="G123" s="140"/>
    </row>
    <row r="124" spans="1:9" ht="15.75" thickBot="1" x14ac:dyDescent="0.3">
      <c r="C124" s="119"/>
      <c r="D124" s="119"/>
      <c r="E124" s="119"/>
      <c r="F124" s="119"/>
      <c r="G124" s="119"/>
    </row>
    <row r="125" spans="1:9" s="119" customFormat="1" ht="18.75" x14ac:dyDescent="0.3">
      <c r="C125" s="134"/>
      <c r="D125" s="135"/>
    </row>
    <row r="126" spans="1:9" s="119" customFormat="1" x14ac:dyDescent="0.25">
      <c r="C126" s="136"/>
      <c r="D126" s="137"/>
    </row>
    <row r="127" spans="1:9" s="119" customFormat="1" x14ac:dyDescent="0.25">
      <c r="C127" s="670" t="str">
        <f>"Filtered out "&amp;TEXT(ROUND(D137,0),"#,###,###")&amp;" gallons of water"</f>
        <v>Filtered out  gallons of water</v>
      </c>
      <c r="D127" s="671"/>
    </row>
    <row r="128" spans="1:9" s="119" customFormat="1" x14ac:dyDescent="0.25">
      <c r="C128" s="138"/>
      <c r="D128" s="137"/>
    </row>
    <row r="129" spans="3:7" s="119" customFormat="1" x14ac:dyDescent="0.25">
      <c r="C129" s="138"/>
      <c r="D129" s="137"/>
    </row>
    <row r="130" spans="3:7" s="119" customFormat="1" x14ac:dyDescent="0.25">
      <c r="C130" s="138"/>
      <c r="D130" s="137"/>
    </row>
    <row r="131" spans="3:7" s="119" customFormat="1" x14ac:dyDescent="0.25">
      <c r="C131" s="138"/>
      <c r="D131" s="137"/>
    </row>
    <row r="132" spans="3:7" s="119" customFormat="1" x14ac:dyDescent="0.25">
      <c r="C132" s="138"/>
      <c r="D132" s="137"/>
    </row>
    <row r="133" spans="3:7" s="119" customFormat="1" ht="15.75" thickBot="1" x14ac:dyDescent="0.3">
      <c r="C133" s="139"/>
      <c r="D133" s="140"/>
    </row>
    <row r="134" spans="3:7" s="119" customFormat="1" x14ac:dyDescent="0.25"/>
    <row r="135" spans="3:7" s="119" customFormat="1" x14ac:dyDescent="0.25"/>
    <row r="136" spans="3:7" ht="15.75" thickBot="1" x14ac:dyDescent="0.3">
      <c r="C136" s="121" t="s">
        <v>156</v>
      </c>
      <c r="D136" s="121"/>
      <c r="E136" s="119"/>
      <c r="F136" s="121" t="s">
        <v>133</v>
      </c>
      <c r="G136" s="121"/>
    </row>
    <row r="137" spans="3:7" x14ac:dyDescent="0.25">
      <c r="C137" s="131" t="s">
        <v>469</v>
      </c>
      <c r="D137" s="164">
        <f>IFERROR(G13,0)</f>
        <v>0</v>
      </c>
      <c r="E137" s="119"/>
      <c r="F137" s="131" t="s">
        <v>468</v>
      </c>
      <c r="G137" s="164">
        <f>IFERROR(ROUND(G32+G46+G59+G73+G102,2),0)</f>
        <v>0</v>
      </c>
    </row>
    <row r="138" spans="3:7" ht="15.75" thickBot="1" x14ac:dyDescent="0.3">
      <c r="C138" s="124" t="s">
        <v>636</v>
      </c>
      <c r="D138" s="156">
        <f>IFERROR(D137/'Conversion factors'!B403,0)</f>
        <v>0</v>
      </c>
      <c r="E138" s="119"/>
      <c r="F138" s="123" t="s">
        <v>635</v>
      </c>
      <c r="G138" s="155">
        <f>IFERROR(ROUND(G34+G48+G61+G75+G104,2),0)</f>
        <v>0</v>
      </c>
    </row>
    <row r="139" spans="3:7" ht="15.75" thickBot="1" x14ac:dyDescent="0.3">
      <c r="C139" s="119"/>
      <c r="D139" s="119"/>
      <c r="E139" s="119"/>
      <c r="F139" s="124" t="s">
        <v>636</v>
      </c>
      <c r="G139" s="156">
        <f>G137/'Conversion factors'!B403</f>
        <v>0</v>
      </c>
    </row>
    <row r="140" spans="3:7" x14ac:dyDescent="0.25">
      <c r="C140" s="119"/>
      <c r="D140" s="119"/>
      <c r="E140" s="119"/>
      <c r="F140" s="119"/>
      <c r="G140" s="119"/>
    </row>
    <row r="141" spans="3:7" x14ac:dyDescent="0.25">
      <c r="C141" s="119"/>
      <c r="D141" s="119"/>
      <c r="E141" s="119"/>
      <c r="F141" s="119"/>
      <c r="G141" s="119"/>
    </row>
    <row r="142" spans="3:7" x14ac:dyDescent="0.25">
      <c r="C142" s="119"/>
      <c r="D142" s="119"/>
      <c r="E142" s="119"/>
      <c r="F142" s="119"/>
      <c r="G142" s="119"/>
    </row>
    <row r="143" spans="3:7" x14ac:dyDescent="0.25">
      <c r="C143" s="119"/>
      <c r="D143" s="119"/>
      <c r="E143" s="119"/>
      <c r="F143" s="119"/>
      <c r="G143" s="119"/>
    </row>
    <row r="144" spans="3:7" x14ac:dyDescent="0.25">
      <c r="C144" s="119"/>
      <c r="D144" s="119"/>
      <c r="E144" s="119"/>
      <c r="F144" s="119"/>
      <c r="G144" s="119"/>
    </row>
    <row r="145" spans="3:7" x14ac:dyDescent="0.25">
      <c r="C145" s="119"/>
      <c r="D145" s="119"/>
      <c r="E145" s="119"/>
      <c r="F145" s="119"/>
      <c r="G145" s="119"/>
    </row>
    <row r="146" spans="3:7" x14ac:dyDescent="0.25">
      <c r="C146" s="119"/>
      <c r="D146" s="119"/>
      <c r="E146" s="119"/>
      <c r="F146" s="119"/>
      <c r="G146" s="119"/>
    </row>
    <row r="147" spans="3:7" ht="26.25" customHeight="1" x14ac:dyDescent="0.25">
      <c r="C147" s="654" t="str">
        <f>"Wondering what would be the impact if "&amp;Introduction!B33&amp;" schools implemented the same projects as your school did?"</f>
        <v>Wondering what would be the impact if  schools implemented the same projects as your school did?</v>
      </c>
      <c r="D147" s="655"/>
      <c r="E147" s="655"/>
      <c r="F147" s="655"/>
      <c r="G147" s="655"/>
    </row>
    <row r="148" spans="3:7" x14ac:dyDescent="0.25">
      <c r="C148" s="119"/>
      <c r="D148" s="119"/>
      <c r="E148" s="119"/>
      <c r="F148" s="119"/>
      <c r="G148" s="119"/>
    </row>
    <row r="149" spans="3:7" ht="15.75" thickBot="1" x14ac:dyDescent="0.3">
      <c r="C149" s="119"/>
      <c r="D149" s="119"/>
      <c r="E149" s="119"/>
      <c r="F149" s="119"/>
      <c r="G149" s="119"/>
    </row>
    <row r="150" spans="3:7" ht="18.75" x14ac:dyDescent="0.3">
      <c r="C150" s="134"/>
      <c r="D150" s="135"/>
      <c r="E150" s="119"/>
      <c r="F150" s="141"/>
      <c r="G150" s="135"/>
    </row>
    <row r="151" spans="3:7" x14ac:dyDescent="0.25">
      <c r="C151" s="136"/>
      <c r="D151" s="137"/>
      <c r="E151" s="119"/>
      <c r="F151" s="142"/>
      <c r="G151" s="137"/>
    </row>
    <row r="152" spans="3:7" x14ac:dyDescent="0.25">
      <c r="C152" s="672" t="str">
        <f>TEXT(ROUND(D161,0),"#,###,###,###")&amp;" lbs of CO2"&amp;"                                                 "&amp;TEXT(ROUND(D162,0),"#,###,###,###")&amp; " dollars"</f>
        <v xml:space="preserve"> lbs of CO2                                                  dollars</v>
      </c>
      <c r="D152" s="673"/>
      <c r="E152" s="119"/>
      <c r="F152" s="623" t="str">
        <f>"Your water saving is equal to "&amp;TEXT(ROUND(D163,0),"#,###,###,###")&amp;" bathtubs of water"</f>
        <v>Your water saving is equal to  bathtubs of water</v>
      </c>
      <c r="G152" s="624"/>
    </row>
    <row r="153" spans="3:7" x14ac:dyDescent="0.25">
      <c r="C153" s="138"/>
      <c r="D153" s="137"/>
      <c r="E153" s="119"/>
      <c r="F153" s="142"/>
      <c r="G153" s="137"/>
    </row>
    <row r="154" spans="3:7" x14ac:dyDescent="0.25">
      <c r="C154" s="138"/>
      <c r="D154" s="137"/>
      <c r="E154" s="119"/>
      <c r="F154" s="142"/>
      <c r="G154" s="137"/>
    </row>
    <row r="155" spans="3:7" x14ac:dyDescent="0.25">
      <c r="C155" s="138"/>
      <c r="D155" s="137"/>
      <c r="E155" s="119"/>
      <c r="F155" s="142"/>
      <c r="G155" s="137"/>
    </row>
    <row r="156" spans="3:7" x14ac:dyDescent="0.25">
      <c r="C156" s="138"/>
      <c r="D156" s="137"/>
      <c r="E156" s="119"/>
      <c r="F156" s="142"/>
      <c r="G156" s="137"/>
    </row>
    <row r="157" spans="3:7" x14ac:dyDescent="0.25">
      <c r="C157" s="138"/>
      <c r="D157" s="137"/>
      <c r="E157" s="119"/>
      <c r="F157" s="142"/>
      <c r="G157" s="137"/>
    </row>
    <row r="158" spans="3:7" ht="15.75" thickBot="1" x14ac:dyDescent="0.3">
      <c r="C158" s="139"/>
      <c r="D158" s="140"/>
      <c r="E158" s="119"/>
      <c r="F158" s="139"/>
      <c r="G158" s="140"/>
    </row>
    <row r="159" spans="3:7" x14ac:dyDescent="0.25">
      <c r="C159" s="119"/>
      <c r="D159" s="119"/>
      <c r="E159" s="119"/>
      <c r="F159" s="119"/>
      <c r="G159" s="119"/>
    </row>
    <row r="160" spans="3:7" ht="15.75" thickBot="1" x14ac:dyDescent="0.3">
      <c r="C160" s="121" t="s">
        <v>775</v>
      </c>
      <c r="D160" s="121"/>
      <c r="E160" s="119"/>
      <c r="F160" s="119"/>
      <c r="G160" s="119"/>
    </row>
    <row r="161" spans="3:7" x14ac:dyDescent="0.25">
      <c r="C161" s="131" t="s">
        <v>634</v>
      </c>
      <c r="D161" s="164">
        <f>IFERROR(G137*Introduction!B33,0)</f>
        <v>0</v>
      </c>
      <c r="E161" s="119"/>
      <c r="F161" s="119"/>
      <c r="G161" s="119"/>
    </row>
    <row r="162" spans="3:7" x14ac:dyDescent="0.25">
      <c r="C162" s="123" t="s">
        <v>635</v>
      </c>
      <c r="D162" s="155">
        <f>IFERROR(G138*Introduction!B33,0)</f>
        <v>0</v>
      </c>
      <c r="E162" s="119"/>
      <c r="F162" s="119"/>
      <c r="G162" s="119"/>
    </row>
    <row r="163" spans="3:7" ht="15.75" thickBot="1" x14ac:dyDescent="0.3">
      <c r="C163" s="124" t="s">
        <v>636</v>
      </c>
      <c r="D163" s="156">
        <f>IFERROR(G139*Introduction!B33,0)</f>
        <v>0</v>
      </c>
      <c r="E163" s="119"/>
      <c r="F163" s="119"/>
      <c r="G163" s="119"/>
    </row>
    <row r="164" spans="3:7" x14ac:dyDescent="0.25">
      <c r="C164" s="119"/>
      <c r="D164" s="119"/>
      <c r="E164" s="119"/>
      <c r="F164" s="119"/>
      <c r="G164" s="119"/>
    </row>
    <row r="165" spans="3:7" x14ac:dyDescent="0.25">
      <c r="C165" s="119"/>
      <c r="D165" s="119"/>
      <c r="E165" s="119"/>
      <c r="F165" s="119"/>
      <c r="G165" s="119"/>
    </row>
  </sheetData>
  <protectedRanges>
    <protectedRange sqref="D101:D106" name="ProejctSix"/>
    <protectedRange sqref="D72:D74" name="ProejctFive"/>
    <protectedRange sqref="D58:D62" name="ProjectFour"/>
    <protectedRange sqref="D45:D49" name="ProjectThree"/>
    <protectedRange sqref="D31:D35" name="ProjectTwo"/>
    <protectedRange sqref="D18:D19" name="ProjectOne"/>
  </protectedRanges>
  <mergeCells count="50">
    <mergeCell ref="A57:A61"/>
    <mergeCell ref="A28:A35"/>
    <mergeCell ref="A45:A48"/>
    <mergeCell ref="A63:A66"/>
    <mergeCell ref="A71:A74"/>
    <mergeCell ref="C15:C16"/>
    <mergeCell ref="D15:D16"/>
    <mergeCell ref="C22:G22"/>
    <mergeCell ref="C1:G1"/>
    <mergeCell ref="C3:G3"/>
    <mergeCell ref="C12:D12"/>
    <mergeCell ref="C13:D13"/>
    <mergeCell ref="F13:F14"/>
    <mergeCell ref="G13:G14"/>
    <mergeCell ref="C10:G10"/>
    <mergeCell ref="C39:D39"/>
    <mergeCell ref="C40:D40"/>
    <mergeCell ref="C42:C43"/>
    <mergeCell ref="D42:D43"/>
    <mergeCell ref="C25:D25"/>
    <mergeCell ref="C26:D26"/>
    <mergeCell ref="C28:C29"/>
    <mergeCell ref="D28:D29"/>
    <mergeCell ref="C52:D52"/>
    <mergeCell ref="C53:D53"/>
    <mergeCell ref="C55:C56"/>
    <mergeCell ref="D55:D56"/>
    <mergeCell ref="C66:D66"/>
    <mergeCell ref="C67:D67"/>
    <mergeCell ref="C69:C70"/>
    <mergeCell ref="D69:D70"/>
    <mergeCell ref="C110:G110"/>
    <mergeCell ref="C113:G113"/>
    <mergeCell ref="C80:G92"/>
    <mergeCell ref="C95:D95"/>
    <mergeCell ref="C96:D96"/>
    <mergeCell ref="C98:C99"/>
    <mergeCell ref="D98:D99"/>
    <mergeCell ref="C101:C102"/>
    <mergeCell ref="D101:D102"/>
    <mergeCell ref="C103:C105"/>
    <mergeCell ref="D103:D105"/>
    <mergeCell ref="A102:A104"/>
    <mergeCell ref="C117:D117"/>
    <mergeCell ref="F117:G117"/>
    <mergeCell ref="C147:G147"/>
    <mergeCell ref="C152:D152"/>
    <mergeCell ref="F152:G152"/>
    <mergeCell ref="C127:D127"/>
    <mergeCell ref="A106:A109"/>
  </mergeCells>
  <dataValidations count="3">
    <dataValidation type="whole" operator="greaterThan" allowBlank="1" showInputMessage="1" showErrorMessage="1" sqref="D18:D19 D31:D33">
      <formula1>0</formula1>
    </dataValidation>
    <dataValidation type="whole" allowBlank="1" showInputMessage="1" showErrorMessage="1" sqref="D101">
      <formula1>0</formula1>
      <formula2>100000</formula2>
    </dataValidation>
    <dataValidation type="whole" operator="greaterThanOrEqual" allowBlank="1" showInputMessage="1" showErrorMessage="1" sqref="D60:D61 D45:D48">
      <formula1>0</formula1>
    </dataValidation>
  </dataValidations>
  <hyperlinks>
    <hyperlink ref="A26" location="Glossary!A14" display="Aerator definition"/>
    <hyperlink ref="A54" location="Glossary!A16" display="Fill cycle diverter definition"/>
    <hyperlink ref="A55" location="Glossary!A16" display="Toilet tank banks"/>
    <hyperlink ref="A86" location="Glossary!A18" display="Stencils on drains definition"/>
    <hyperlink ref="A87" location="Glossary!A19" display="Macroinvertebrate definition"/>
    <hyperlink ref="A9" location="Water!A120" display="Jump to the summary section"/>
    <hyperlink ref="A113" location="Water!A1" display="Jump to the top of the page"/>
    <hyperlink ref="A100" location="Water!A1" display="Jump to the top of the page"/>
    <hyperlink ref="A69" location="Water!A1" display="Jump to the top of the page"/>
    <hyperlink ref="A52" location="Water!A1" display="Jump to the top of the page"/>
    <hyperlink ref="A43" location="Water!A1" display="Jump to the top of the pag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'Conversion factors'!$A$357:$A$394</xm:f>
          </x14:formula1>
          <xm:sqref>D72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showGridLines="0" zoomScaleNormal="100" workbookViewId="0">
      <selection activeCell="I13" sqref="I13"/>
    </sheetView>
  </sheetViews>
  <sheetFormatPr defaultColWidth="11.42578125" defaultRowHeight="15" x14ac:dyDescent="0.25"/>
  <cols>
    <col min="1" max="1" width="38.42578125" customWidth="1"/>
    <col min="2" max="2" width="7.140625" customWidth="1"/>
    <col min="3" max="3" width="53.140625" customWidth="1"/>
    <col min="4" max="4" width="21.42578125" customWidth="1"/>
    <col min="5" max="5" width="7.140625" customWidth="1"/>
    <col min="6" max="6" width="48.42578125" customWidth="1"/>
    <col min="7" max="7" width="21.42578125" customWidth="1"/>
  </cols>
  <sheetData>
    <row r="1" spans="1:10" ht="51" customHeight="1" x14ac:dyDescent="0.25">
      <c r="C1" s="622" t="s">
        <v>334</v>
      </c>
      <c r="D1" s="622"/>
      <c r="E1" s="622"/>
      <c r="F1" s="622"/>
      <c r="G1" s="622"/>
      <c r="I1" s="60"/>
    </row>
    <row r="2" spans="1:10" s="119" customFormat="1" x14ac:dyDescent="0.25">
      <c r="C2" s="1"/>
      <c r="G2" s="467" t="s">
        <v>906</v>
      </c>
      <c r="I2" s="96"/>
    </row>
    <row r="3" spans="1:10" ht="26.25" x14ac:dyDescent="0.25">
      <c r="C3" s="622" t="s">
        <v>144</v>
      </c>
      <c r="D3" s="622"/>
      <c r="E3" s="622"/>
      <c r="F3" s="622"/>
      <c r="G3" s="622"/>
      <c r="I3" s="104"/>
    </row>
    <row r="4" spans="1:10" ht="15.75" thickBot="1" x14ac:dyDescent="0.3">
      <c r="C4" s="1"/>
      <c r="G4" s="3"/>
      <c r="I4" s="96"/>
    </row>
    <row r="5" spans="1:10" s="119" customFormat="1" ht="27" customHeight="1" x14ac:dyDescent="0.25">
      <c r="C5" s="239" t="s">
        <v>557</v>
      </c>
      <c r="D5" s="240"/>
      <c r="E5" s="240"/>
      <c r="F5" s="240"/>
      <c r="G5" s="241"/>
      <c r="I5" s="96"/>
    </row>
    <row r="6" spans="1:10" s="119" customFormat="1" ht="27" customHeight="1" x14ac:dyDescent="0.25">
      <c r="C6" s="242" t="s">
        <v>590</v>
      </c>
      <c r="D6" s="143"/>
      <c r="E6" s="143"/>
      <c r="F6" s="143"/>
      <c r="G6" s="5"/>
      <c r="I6" s="96"/>
    </row>
    <row r="7" spans="1:10" s="119" customFormat="1" ht="27" customHeight="1" x14ac:dyDescent="0.25">
      <c r="C7" s="242" t="s">
        <v>904</v>
      </c>
      <c r="D7" s="143"/>
      <c r="E7" s="143"/>
      <c r="F7" s="143"/>
      <c r="G7" s="5"/>
    </row>
    <row r="8" spans="1:10" s="119" customFormat="1" ht="27" customHeight="1" thickBot="1" x14ac:dyDescent="0.3">
      <c r="C8" s="242" t="s">
        <v>591</v>
      </c>
      <c r="D8" s="143"/>
      <c r="E8" s="143"/>
      <c r="F8" s="143"/>
      <c r="G8" s="5"/>
      <c r="I8" s="96"/>
    </row>
    <row r="9" spans="1:10" s="119" customFormat="1" ht="27" customHeight="1" thickBot="1" x14ac:dyDescent="0.3">
      <c r="A9" s="245" t="s">
        <v>712</v>
      </c>
      <c r="C9" s="242" t="s">
        <v>592</v>
      </c>
      <c r="D9" s="143"/>
      <c r="E9" s="143"/>
      <c r="F9" s="143"/>
      <c r="G9" s="5"/>
      <c r="I9" s="96"/>
    </row>
    <row r="10" spans="1:10" s="119" customFormat="1" ht="27" customHeight="1" thickBot="1" x14ac:dyDescent="0.3">
      <c r="C10" s="243" t="s">
        <v>751</v>
      </c>
      <c r="D10" s="244"/>
      <c r="E10" s="244"/>
      <c r="F10" s="244"/>
      <c r="G10" s="170"/>
      <c r="J10" s="96"/>
    </row>
    <row r="11" spans="1:10" x14ac:dyDescent="0.25">
      <c r="G11" s="3"/>
      <c r="I11" s="96"/>
    </row>
    <row r="12" spans="1:10" ht="18.75" x14ac:dyDescent="0.3">
      <c r="A12" s="119"/>
      <c r="C12" s="633" t="s">
        <v>29</v>
      </c>
      <c r="D12" s="634"/>
      <c r="I12" s="98"/>
    </row>
    <row r="13" spans="1:10" ht="30.75" customHeight="1" thickBot="1" x14ac:dyDescent="0.3">
      <c r="A13" s="119"/>
      <c r="C13" s="638" t="s">
        <v>335</v>
      </c>
      <c r="D13" s="639"/>
      <c r="E13" s="35"/>
      <c r="I13" s="60"/>
    </row>
    <row r="14" spans="1:10" ht="15" customHeight="1" thickBot="1" x14ac:dyDescent="0.3">
      <c r="A14" s="119"/>
      <c r="C14" s="119"/>
      <c r="E14" s="18"/>
      <c r="F14" s="205" t="s">
        <v>94</v>
      </c>
      <c r="G14" s="42"/>
      <c r="I14" s="106"/>
    </row>
    <row r="15" spans="1:10" x14ac:dyDescent="0.25">
      <c r="A15" s="119"/>
      <c r="C15" s="652" t="s">
        <v>336</v>
      </c>
      <c r="D15" s="629" t="s">
        <v>0</v>
      </c>
      <c r="F15" s="131" t="s">
        <v>355</v>
      </c>
      <c r="G15" s="387">
        <f>IFERROR(D18*'Conversion factors'!B253,0)</f>
        <v>0</v>
      </c>
      <c r="I15" s="114"/>
    </row>
    <row r="16" spans="1:10" ht="15.75" thickBot="1" x14ac:dyDescent="0.3">
      <c r="C16" s="653"/>
      <c r="D16" s="630"/>
      <c r="E16" s="35"/>
      <c r="F16" s="124" t="s">
        <v>624</v>
      </c>
      <c r="G16" s="388">
        <f>IFERROR(D18*('Conversion factors'!B255-'Conversion factors'!B257),0)</f>
        <v>0</v>
      </c>
      <c r="I16" s="99"/>
    </row>
    <row r="17" spans="1:9" ht="15.75" thickBot="1" x14ac:dyDescent="0.3">
      <c r="A17" s="233" t="s">
        <v>560</v>
      </c>
      <c r="C17" s="103" t="s">
        <v>26</v>
      </c>
      <c r="D17" s="34"/>
      <c r="E17" s="35"/>
      <c r="I17" s="99"/>
    </row>
    <row r="18" spans="1:9" ht="30.75" thickBot="1" x14ac:dyDescent="0.3">
      <c r="A18" s="238" t="s">
        <v>678</v>
      </c>
      <c r="C18" s="77" t="s">
        <v>354</v>
      </c>
      <c r="D18" s="385"/>
      <c r="F18" s="205" t="s">
        <v>288</v>
      </c>
      <c r="G18" s="37"/>
      <c r="I18" s="100"/>
    </row>
    <row r="19" spans="1:9" x14ac:dyDescent="0.25">
      <c r="C19" s="146" t="s">
        <v>356</v>
      </c>
      <c r="D19" s="386"/>
      <c r="F19" s="91" t="s">
        <v>355</v>
      </c>
      <c r="G19" s="172">
        <f>IFERROR(D19*'Conversion factors'!B253,0)</f>
        <v>0</v>
      </c>
      <c r="I19" s="100"/>
    </row>
    <row r="20" spans="1:9" s="119" customFormat="1" ht="15.75" thickBot="1" x14ac:dyDescent="0.3">
      <c r="C20" s="111" t="s">
        <v>905</v>
      </c>
      <c r="D20" s="413"/>
      <c r="F20" s="49" t="s">
        <v>624</v>
      </c>
      <c r="G20" s="51">
        <f>IFERROR(D19*('Conversion factors'!B255-'Conversion factors'!B257),0)</f>
        <v>0</v>
      </c>
      <c r="I20" s="100"/>
    </row>
    <row r="21" spans="1:9" s="119" customFormat="1" x14ac:dyDescent="0.25">
      <c r="F21" s="94"/>
      <c r="G21" s="95"/>
      <c r="I21" s="100"/>
    </row>
    <row r="22" spans="1:9" ht="18.75" x14ac:dyDescent="0.25">
      <c r="A22" s="90"/>
      <c r="E22" s="35"/>
      <c r="I22" s="97"/>
    </row>
    <row r="24" spans="1:9" ht="26.25" x14ac:dyDescent="0.25">
      <c r="A24" s="119"/>
      <c r="C24" s="622" t="s">
        <v>139</v>
      </c>
      <c r="D24" s="622"/>
      <c r="E24" s="622"/>
      <c r="F24" s="622"/>
      <c r="G24" s="622"/>
    </row>
    <row r="25" spans="1:9" x14ac:dyDescent="0.25">
      <c r="A25" s="119"/>
    </row>
    <row r="26" spans="1:9" ht="18.75" x14ac:dyDescent="0.3">
      <c r="A26" s="119"/>
      <c r="C26" s="633" t="s">
        <v>36</v>
      </c>
      <c r="D26" s="634"/>
      <c r="I26" s="98"/>
    </row>
    <row r="27" spans="1:9" x14ac:dyDescent="0.25">
      <c r="C27" s="638" t="s">
        <v>342</v>
      </c>
      <c r="D27" s="639"/>
      <c r="E27" s="35"/>
      <c r="I27" s="60"/>
    </row>
    <row r="28" spans="1:9" ht="15.75" thickBot="1" x14ac:dyDescent="0.3">
      <c r="A28" s="197"/>
      <c r="C28" s="119"/>
      <c r="E28" s="18"/>
      <c r="I28" s="99"/>
    </row>
    <row r="29" spans="1:9" ht="15.75" thickBot="1" x14ac:dyDescent="0.3">
      <c r="A29" s="197"/>
      <c r="C29" s="610" t="s">
        <v>341</v>
      </c>
      <c r="D29" s="612" t="s">
        <v>0</v>
      </c>
      <c r="I29" s="99"/>
    </row>
    <row r="30" spans="1:9" ht="15.75" customHeight="1" thickBot="1" x14ac:dyDescent="0.3">
      <c r="C30" s="611"/>
      <c r="D30" s="613"/>
      <c r="E30" s="35"/>
      <c r="F30" s="37" t="s">
        <v>288</v>
      </c>
      <c r="G30" s="42"/>
      <c r="I30" s="99"/>
    </row>
    <row r="31" spans="1:9" ht="16.5" customHeight="1" thickBot="1" x14ac:dyDescent="0.3">
      <c r="A31" s="245" t="s">
        <v>713</v>
      </c>
      <c r="C31" s="6" t="s">
        <v>26</v>
      </c>
      <c r="D31" s="7"/>
      <c r="E31" s="35"/>
      <c r="F31" s="36" t="s">
        <v>613</v>
      </c>
      <c r="G31" s="112">
        <f>IFERROR(IF(D32*'Conversion factors'!B277/60*D33=0,D32*'Conversion factors'!B277/60*'Conversion factors'!B280,D32*'Conversion factors'!B277/60*D33),0)</f>
        <v>0</v>
      </c>
      <c r="I31" s="99"/>
    </row>
    <row r="32" spans="1:9" x14ac:dyDescent="0.25">
      <c r="A32" s="233" t="s">
        <v>560</v>
      </c>
      <c r="C32" s="376" t="s">
        <v>343</v>
      </c>
      <c r="D32" s="389"/>
      <c r="F32" s="8" t="s">
        <v>136</v>
      </c>
      <c r="G32" s="112">
        <f>(G31*'Conversion factors'!B41)</f>
        <v>0</v>
      </c>
      <c r="I32" s="100"/>
    </row>
    <row r="33" spans="1:9" ht="30" customHeight="1" x14ac:dyDescent="0.25">
      <c r="A33" s="666" t="s">
        <v>887</v>
      </c>
      <c r="C33" s="206" t="s">
        <v>741</v>
      </c>
      <c r="D33" s="390"/>
      <c r="F33" s="147" t="s">
        <v>623</v>
      </c>
      <c r="G33" s="173">
        <f>IFERROR(IF(D32*'Conversion factors'!B267/60*D33*'Conversion factors'!B278=0,D32*'Conversion factors'!B267/60*'Conversion factors'!B280*'Conversion factors'!B278,D32*'Conversion factors'!B267/60*D33*'Conversion factors'!B278),0)</f>
        <v>0</v>
      </c>
    </row>
    <row r="34" spans="1:9" ht="19.5" customHeight="1" thickBot="1" x14ac:dyDescent="0.3">
      <c r="A34" s="666"/>
      <c r="C34" s="111" t="s">
        <v>905</v>
      </c>
      <c r="D34" s="413"/>
      <c r="F34" s="49" t="s">
        <v>137</v>
      </c>
      <c r="G34" s="156">
        <f>G33*'Conversion factors'!B41</f>
        <v>0</v>
      </c>
      <c r="I34" s="105"/>
    </row>
    <row r="35" spans="1:9" ht="19.5" thickBot="1" x14ac:dyDescent="0.3">
      <c r="A35" s="667"/>
      <c r="E35" s="35"/>
      <c r="I35" s="97"/>
    </row>
    <row r="36" spans="1:9" x14ac:dyDescent="0.25">
      <c r="A36" s="119"/>
      <c r="E36" s="35"/>
    </row>
    <row r="37" spans="1:9" x14ac:dyDescent="0.25">
      <c r="A37" s="66"/>
      <c r="E37" s="18"/>
    </row>
    <row r="39" spans="1:9" ht="18.75" x14ac:dyDescent="0.3">
      <c r="C39" s="633" t="s">
        <v>95</v>
      </c>
      <c r="D39" s="634"/>
    </row>
    <row r="40" spans="1:9" ht="30.75" customHeight="1" thickBot="1" x14ac:dyDescent="0.3">
      <c r="C40" s="638" t="s">
        <v>625</v>
      </c>
      <c r="D40" s="639"/>
      <c r="E40" s="35"/>
    </row>
    <row r="41" spans="1:9" ht="15.75" thickBot="1" x14ac:dyDescent="0.3">
      <c r="C41" s="119"/>
      <c r="E41" s="18"/>
      <c r="F41" s="205" t="s">
        <v>288</v>
      </c>
      <c r="G41" s="42"/>
    </row>
    <row r="42" spans="1:9" x14ac:dyDescent="0.25">
      <c r="C42" s="687" t="s">
        <v>371</v>
      </c>
      <c r="D42" s="612" t="s">
        <v>0</v>
      </c>
      <c r="F42" s="36" t="s">
        <v>627</v>
      </c>
      <c r="G42" s="112">
        <f>'Conversion factors'!B286/'Conversion factors'!B41/'Conversion factors'!B288*'Healthy School Buildings'!D45</f>
        <v>0</v>
      </c>
    </row>
    <row r="43" spans="1:9" ht="15.75" thickBot="1" x14ac:dyDescent="0.3">
      <c r="C43" s="688"/>
      <c r="D43" s="613"/>
      <c r="E43" s="35"/>
      <c r="F43" s="36" t="s">
        <v>628</v>
      </c>
      <c r="G43" s="112">
        <f>'Conversion factors'!B286/'Conversion factors'!B288*'Healthy School Buildings'!D45</f>
        <v>0</v>
      </c>
    </row>
    <row r="44" spans="1:9" ht="15.75" customHeight="1" thickBot="1" x14ac:dyDescent="0.3">
      <c r="A44" s="245" t="s">
        <v>713</v>
      </c>
      <c r="C44" s="6" t="s">
        <v>26</v>
      </c>
      <c r="D44" s="7"/>
      <c r="E44" s="35"/>
      <c r="F44" s="36" t="s">
        <v>613</v>
      </c>
      <c r="G44" s="112">
        <f>IFERROR(G42*('Conversion factors'!B$163-'Conversion factors'!B$165),0)</f>
        <v>0</v>
      </c>
    </row>
    <row r="45" spans="1:9" ht="16.5" customHeight="1" x14ac:dyDescent="0.25">
      <c r="A45" s="233" t="s">
        <v>556</v>
      </c>
      <c r="C45" s="376" t="s">
        <v>616</v>
      </c>
      <c r="D45" s="389"/>
      <c r="F45" s="8" t="s">
        <v>136</v>
      </c>
      <c r="G45" s="112">
        <f>IFERROR(G43*('Conversion factors'!B$163-'Conversion factors'!B$165),0)</f>
        <v>0</v>
      </c>
    </row>
    <row r="46" spans="1:9" ht="15.75" customHeight="1" x14ac:dyDescent="0.25">
      <c r="A46" s="666" t="s">
        <v>888</v>
      </c>
      <c r="C46" s="146" t="s">
        <v>629</v>
      </c>
      <c r="D46" s="391"/>
      <c r="F46" s="8" t="s">
        <v>137</v>
      </c>
      <c r="G46" s="112">
        <f>IFERROR(IF(G43/'Conversion factors'!B172/'Conversion factors'!B18*D46=0,G43/'Conversion factors'!B172/'Conversion factors'!B18*'Conversion factors'!B169,G43/'Conversion factors'!B172/'Conversion factors'!B18*D46),0)</f>
        <v>0</v>
      </c>
    </row>
    <row r="47" spans="1:9" ht="15.75" thickBot="1" x14ac:dyDescent="0.3">
      <c r="A47" s="666"/>
      <c r="C47" s="111" t="s">
        <v>905</v>
      </c>
      <c r="D47" s="413"/>
      <c r="F47" s="9" t="s">
        <v>24</v>
      </c>
      <c r="G47" s="24">
        <f>IFERROR(G45*'Conversion factors'!B48,0)</f>
        <v>0</v>
      </c>
    </row>
    <row r="48" spans="1:9" x14ac:dyDescent="0.25">
      <c r="A48" s="666"/>
    </row>
    <row r="49" spans="1:7" x14ac:dyDescent="0.25">
      <c r="A49" s="666"/>
    </row>
    <row r="50" spans="1:7" s="119" customFormat="1" ht="15.75" thickBot="1" x14ac:dyDescent="0.3">
      <c r="A50" s="667"/>
    </row>
    <row r="51" spans="1:7" ht="18.75" x14ac:dyDescent="0.3">
      <c r="C51" s="633" t="s">
        <v>110</v>
      </c>
      <c r="D51" s="634"/>
    </row>
    <row r="52" spans="1:7" ht="15.75" thickBot="1" x14ac:dyDescent="0.3">
      <c r="C52" s="638" t="s">
        <v>786</v>
      </c>
      <c r="D52" s="639"/>
      <c r="E52" s="35"/>
    </row>
    <row r="53" spans="1:7" ht="15.75" thickBot="1" x14ac:dyDescent="0.3">
      <c r="C53" s="119"/>
      <c r="E53" s="18"/>
      <c r="F53" s="37" t="s">
        <v>288</v>
      </c>
      <c r="G53" s="42"/>
    </row>
    <row r="54" spans="1:7" x14ac:dyDescent="0.25">
      <c r="C54" s="687" t="s">
        <v>786</v>
      </c>
      <c r="D54" s="612" t="s">
        <v>0</v>
      </c>
      <c r="F54" s="36" t="s">
        <v>631</v>
      </c>
      <c r="G54" s="112">
        <f>IFERROR(D57*'Conversion factors'!B300*('Conversion factors'!B294-'Conversion factors'!B296),0)</f>
        <v>0</v>
      </c>
    </row>
    <row r="55" spans="1:7" ht="15.75" thickBot="1" x14ac:dyDescent="0.3">
      <c r="C55" s="688"/>
      <c r="D55" s="613"/>
      <c r="E55" s="35"/>
      <c r="F55" s="8" t="s">
        <v>136</v>
      </c>
      <c r="G55" s="112">
        <f>G54*'Conversion factors'!B42</f>
        <v>0</v>
      </c>
    </row>
    <row r="56" spans="1:7" ht="15.75" thickBot="1" x14ac:dyDescent="0.3">
      <c r="A56" s="245" t="s">
        <v>713</v>
      </c>
      <c r="C56" s="6" t="s">
        <v>26</v>
      </c>
      <c r="D56" s="7"/>
      <c r="E56" s="35"/>
      <c r="F56" s="8" t="s">
        <v>632</v>
      </c>
      <c r="G56" s="112">
        <f>IFERROR(D57*'Conversion factors'!B300*('Conversion factors'!B303-'Conversion factors'!B304),0)</f>
        <v>0</v>
      </c>
    </row>
    <row r="57" spans="1:7" ht="30" x14ac:dyDescent="0.25">
      <c r="C57" s="92" t="s">
        <v>630</v>
      </c>
      <c r="D57" s="392"/>
      <c r="F57" s="147" t="s">
        <v>137</v>
      </c>
      <c r="G57" s="173">
        <f>G56*'Conversion factors'!B42</f>
        <v>0</v>
      </c>
    </row>
    <row r="58" spans="1:7" ht="15.75" thickBot="1" x14ac:dyDescent="0.3">
      <c r="C58" s="56" t="s">
        <v>905</v>
      </c>
      <c r="D58" s="412"/>
      <c r="F58" s="9" t="s">
        <v>24</v>
      </c>
      <c r="G58" s="24">
        <f>IFERROR(G55*'Conversion factors'!B48,0)</f>
        <v>0</v>
      </c>
    </row>
    <row r="61" spans="1:7" ht="15.75" thickBot="1" x14ac:dyDescent="0.3"/>
    <row r="62" spans="1:7" ht="18.75" x14ac:dyDescent="0.3">
      <c r="C62" s="200" t="s">
        <v>559</v>
      </c>
      <c r="D62" s="198"/>
      <c r="E62" s="198"/>
      <c r="F62" s="198"/>
      <c r="G62" s="199"/>
    </row>
    <row r="63" spans="1:7" ht="15" customHeight="1" x14ac:dyDescent="0.25">
      <c r="C63" s="656" t="s">
        <v>759</v>
      </c>
      <c r="D63" s="657"/>
      <c r="E63" s="657"/>
      <c r="F63" s="657"/>
      <c r="G63" s="658"/>
    </row>
    <row r="64" spans="1:7" ht="15" customHeight="1" x14ac:dyDescent="0.25">
      <c r="C64" s="656"/>
      <c r="D64" s="657"/>
      <c r="E64" s="657"/>
      <c r="F64" s="657"/>
      <c r="G64" s="658"/>
    </row>
    <row r="65" spans="1:7" ht="15" customHeight="1" x14ac:dyDescent="0.25">
      <c r="C65" s="656"/>
      <c r="D65" s="657"/>
      <c r="E65" s="657"/>
      <c r="F65" s="657"/>
      <c r="G65" s="658"/>
    </row>
    <row r="66" spans="1:7" ht="15" customHeight="1" x14ac:dyDescent="0.25">
      <c r="C66" s="656"/>
      <c r="D66" s="657"/>
      <c r="E66" s="657"/>
      <c r="F66" s="657"/>
      <c r="G66" s="658"/>
    </row>
    <row r="67" spans="1:7" ht="15" customHeight="1" x14ac:dyDescent="0.25">
      <c r="C67" s="656"/>
      <c r="D67" s="657"/>
      <c r="E67" s="657"/>
      <c r="F67" s="657"/>
      <c r="G67" s="658"/>
    </row>
    <row r="68" spans="1:7" ht="15" customHeight="1" x14ac:dyDescent="0.25">
      <c r="C68" s="656"/>
      <c r="D68" s="657"/>
      <c r="E68" s="657"/>
      <c r="F68" s="657"/>
      <c r="G68" s="658"/>
    </row>
    <row r="69" spans="1:7" ht="15" customHeight="1" x14ac:dyDescent="0.25">
      <c r="C69" s="656"/>
      <c r="D69" s="657"/>
      <c r="E69" s="657"/>
      <c r="F69" s="657"/>
      <c r="G69" s="658"/>
    </row>
    <row r="70" spans="1:7" ht="15" customHeight="1" x14ac:dyDescent="0.25">
      <c r="C70" s="656"/>
      <c r="D70" s="657"/>
      <c r="E70" s="657"/>
      <c r="F70" s="657"/>
      <c r="G70" s="658"/>
    </row>
    <row r="71" spans="1:7" ht="15" customHeight="1" x14ac:dyDescent="0.25">
      <c r="C71" s="656"/>
      <c r="D71" s="657"/>
      <c r="E71" s="657"/>
      <c r="F71" s="657"/>
      <c r="G71" s="658"/>
    </row>
    <row r="72" spans="1:7" ht="15" customHeight="1" thickBot="1" x14ac:dyDescent="0.3">
      <c r="C72" s="659"/>
      <c r="D72" s="660"/>
      <c r="E72" s="660"/>
      <c r="F72" s="660"/>
      <c r="G72" s="661"/>
    </row>
    <row r="74" spans="1:7" ht="15.75" hidden="1" thickBot="1" x14ac:dyDescent="0.3"/>
    <row r="75" spans="1:7" ht="18.75" hidden="1" x14ac:dyDescent="0.3">
      <c r="C75" s="625" t="s">
        <v>113</v>
      </c>
      <c r="D75" s="626"/>
    </row>
    <row r="76" spans="1:7" ht="15.75" hidden="1" thickBot="1" x14ac:dyDescent="0.3">
      <c r="A76" s="119"/>
      <c r="C76" s="689" t="s">
        <v>161</v>
      </c>
      <c r="D76" s="681"/>
    </row>
    <row r="77" spans="1:7" ht="15.75" hidden="1" thickBot="1" x14ac:dyDescent="0.3">
      <c r="A77" s="119"/>
      <c r="C77" s="4"/>
      <c r="D77" s="35"/>
      <c r="F77" s="37" t="s">
        <v>288</v>
      </c>
      <c r="G77" s="42"/>
    </row>
    <row r="78" spans="1:7" hidden="1" x14ac:dyDescent="0.25">
      <c r="A78" s="119"/>
      <c r="C78" s="107"/>
      <c r="D78" s="109" t="s">
        <v>0</v>
      </c>
      <c r="F78" s="36" t="s">
        <v>631</v>
      </c>
      <c r="G78" s="112"/>
    </row>
    <row r="79" spans="1:7" hidden="1" x14ac:dyDescent="0.25">
      <c r="A79" s="119"/>
      <c r="C79" s="108"/>
      <c r="D79" s="110"/>
      <c r="F79" s="8" t="s">
        <v>136</v>
      </c>
      <c r="G79" s="112"/>
    </row>
    <row r="80" spans="1:7" ht="15.75" hidden="1" thickBot="1" x14ac:dyDescent="0.3">
      <c r="A80" s="119"/>
      <c r="C80" s="6" t="s">
        <v>26</v>
      </c>
      <c r="D80" s="7"/>
      <c r="F80" s="8" t="s">
        <v>632</v>
      </c>
      <c r="G80" s="112"/>
    </row>
    <row r="81" spans="1:9" hidden="1" x14ac:dyDescent="0.25">
      <c r="A81" s="119"/>
      <c r="C81" s="67"/>
      <c r="D81" s="78"/>
      <c r="F81" s="8" t="s">
        <v>137</v>
      </c>
      <c r="G81" s="112"/>
    </row>
    <row r="82" spans="1:9" ht="15.75" hidden="1" thickBot="1" x14ac:dyDescent="0.3">
      <c r="A82" s="119"/>
      <c r="C82" s="79"/>
      <c r="D82" s="80"/>
      <c r="F82" s="9" t="s">
        <v>24</v>
      </c>
      <c r="G82" s="24"/>
    </row>
    <row r="83" spans="1:9" hidden="1" x14ac:dyDescent="0.25"/>
    <row r="84" spans="1:9" hidden="1" x14ac:dyDescent="0.25"/>
    <row r="86" spans="1:9" ht="26.25" x14ac:dyDescent="0.25">
      <c r="C86" s="631" t="s">
        <v>138</v>
      </c>
      <c r="D86" s="631"/>
      <c r="E86" s="631"/>
      <c r="F86" s="631"/>
      <c r="G86" s="631"/>
    </row>
    <row r="88" spans="1:9" ht="15.75" thickBot="1" x14ac:dyDescent="0.3">
      <c r="C88" s="21"/>
    </row>
    <row r="89" spans="1:9" ht="26.25" customHeight="1" thickBot="1" x14ac:dyDescent="0.3">
      <c r="A89" s="245" t="s">
        <v>713</v>
      </c>
      <c r="C89" s="646" t="str">
        <f>"Congratulations, you have completed "&amp; COUNT(D32,D18,D45,D57,D81) &amp; " project(s)!"</f>
        <v>Congratulations, you have completed 0 project(s)!</v>
      </c>
      <c r="D89" s="647"/>
      <c r="E89" s="647"/>
      <c r="F89" s="647"/>
      <c r="G89" s="648"/>
      <c r="I89" s="184">
        <f>COUNT(D32,D18,D45,D57,D81)</f>
        <v>0</v>
      </c>
    </row>
    <row r="90" spans="1:9" ht="15.75" thickBot="1" x14ac:dyDescent="0.3"/>
    <row r="91" spans="1:9" ht="18.75" x14ac:dyDescent="0.3">
      <c r="C91" s="25"/>
      <c r="D91" s="26"/>
      <c r="F91" s="32"/>
      <c r="G91" s="26"/>
    </row>
    <row r="92" spans="1:9" x14ac:dyDescent="0.25">
      <c r="C92" s="27"/>
      <c r="D92" s="28"/>
      <c r="F92" s="33"/>
      <c r="G92" s="28"/>
    </row>
    <row r="93" spans="1:9" x14ac:dyDescent="0.25">
      <c r="C93" s="670" t="str">
        <f>TEXT(ROUND(G102,2),"#,###,###.###")&amp;"oz of VOC                     "&amp;  TEXT(ROUND(G103,0),"#,###,###")&amp;" lbs of CO2"&amp;"                               "&amp;TEXT(ROUND(G104,0),"#,###,###")&amp; " dollars"</f>
        <v>.oz of VOC                      lbs of CO2                                dollars</v>
      </c>
      <c r="D93" s="671"/>
      <c r="F93" s="623" t="str">
        <f>"Your CO2 saving is equal to "&amp;TEXT(ROUND(G105,0),"#,###,###")&amp;" tree seedlings growing for 10 years"</f>
        <v>Your CO2 saving is equal to  tree seedlings growing for 10 years</v>
      </c>
      <c r="G93" s="624"/>
    </row>
    <row r="94" spans="1:9" x14ac:dyDescent="0.25">
      <c r="C94" s="29"/>
      <c r="D94" s="28"/>
      <c r="F94" s="33"/>
      <c r="G94" s="28"/>
    </row>
    <row r="95" spans="1:9" x14ac:dyDescent="0.25">
      <c r="C95" s="29"/>
      <c r="D95" s="28"/>
      <c r="F95" s="33"/>
      <c r="G95" s="28"/>
    </row>
    <row r="96" spans="1:9" x14ac:dyDescent="0.25">
      <c r="C96" s="29"/>
      <c r="D96" s="28"/>
      <c r="F96" s="33"/>
      <c r="G96" s="28"/>
    </row>
    <row r="97" spans="3:7" x14ac:dyDescent="0.25">
      <c r="C97" s="29"/>
      <c r="D97" s="28"/>
      <c r="F97" s="33"/>
      <c r="G97" s="28"/>
    </row>
    <row r="98" spans="3:7" x14ac:dyDescent="0.25">
      <c r="C98" s="29"/>
      <c r="D98" s="28"/>
      <c r="F98" s="33"/>
      <c r="G98" s="28"/>
    </row>
    <row r="99" spans="3:7" ht="15.75" thickBot="1" x14ac:dyDescent="0.3">
      <c r="C99" s="30"/>
      <c r="D99" s="31"/>
      <c r="F99" s="30"/>
      <c r="G99" s="31"/>
    </row>
    <row r="101" spans="3:7" ht="15.75" thickBot="1" x14ac:dyDescent="0.3">
      <c r="C101" s="6" t="s">
        <v>156</v>
      </c>
      <c r="D101" s="6"/>
      <c r="F101" s="6" t="s">
        <v>133</v>
      </c>
      <c r="G101" s="6"/>
    </row>
    <row r="102" spans="3:7" x14ac:dyDescent="0.25">
      <c r="C102" s="328" t="s">
        <v>545</v>
      </c>
      <c r="D102" s="329">
        <f>IFERROR(G15,0)</f>
        <v>0</v>
      </c>
      <c r="F102" s="8" t="s">
        <v>544</v>
      </c>
      <c r="G102" s="115">
        <f>G19</f>
        <v>0</v>
      </c>
    </row>
    <row r="103" spans="3:7" ht="15.75" thickBot="1" x14ac:dyDescent="0.3">
      <c r="C103" s="330" t="s">
        <v>128</v>
      </c>
      <c r="D103" s="331">
        <f>IFERROR(G16,0)</f>
        <v>0</v>
      </c>
      <c r="F103" s="8" t="s">
        <v>130</v>
      </c>
      <c r="G103" s="115">
        <f>IFERROR(ROUND(G32+G45+G55+G79,2),0)</f>
        <v>0</v>
      </c>
    </row>
    <row r="104" spans="3:7" x14ac:dyDescent="0.25">
      <c r="C104" s="119"/>
      <c r="D104" s="119"/>
      <c r="F104" s="8" t="s">
        <v>270</v>
      </c>
      <c r="G104" s="115">
        <f>IFERROR(ROUND(G34+G46+G57+G81,2),0)</f>
        <v>0</v>
      </c>
    </row>
    <row r="105" spans="3:7" ht="15.75" thickBot="1" x14ac:dyDescent="0.3">
      <c r="C105" s="119"/>
      <c r="D105" s="119"/>
      <c r="F105" s="9" t="s">
        <v>24</v>
      </c>
      <c r="G105" s="51">
        <f>G103*'Conversion factors'!B26</f>
        <v>0</v>
      </c>
    </row>
    <row r="106" spans="3:7" x14ac:dyDescent="0.25">
      <c r="C106" s="119"/>
      <c r="D106" s="119"/>
    </row>
    <row r="112" spans="3:7" ht="26.25" customHeight="1" x14ac:dyDescent="0.25">
      <c r="C112" s="654" t="str">
        <f>"Wondering what would be the impact if "&amp;Introduction!B33&amp;" schools implemented the same projects as your school did?"</f>
        <v>Wondering what would be the impact if  schools implemented the same projects as your school did?</v>
      </c>
      <c r="D112" s="655"/>
      <c r="E112" s="655"/>
      <c r="F112" s="655"/>
      <c r="G112" s="655"/>
    </row>
    <row r="114" spans="3:7" ht="15.75" thickBot="1" x14ac:dyDescent="0.3"/>
    <row r="115" spans="3:7" ht="18.75" x14ac:dyDescent="0.3">
      <c r="C115" s="25"/>
      <c r="D115" s="26"/>
      <c r="F115" s="32"/>
      <c r="G115" s="26"/>
    </row>
    <row r="116" spans="3:7" x14ac:dyDescent="0.25">
      <c r="C116" s="27"/>
      <c r="D116" s="28"/>
      <c r="F116" s="33"/>
      <c r="G116" s="28"/>
    </row>
    <row r="117" spans="3:7" x14ac:dyDescent="0.25">
      <c r="C117" s="672" t="str">
        <f>TEXT(ROUND(D126,2),"#,###,###.###")&amp;"oz of VOC                            "&amp; TEXT(ROUND(D127,0),"#,###,###,###")&amp;" lbs of CO2"&amp;"                         "&amp;TEXT(ROUND(D128,0),"#,###,###,###")&amp; " dollars"</f>
        <v>.oz of VOC                             lbs of CO2                          dollars</v>
      </c>
      <c r="D117" s="673"/>
      <c r="F117" s="623" t="str">
        <f>"Your CO2 saving is equal to "&amp;TEXT(ROUND(D129,0),"#,###,###,###")&amp;" tree seedlings growing for 10 years"</f>
        <v>Your CO2 saving is equal to  tree seedlings growing for 10 years</v>
      </c>
      <c r="G117" s="624"/>
    </row>
    <row r="118" spans="3:7" x14ac:dyDescent="0.25">
      <c r="C118" s="29"/>
      <c r="D118" s="28"/>
      <c r="F118" s="33"/>
      <c r="G118" s="28"/>
    </row>
    <row r="119" spans="3:7" x14ac:dyDescent="0.25">
      <c r="C119" s="29"/>
      <c r="D119" s="28"/>
      <c r="F119" s="33"/>
      <c r="G119" s="28"/>
    </row>
    <row r="120" spans="3:7" x14ac:dyDescent="0.25">
      <c r="C120" s="29"/>
      <c r="D120" s="28"/>
      <c r="F120" s="33"/>
      <c r="G120" s="28"/>
    </row>
    <row r="121" spans="3:7" x14ac:dyDescent="0.25">
      <c r="C121" s="29"/>
      <c r="D121" s="28"/>
      <c r="F121" s="33"/>
      <c r="G121" s="28"/>
    </row>
    <row r="122" spans="3:7" x14ac:dyDescent="0.25">
      <c r="C122" s="29"/>
      <c r="D122" s="28"/>
      <c r="F122" s="33"/>
      <c r="G122" s="28"/>
    </row>
    <row r="123" spans="3:7" ht="15.75" thickBot="1" x14ac:dyDescent="0.3">
      <c r="C123" s="30"/>
      <c r="D123" s="31"/>
      <c r="F123" s="30"/>
      <c r="G123" s="31"/>
    </row>
    <row r="125" spans="3:7" x14ac:dyDescent="0.25">
      <c r="C125" s="121" t="s">
        <v>775</v>
      </c>
      <c r="D125" s="6"/>
    </row>
    <row r="126" spans="3:7" x14ac:dyDescent="0.25">
      <c r="C126" s="8" t="s">
        <v>633</v>
      </c>
      <c r="D126" s="115">
        <f>IFERROR(G102*Introduction!B33,"")</f>
        <v>0</v>
      </c>
    </row>
    <row r="127" spans="3:7" x14ac:dyDescent="0.25">
      <c r="C127" s="8" t="s">
        <v>131</v>
      </c>
      <c r="D127" s="115">
        <f>IFERROR(G103*Introduction!B33,0)</f>
        <v>0</v>
      </c>
    </row>
    <row r="128" spans="3:7" x14ac:dyDescent="0.25">
      <c r="C128" s="8" t="s">
        <v>132</v>
      </c>
      <c r="D128" s="115">
        <f>IFERROR(G104*Introduction!B33,0)</f>
        <v>0</v>
      </c>
    </row>
    <row r="129" spans="3:4" ht="15.75" thickBot="1" x14ac:dyDescent="0.3">
      <c r="C129" s="9" t="s">
        <v>24</v>
      </c>
      <c r="D129" s="116">
        <f>IFERROR(G105*Introduction!B33,0)</f>
        <v>0</v>
      </c>
    </row>
  </sheetData>
  <protectedRanges>
    <protectedRange sqref="D57" name="ProjectFour"/>
    <protectedRange sqref="D45:D46" name="ProejctThree"/>
    <protectedRange sqref="D32:D33" name="ProjectTwo"/>
    <protectedRange sqref="D18:D19" name="ProjectOne"/>
  </protectedRanges>
  <mergeCells count="31">
    <mergeCell ref="C51:D51"/>
    <mergeCell ref="C52:D52"/>
    <mergeCell ref="C54:C55"/>
    <mergeCell ref="D54:D55"/>
    <mergeCell ref="C63:G72"/>
    <mergeCell ref="C112:G112"/>
    <mergeCell ref="C117:D117"/>
    <mergeCell ref="F117:G117"/>
    <mergeCell ref="C75:D75"/>
    <mergeCell ref="C76:D76"/>
    <mergeCell ref="C86:G86"/>
    <mergeCell ref="C89:G89"/>
    <mergeCell ref="C93:D93"/>
    <mergeCell ref="F93:G93"/>
    <mergeCell ref="C40:D40"/>
    <mergeCell ref="C42:C43"/>
    <mergeCell ref="D42:D43"/>
    <mergeCell ref="A33:A35"/>
    <mergeCell ref="A46:A50"/>
    <mergeCell ref="C1:G1"/>
    <mergeCell ref="C3:G3"/>
    <mergeCell ref="C12:D12"/>
    <mergeCell ref="C13:D13"/>
    <mergeCell ref="C39:D39"/>
    <mergeCell ref="C26:D26"/>
    <mergeCell ref="C27:D27"/>
    <mergeCell ref="C29:C30"/>
    <mergeCell ref="D29:D30"/>
    <mergeCell ref="C15:C16"/>
    <mergeCell ref="D15:D16"/>
    <mergeCell ref="C24:G24"/>
  </mergeCells>
  <dataValidations count="4">
    <dataValidation type="whole" allowBlank="1" showInputMessage="1" showErrorMessage="1" sqref="D21">
      <formula1>0</formula1>
      <formula2>100</formula2>
    </dataValidation>
    <dataValidation type="whole" allowBlank="1" showInputMessage="1" showErrorMessage="1" sqref="D81">
      <formula1>0</formula1>
      <formula2>100000</formula2>
    </dataValidation>
    <dataValidation type="decimal" operator="greaterThanOrEqual" allowBlank="1" showInputMessage="1" showErrorMessage="1" sqref="D19">
      <formula1>D18</formula1>
    </dataValidation>
    <dataValidation type="decimal" operator="lessThanOrEqual" allowBlank="1" showInputMessage="1" showErrorMessage="1" sqref="D18">
      <formula1>D19</formula1>
    </dataValidation>
  </dataValidations>
  <hyperlinks>
    <hyperlink ref="A18" location="Glossary!A21" display="VOCs definition"/>
    <hyperlink ref="A44" location="'Healthy School Buildings'!A1" display="Jump to the top of the page"/>
    <hyperlink ref="A9" location="'Healthy School Buildings'!A98" display="Jump to the summary section"/>
    <hyperlink ref="A31" location="'Healthy School Buildings'!A1" display="Jump to the top of the page"/>
    <hyperlink ref="A56" location="'Healthy School Buildings'!A1" display="Jump to the top of the page"/>
    <hyperlink ref="A89" location="'Healthy School Buildings'!A1" display="Jump to the top of the pag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showGridLines="0" zoomScaleNormal="100" workbookViewId="0">
      <selection activeCell="F54" sqref="F54"/>
    </sheetView>
  </sheetViews>
  <sheetFormatPr defaultColWidth="11.42578125" defaultRowHeight="15" x14ac:dyDescent="0.25"/>
  <cols>
    <col min="1" max="1" width="38.42578125" customWidth="1"/>
    <col min="2" max="2" width="7.140625" customWidth="1"/>
    <col min="3" max="3" width="53.140625" customWidth="1"/>
    <col min="4" max="4" width="21.42578125" customWidth="1"/>
    <col min="5" max="5" width="7.140625" customWidth="1"/>
    <col min="6" max="6" width="48.42578125" customWidth="1"/>
    <col min="7" max="7" width="21.42578125" customWidth="1"/>
  </cols>
  <sheetData>
    <row r="1" spans="1:14" ht="51" customHeight="1" x14ac:dyDescent="0.25">
      <c r="C1" s="622" t="s">
        <v>162</v>
      </c>
      <c r="D1" s="622"/>
      <c r="E1" s="622"/>
      <c r="F1" s="622"/>
      <c r="G1" s="622"/>
    </row>
    <row r="2" spans="1:14" s="119" customFormat="1" x14ac:dyDescent="0.25">
      <c r="G2" s="467" t="s">
        <v>906</v>
      </c>
      <c r="N2" s="46"/>
    </row>
    <row r="3" spans="1:14" ht="26.25" x14ac:dyDescent="0.25">
      <c r="C3" s="622" t="s">
        <v>144</v>
      </c>
      <c r="D3" s="622"/>
      <c r="E3" s="622"/>
      <c r="F3" s="622"/>
      <c r="G3" s="622"/>
    </row>
    <row r="4" spans="1:14" ht="15.75" thickBot="1" x14ac:dyDescent="0.3">
      <c r="N4" s="46"/>
    </row>
    <row r="5" spans="1:14" s="119" customFormat="1" ht="27" customHeight="1" x14ac:dyDescent="0.25">
      <c r="C5" s="239" t="s">
        <v>557</v>
      </c>
      <c r="D5" s="240"/>
      <c r="E5" s="240"/>
      <c r="F5" s="240"/>
      <c r="G5" s="241"/>
      <c r="N5" s="46"/>
    </row>
    <row r="6" spans="1:14" s="119" customFormat="1" ht="27" customHeight="1" x14ac:dyDescent="0.25">
      <c r="C6" s="242" t="s">
        <v>590</v>
      </c>
      <c r="D6" s="143"/>
      <c r="E6" s="143"/>
      <c r="F6" s="143"/>
      <c r="G6" s="5"/>
      <c r="N6" s="46"/>
    </row>
    <row r="7" spans="1:14" s="119" customFormat="1" ht="27" customHeight="1" x14ac:dyDescent="0.25">
      <c r="C7" s="242" t="s">
        <v>904</v>
      </c>
      <c r="D7" s="143"/>
      <c r="E7" s="143"/>
      <c r="F7" s="143"/>
      <c r="G7" s="5"/>
    </row>
    <row r="8" spans="1:14" s="119" customFormat="1" ht="27" customHeight="1" thickBot="1" x14ac:dyDescent="0.3">
      <c r="C8" s="242" t="s">
        <v>591</v>
      </c>
      <c r="D8" s="143"/>
      <c r="E8" s="143"/>
      <c r="F8" s="143"/>
      <c r="G8" s="5"/>
      <c r="N8" s="46"/>
    </row>
    <row r="9" spans="1:14" ht="27" customHeight="1" thickBot="1" x14ac:dyDescent="0.3">
      <c r="A9" s="245" t="s">
        <v>712</v>
      </c>
      <c r="C9" s="242" t="s">
        <v>592</v>
      </c>
      <c r="D9" s="143"/>
      <c r="E9" s="143"/>
      <c r="F9" s="143"/>
      <c r="G9" s="5"/>
      <c r="N9" s="1"/>
    </row>
    <row r="10" spans="1:14" s="119" customFormat="1" ht="27" customHeight="1" thickBot="1" x14ac:dyDescent="0.3">
      <c r="C10" s="243" t="s">
        <v>751</v>
      </c>
      <c r="D10" s="244"/>
      <c r="E10" s="244"/>
      <c r="F10" s="244"/>
      <c r="G10" s="170"/>
      <c r="J10" s="96"/>
    </row>
    <row r="11" spans="1:14" x14ac:dyDescent="0.25">
      <c r="N11" s="62"/>
    </row>
    <row r="12" spans="1:14" ht="19.5" thickBot="1" x14ac:dyDescent="0.3">
      <c r="C12" s="635" t="s">
        <v>29</v>
      </c>
      <c r="D12" s="636"/>
      <c r="N12" s="1"/>
    </row>
    <row r="13" spans="1:14" ht="23.25" customHeight="1" thickBot="1" x14ac:dyDescent="0.3">
      <c r="C13" s="638" t="s">
        <v>637</v>
      </c>
      <c r="D13" s="639"/>
      <c r="F13" s="205" t="s">
        <v>94</v>
      </c>
      <c r="G13" s="145"/>
      <c r="N13" s="63"/>
    </row>
    <row r="14" spans="1:14" ht="18" customHeight="1" thickBot="1" x14ac:dyDescent="0.3">
      <c r="B14" s="119"/>
      <c r="C14" s="119"/>
      <c r="F14" s="91" t="s">
        <v>631</v>
      </c>
      <c r="G14" s="154">
        <f>IFERROR(IF(D21&lt;&gt;"",(D20-D21)*D23,0),0)</f>
        <v>0</v>
      </c>
      <c r="N14" s="1"/>
    </row>
    <row r="15" spans="1:14" x14ac:dyDescent="0.25">
      <c r="A15" s="197"/>
      <c r="C15" s="610" t="s">
        <v>320</v>
      </c>
      <c r="D15" s="612" t="s">
        <v>0</v>
      </c>
      <c r="F15" s="123" t="s">
        <v>136</v>
      </c>
      <c r="G15" s="154">
        <f>IFERROR(G14*'Conversion factors'!B42,"")</f>
        <v>0</v>
      </c>
      <c r="N15" s="1"/>
    </row>
    <row r="16" spans="1:14" x14ac:dyDescent="0.25">
      <c r="A16" s="197"/>
      <c r="C16" s="611"/>
      <c r="D16" s="613"/>
      <c r="F16" s="123" t="s">
        <v>178</v>
      </c>
      <c r="G16" s="154">
        <f>IFERROR(IF(D21&lt;&gt;"",IF(D19*(D20-D21)=0,(D20-D21)*'Conversion factors'!B128,D19*(D20-D21)),0),0)</f>
        <v>0</v>
      </c>
      <c r="N16" s="62"/>
    </row>
    <row r="17" spans="1:14" ht="15.75" customHeight="1" thickBot="1" x14ac:dyDescent="0.3">
      <c r="C17" s="6" t="s">
        <v>26</v>
      </c>
      <c r="D17" s="7"/>
      <c r="F17" s="123" t="s">
        <v>137</v>
      </c>
      <c r="G17" s="154">
        <f>G16*'Conversion factors'!B42</f>
        <v>0</v>
      </c>
      <c r="N17" s="1"/>
    </row>
    <row r="18" spans="1:14" ht="15.75" customHeight="1" thickBot="1" x14ac:dyDescent="0.3">
      <c r="A18" s="227" t="s">
        <v>556</v>
      </c>
      <c r="C18" s="67" t="s">
        <v>25</v>
      </c>
      <c r="D18" s="68"/>
      <c r="F18" s="124" t="s">
        <v>24</v>
      </c>
      <c r="G18" s="133">
        <f>G15*'Conversion factors'!B48</f>
        <v>0</v>
      </c>
      <c r="N18" s="1"/>
    </row>
    <row r="19" spans="1:14" ht="17.25" customHeight="1" thickBot="1" x14ac:dyDescent="0.3">
      <c r="A19" s="666" t="s">
        <v>889</v>
      </c>
      <c r="C19" s="58" t="s">
        <v>638</v>
      </c>
      <c r="D19" s="128"/>
      <c r="F19" s="35"/>
      <c r="N19" s="63"/>
    </row>
    <row r="20" spans="1:14" ht="30.75" customHeight="1" x14ac:dyDescent="0.25">
      <c r="A20" s="666"/>
      <c r="C20" s="58" t="s">
        <v>174</v>
      </c>
      <c r="D20" s="181"/>
      <c r="F20" s="205" t="s">
        <v>27</v>
      </c>
      <c r="G20" s="38"/>
      <c r="N20" s="63"/>
    </row>
    <row r="21" spans="1:14" ht="30.75" thickBot="1" x14ac:dyDescent="0.3">
      <c r="A21" s="667"/>
      <c r="C21" s="393" t="s">
        <v>175</v>
      </c>
      <c r="D21" s="394"/>
      <c r="F21" s="338" t="s">
        <v>595</v>
      </c>
      <c r="G21" s="154">
        <f>IFERROR(G15*D18,0)</f>
        <v>0</v>
      </c>
      <c r="N21" s="1"/>
    </row>
    <row r="22" spans="1:14" x14ac:dyDescent="0.25">
      <c r="C22" s="125" t="s">
        <v>905</v>
      </c>
      <c r="D22" s="411"/>
      <c r="F22" s="147" t="s">
        <v>93</v>
      </c>
      <c r="G22" s="154">
        <f>IFERROR(D18*G17,0)</f>
        <v>0</v>
      </c>
      <c r="N22" s="59"/>
    </row>
    <row r="23" spans="1:14" ht="15.75" thickBot="1" x14ac:dyDescent="0.3">
      <c r="C23" s="395" t="s">
        <v>173</v>
      </c>
      <c r="D23" s="76">
        <f>'Conversion factors'!B125</f>
        <v>0.10912883850000001</v>
      </c>
      <c r="F23" s="124" t="s">
        <v>24</v>
      </c>
      <c r="G23" s="133">
        <f>IFERROR(G21*'Conversion factors'!B48,0)</f>
        <v>0</v>
      </c>
      <c r="N23" s="64"/>
    </row>
    <row r="24" spans="1:14" x14ac:dyDescent="0.25">
      <c r="N24" s="63"/>
    </row>
    <row r="25" spans="1:14" x14ac:dyDescent="0.25">
      <c r="N25" s="46"/>
    </row>
    <row r="26" spans="1:14" x14ac:dyDescent="0.25">
      <c r="N26" s="1"/>
    </row>
    <row r="27" spans="1:14" ht="19.5" thickBot="1" x14ac:dyDescent="0.35">
      <c r="C27" s="633" t="s">
        <v>36</v>
      </c>
      <c r="D27" s="634"/>
      <c r="N27" s="63"/>
    </row>
    <row r="28" spans="1:14" x14ac:dyDescent="0.25">
      <c r="C28" s="638" t="s">
        <v>179</v>
      </c>
      <c r="D28" s="639"/>
      <c r="F28" s="37" t="s">
        <v>94</v>
      </c>
      <c r="G28" s="42"/>
      <c r="N28" s="1"/>
    </row>
    <row r="29" spans="1:14" ht="15.75" thickBot="1" x14ac:dyDescent="0.3">
      <c r="C29" s="119"/>
      <c r="F29" s="36" t="s">
        <v>631</v>
      </c>
      <c r="G29" s="154">
        <f>IFERROR(D37-D38,0)</f>
        <v>0</v>
      </c>
      <c r="N29" s="63"/>
    </row>
    <row r="30" spans="1:14" ht="15.75" thickBot="1" x14ac:dyDescent="0.3">
      <c r="C30" s="610" t="s">
        <v>180</v>
      </c>
      <c r="D30" s="612" t="s">
        <v>0</v>
      </c>
      <c r="F30" s="8" t="s">
        <v>136</v>
      </c>
      <c r="G30" s="154">
        <f>G29*'Conversion factors'!B42</f>
        <v>0</v>
      </c>
      <c r="N30" s="1"/>
    </row>
    <row r="31" spans="1:14" ht="15.75" thickBot="1" x14ac:dyDescent="0.3">
      <c r="A31" s="245" t="s">
        <v>713</v>
      </c>
      <c r="C31" s="611"/>
      <c r="D31" s="613"/>
      <c r="F31" s="8" t="s">
        <v>211</v>
      </c>
      <c r="G31" s="154">
        <f>IFERROR(D34*('Conversion factors'!B154-'Conversion factors'!B153),0)</f>
        <v>0</v>
      </c>
      <c r="N31" s="1"/>
    </row>
    <row r="32" spans="1:14" ht="15.75" thickBot="1" x14ac:dyDescent="0.3">
      <c r="C32" s="6" t="s">
        <v>26</v>
      </c>
      <c r="D32" s="7"/>
      <c r="F32" s="8" t="s">
        <v>212</v>
      </c>
      <c r="G32" s="154">
        <f>IFERROR(G31*'Conversion factors'!B42,0)</f>
        <v>0</v>
      </c>
      <c r="N32" s="1"/>
    </row>
    <row r="33" spans="1:14" ht="15.75" thickBot="1" x14ac:dyDescent="0.3">
      <c r="C33" s="77" t="s">
        <v>25</v>
      </c>
      <c r="D33" s="174"/>
      <c r="F33" s="9" t="s">
        <v>24</v>
      </c>
      <c r="G33" s="133">
        <f>G30*'Conversion factors'!B48</f>
        <v>0</v>
      </c>
      <c r="N33" s="1"/>
    </row>
    <row r="34" spans="1:14" ht="15.75" thickBot="1" x14ac:dyDescent="0.3">
      <c r="C34" s="146" t="s">
        <v>181</v>
      </c>
      <c r="D34" s="175"/>
      <c r="F34" s="35"/>
      <c r="N34" s="1"/>
    </row>
    <row r="35" spans="1:14" x14ac:dyDescent="0.25">
      <c r="C35" s="396" t="s">
        <v>905</v>
      </c>
      <c r="D35" s="414"/>
      <c r="F35" s="37" t="s">
        <v>27</v>
      </c>
      <c r="G35" s="38"/>
      <c r="N35" s="1"/>
    </row>
    <row r="36" spans="1:14" ht="30" x14ac:dyDescent="0.25">
      <c r="C36" s="147" t="s">
        <v>204</v>
      </c>
      <c r="D36" s="176">
        <f>D34/'Conversion factors'!B136*'Conversion factors'!B139</f>
        <v>0</v>
      </c>
      <c r="F36" s="57" t="s">
        <v>595</v>
      </c>
      <c r="G36" s="173">
        <f>IFERROR(G30*D33,0)</f>
        <v>0</v>
      </c>
      <c r="N36" s="1"/>
    </row>
    <row r="37" spans="1:14" x14ac:dyDescent="0.25">
      <c r="C37" s="123" t="s">
        <v>205</v>
      </c>
      <c r="D37" s="176">
        <f>IFERROR(D36*'Conversion factors'!B147,0)</f>
        <v>0</v>
      </c>
      <c r="F37" s="8" t="s">
        <v>93</v>
      </c>
      <c r="G37" s="173">
        <f>IFERROR(D33*G32,0)</f>
        <v>0</v>
      </c>
    </row>
    <row r="38" spans="1:14" ht="15.75" thickBot="1" x14ac:dyDescent="0.3">
      <c r="C38" s="74" t="s">
        <v>208</v>
      </c>
      <c r="D38" s="177">
        <f>IFERROR(D36*'Conversion factors'!B150,0)</f>
        <v>0</v>
      </c>
      <c r="F38" s="49" t="s">
        <v>24</v>
      </c>
      <c r="G38" s="156">
        <f>IFERROR(G36*'Conversion factors'!B48,0)</f>
        <v>0</v>
      </c>
    </row>
    <row r="39" spans="1:14" s="119" customFormat="1" x14ac:dyDescent="0.25">
      <c r="C39" s="397"/>
      <c r="D39" s="398"/>
      <c r="F39" s="94"/>
      <c r="G39" s="399"/>
    </row>
    <row r="40" spans="1:14" s="119" customFormat="1" x14ac:dyDescent="0.25">
      <c r="C40" s="397"/>
      <c r="D40" s="398"/>
      <c r="F40" s="94"/>
      <c r="G40" s="399"/>
    </row>
    <row r="41" spans="1:14" ht="15.75" thickBot="1" x14ac:dyDescent="0.3">
      <c r="N41" s="66"/>
    </row>
    <row r="42" spans="1:14" ht="18" customHeight="1" x14ac:dyDescent="0.3">
      <c r="C42" s="633" t="s">
        <v>95</v>
      </c>
      <c r="D42" s="634"/>
      <c r="F42" s="37" t="s">
        <v>94</v>
      </c>
      <c r="G42" s="42"/>
      <c r="N42" s="66"/>
    </row>
    <row r="43" spans="1:14" ht="15" customHeight="1" x14ac:dyDescent="0.25">
      <c r="C43" s="638" t="s">
        <v>794</v>
      </c>
      <c r="D43" s="639"/>
      <c r="F43" s="36" t="s">
        <v>231</v>
      </c>
      <c r="G43" s="44">
        <f>IFERROR(D49*D52*'Conversion factors'!B$163,0)</f>
        <v>0</v>
      </c>
      <c r="N43" s="66"/>
    </row>
    <row r="44" spans="1:14" ht="15.75" thickBot="1" x14ac:dyDescent="0.3">
      <c r="A44" s="197"/>
      <c r="C44" s="119"/>
      <c r="F44" s="8" t="s">
        <v>221</v>
      </c>
      <c r="G44" s="44">
        <f>IFERROR(D49*D53*'Conversion factors'!B$163,0)</f>
        <v>0</v>
      </c>
      <c r="N44" s="66"/>
    </row>
    <row r="45" spans="1:14" x14ac:dyDescent="0.25">
      <c r="A45" s="197"/>
      <c r="C45" s="610" t="s">
        <v>790</v>
      </c>
      <c r="D45" s="612" t="s">
        <v>0</v>
      </c>
      <c r="F45" s="8" t="s">
        <v>154</v>
      </c>
      <c r="G45" s="44">
        <f>IFERROR(IF(D49*D52*D50=0,D49*D52*'Conversion factors'!B176,D49*D52*D50/'Conversion factors'!B18/'Conversion factors'!B172),0)</f>
        <v>0</v>
      </c>
      <c r="N45" s="66"/>
    </row>
    <row r="46" spans="1:14" x14ac:dyDescent="0.25">
      <c r="A46" s="197"/>
      <c r="C46" s="611"/>
      <c r="D46" s="613"/>
      <c r="F46" s="8" t="s">
        <v>1</v>
      </c>
      <c r="G46" s="44">
        <f>IFERROR(IF(D49*D53*D50=0,D49*D53*'Conversion factors'!B176,D49*D53*D50/'Conversion factors'!B18/'Conversion factors'!B172),0)</f>
        <v>0</v>
      </c>
    </row>
    <row r="47" spans="1:14" ht="15.75" thickBot="1" x14ac:dyDescent="0.3">
      <c r="C47" s="6" t="s">
        <v>26</v>
      </c>
      <c r="D47" s="7"/>
      <c r="F47" s="9" t="s">
        <v>24</v>
      </c>
      <c r="G47" s="17">
        <f>IFERROR(G44*'Conversion factors'!B48,0)</f>
        <v>0</v>
      </c>
    </row>
    <row r="48" spans="1:14" ht="15.75" customHeight="1" thickBot="1" x14ac:dyDescent="0.3">
      <c r="A48" s="245" t="s">
        <v>713</v>
      </c>
      <c r="C48" s="67" t="s">
        <v>25</v>
      </c>
      <c r="D48" s="68"/>
      <c r="F48" s="35"/>
    </row>
    <row r="49" spans="1:7" x14ac:dyDescent="0.25">
      <c r="A49" s="227" t="s">
        <v>560</v>
      </c>
      <c r="C49" s="58" t="s">
        <v>224</v>
      </c>
      <c r="D49" s="11"/>
      <c r="F49" s="37" t="s">
        <v>27</v>
      </c>
      <c r="G49" s="38"/>
    </row>
    <row r="50" spans="1:7" ht="30" customHeight="1" x14ac:dyDescent="0.25">
      <c r="A50" s="666" t="s">
        <v>890</v>
      </c>
      <c r="C50" s="180" t="s">
        <v>629</v>
      </c>
      <c r="D50" s="181"/>
      <c r="F50" s="338" t="s">
        <v>595</v>
      </c>
      <c r="G50" s="172">
        <f>IFERROR(G44*D48,0)</f>
        <v>0</v>
      </c>
    </row>
    <row r="51" spans="1:7" x14ac:dyDescent="0.25">
      <c r="A51" s="666"/>
      <c r="C51" s="396" t="s">
        <v>905</v>
      </c>
      <c r="D51" s="414"/>
      <c r="F51" s="147" t="s">
        <v>93</v>
      </c>
      <c r="G51" s="172">
        <f>IFERROR(D48*G46,0)</f>
        <v>0</v>
      </c>
    </row>
    <row r="52" spans="1:7" ht="30.75" thickBot="1" x14ac:dyDescent="0.3">
      <c r="A52" s="667"/>
      <c r="C52" s="57" t="s">
        <v>321</v>
      </c>
      <c r="D52" s="340">
        <f>'Conversion factors'!B133/12</f>
        <v>15.208333333333334</v>
      </c>
      <c r="F52" s="49" t="s">
        <v>24</v>
      </c>
      <c r="G52" s="51">
        <f>IFERROR(G50*'Conversion factors'!B48,0)</f>
        <v>0</v>
      </c>
    </row>
    <row r="53" spans="1:7" ht="30.75" thickBot="1" x14ac:dyDescent="0.3">
      <c r="C53" s="74" t="s">
        <v>322</v>
      </c>
      <c r="D53" s="341">
        <f>'Conversion factors'!B133</f>
        <v>182.5</v>
      </c>
    </row>
    <row r="55" spans="1:7" s="119" customFormat="1" x14ac:dyDescent="0.25"/>
    <row r="56" spans="1:7" ht="15.75" thickBot="1" x14ac:dyDescent="0.3"/>
    <row r="57" spans="1:7" ht="21.95" customHeight="1" thickBot="1" x14ac:dyDescent="0.35">
      <c r="A57" s="245" t="s">
        <v>713</v>
      </c>
      <c r="C57" s="633" t="s">
        <v>110</v>
      </c>
      <c r="D57" s="634"/>
      <c r="F57" s="37" t="s">
        <v>94</v>
      </c>
      <c r="G57" s="42"/>
    </row>
    <row r="58" spans="1:7" ht="30.75" customHeight="1" x14ac:dyDescent="0.25">
      <c r="A58" s="230" t="s">
        <v>560</v>
      </c>
      <c r="C58" s="638" t="s">
        <v>289</v>
      </c>
      <c r="D58" s="639"/>
      <c r="F58" s="339" t="s">
        <v>613</v>
      </c>
      <c r="G58" s="173">
        <f>IFERROR(D64*'Conversion factors'!B196,0)</f>
        <v>0</v>
      </c>
    </row>
    <row r="59" spans="1:7" ht="15" customHeight="1" thickBot="1" x14ac:dyDescent="0.3">
      <c r="A59" s="686" t="s">
        <v>232</v>
      </c>
      <c r="C59" s="119"/>
      <c r="F59" s="8" t="s">
        <v>136</v>
      </c>
      <c r="G59" s="154">
        <f>IFERROR(G58*'Conversion factors'!B41,0)</f>
        <v>0</v>
      </c>
    </row>
    <row r="60" spans="1:7" ht="15.75" thickBot="1" x14ac:dyDescent="0.3">
      <c r="A60" s="690"/>
      <c r="C60" s="610" t="s">
        <v>233</v>
      </c>
      <c r="D60" s="612" t="s">
        <v>0</v>
      </c>
      <c r="F60" s="8" t="s">
        <v>248</v>
      </c>
      <c r="G60" s="154">
        <f>IFERROR(D64*'Conversion factors'!B179,0)</f>
        <v>0</v>
      </c>
    </row>
    <row r="61" spans="1:7" x14ac:dyDescent="0.25">
      <c r="C61" s="611"/>
      <c r="D61" s="613"/>
      <c r="F61" s="8" t="s">
        <v>249</v>
      </c>
      <c r="G61" s="154">
        <f>IFERROR(G60*'Conversion factors'!B41,0)</f>
        <v>0</v>
      </c>
    </row>
    <row r="62" spans="1:7" ht="15.75" thickBot="1" x14ac:dyDescent="0.3">
      <c r="C62" s="6" t="s">
        <v>26</v>
      </c>
      <c r="D62" s="7"/>
      <c r="F62" s="9" t="s">
        <v>24</v>
      </c>
      <c r="G62" s="133">
        <f>IFERROR(G59*'Conversion factors'!B48,0)</f>
        <v>0</v>
      </c>
    </row>
    <row r="63" spans="1:7" ht="15.75" thickBot="1" x14ac:dyDescent="0.3">
      <c r="C63" s="77" t="s">
        <v>25</v>
      </c>
      <c r="D63" s="400"/>
      <c r="F63" s="35"/>
    </row>
    <row r="64" spans="1:7" ht="30" x14ac:dyDescent="0.25">
      <c r="C64" s="146" t="s">
        <v>234</v>
      </c>
      <c r="D64" s="386"/>
      <c r="F64" s="205" t="s">
        <v>27</v>
      </c>
      <c r="G64" s="38"/>
    </row>
    <row r="65" spans="1:7" ht="30.75" thickBot="1" x14ac:dyDescent="0.3">
      <c r="C65" s="401" t="s">
        <v>905</v>
      </c>
      <c r="D65" s="415"/>
      <c r="F65" s="57" t="s">
        <v>92</v>
      </c>
      <c r="G65" s="154">
        <f>IFERROR(G59*D63,0)</f>
        <v>0</v>
      </c>
    </row>
    <row r="66" spans="1:7" x14ac:dyDescent="0.25">
      <c r="F66" s="8" t="s">
        <v>93</v>
      </c>
      <c r="G66" s="154">
        <f>IFERROR(D63*G61,0)</f>
        <v>0</v>
      </c>
    </row>
    <row r="67" spans="1:7" ht="15.75" thickBot="1" x14ac:dyDescent="0.3">
      <c r="F67" s="9" t="s">
        <v>24</v>
      </c>
      <c r="G67" s="133">
        <f>IFERROR(G65*'Conversion factors'!B48,0)</f>
        <v>0</v>
      </c>
    </row>
    <row r="71" spans="1:7" ht="26.25" x14ac:dyDescent="0.25">
      <c r="C71" s="622" t="s">
        <v>139</v>
      </c>
      <c r="D71" s="622"/>
      <c r="E71" s="622"/>
      <c r="F71" s="622"/>
      <c r="G71" s="622"/>
    </row>
    <row r="74" spans="1:7" ht="15.75" thickBot="1" x14ac:dyDescent="0.3"/>
    <row r="75" spans="1:7" ht="18.75" x14ac:dyDescent="0.3">
      <c r="C75" s="633" t="s">
        <v>113</v>
      </c>
      <c r="D75" s="634"/>
      <c r="F75" s="37" t="s">
        <v>94</v>
      </c>
      <c r="G75" s="42"/>
    </row>
    <row r="76" spans="1:7" x14ac:dyDescent="0.25">
      <c r="C76" s="638" t="s">
        <v>250</v>
      </c>
      <c r="D76" s="639"/>
      <c r="F76" s="36" t="s">
        <v>639</v>
      </c>
      <c r="G76" s="44">
        <f>IFERROR((D81*'Conversion factors'!B200-((D81-D82)*'Conversion factors'!B200+'Waste and Recycling'!D82*'Conversion factors'!B201))*'Conversion factors'!B10,0)</f>
        <v>0</v>
      </c>
    </row>
    <row r="77" spans="1:7" ht="15.75" thickBot="1" x14ac:dyDescent="0.3">
      <c r="C77" s="119"/>
      <c r="F77" s="8" t="s">
        <v>640</v>
      </c>
      <c r="G77" s="44">
        <f>IFERROR(G76*3,0)</f>
        <v>0</v>
      </c>
    </row>
    <row r="78" spans="1:7" ht="15.75" thickBot="1" x14ac:dyDescent="0.3">
      <c r="A78" s="245" t="s">
        <v>713</v>
      </c>
      <c r="C78" s="610" t="s">
        <v>859</v>
      </c>
      <c r="D78" s="612" t="s">
        <v>0</v>
      </c>
      <c r="F78" s="8" t="s">
        <v>298</v>
      </c>
      <c r="G78" s="15">
        <f>IFERROR(D82*('Conversion factors'!B210*'Conversion factors'!C207),0)</f>
        <v>0</v>
      </c>
    </row>
    <row r="79" spans="1:7" x14ac:dyDescent="0.25">
      <c r="C79" s="611"/>
      <c r="D79" s="613"/>
      <c r="F79" s="147" t="s">
        <v>836</v>
      </c>
      <c r="G79" s="149">
        <f>IFERROR(G78*3,0)</f>
        <v>0</v>
      </c>
    </row>
    <row r="80" spans="1:7" ht="15.75" thickBot="1" x14ac:dyDescent="0.3">
      <c r="C80" s="6" t="s">
        <v>26</v>
      </c>
      <c r="D80" s="7"/>
      <c r="F80" s="49" t="s">
        <v>24</v>
      </c>
      <c r="G80" s="51">
        <f>IFERROR(G77*'Conversion factors'!B48,0)</f>
        <v>0</v>
      </c>
    </row>
    <row r="81" spans="1:8" ht="30" x14ac:dyDescent="0.25">
      <c r="C81" s="67" t="s">
        <v>641</v>
      </c>
      <c r="D81" s="178"/>
    </row>
    <row r="82" spans="1:8" ht="30" x14ac:dyDescent="0.25">
      <c r="C82" s="146" t="s">
        <v>642</v>
      </c>
      <c r="D82" s="386"/>
      <c r="F82" s="119"/>
      <c r="H82" s="119"/>
    </row>
    <row r="83" spans="1:8" ht="15.75" thickBot="1" x14ac:dyDescent="0.3">
      <c r="C83" s="401" t="s">
        <v>905</v>
      </c>
      <c r="D83" s="415"/>
      <c r="G83" s="119"/>
      <c r="H83" s="119"/>
    </row>
    <row r="84" spans="1:8" s="473" customFormat="1" x14ac:dyDescent="0.25">
      <c r="C84" s="474"/>
      <c r="D84" s="475"/>
    </row>
    <row r="85" spans="1:8" s="473" customFormat="1" x14ac:dyDescent="0.25">
      <c r="C85" s="474"/>
      <c r="D85" s="475"/>
    </row>
    <row r="86" spans="1:8" s="473" customFormat="1" ht="15.75" thickBot="1" x14ac:dyDescent="0.3"/>
    <row r="87" spans="1:8" s="119" customFormat="1" ht="18.75" x14ac:dyDescent="0.3">
      <c r="C87" s="633" t="s">
        <v>151</v>
      </c>
      <c r="D87" s="634"/>
      <c r="F87" s="144" t="s">
        <v>94</v>
      </c>
      <c r="G87" s="145"/>
    </row>
    <row r="88" spans="1:8" s="119" customFormat="1" x14ac:dyDescent="0.25">
      <c r="C88" s="638" t="s">
        <v>789</v>
      </c>
      <c r="D88" s="639"/>
      <c r="F88" s="36" t="s">
        <v>838</v>
      </c>
      <c r="G88" s="44">
        <f>D93*'Conversion factors'!B163</f>
        <v>0</v>
      </c>
    </row>
    <row r="89" spans="1:8" s="119" customFormat="1" ht="15.75" thickBot="1" x14ac:dyDescent="0.3">
      <c r="F89" s="123" t="s">
        <v>837</v>
      </c>
      <c r="G89" s="44">
        <f>IFERROR(G88*'Conversion factors'!B42,0)</f>
        <v>0</v>
      </c>
    </row>
    <row r="90" spans="1:8" s="119" customFormat="1" ht="15.75" thickBot="1" x14ac:dyDescent="0.3">
      <c r="A90" s="245" t="s">
        <v>713</v>
      </c>
      <c r="C90" s="610" t="s">
        <v>789</v>
      </c>
      <c r="D90" s="612" t="s">
        <v>0</v>
      </c>
      <c r="F90" s="123" t="s">
        <v>795</v>
      </c>
      <c r="G90" s="15">
        <f>IFERROR(IF(D93*D94=0,D93*'Conversion factors'!B176,D93*D94/'Conversion factors'!B18/'Conversion factors'!B172),0)</f>
        <v>0</v>
      </c>
    </row>
    <row r="91" spans="1:8" s="119" customFormat="1" x14ac:dyDescent="0.25">
      <c r="A91" s="227" t="s">
        <v>560</v>
      </c>
      <c r="C91" s="611"/>
      <c r="D91" s="613"/>
      <c r="F91" s="147" t="s">
        <v>836</v>
      </c>
      <c r="G91" s="149">
        <f>IFERROR(G90*'Conversion factors'!B42,0)</f>
        <v>0</v>
      </c>
    </row>
    <row r="92" spans="1:8" s="119" customFormat="1" ht="15.75" customHeight="1" thickBot="1" x14ac:dyDescent="0.3">
      <c r="A92" s="691" t="s">
        <v>891</v>
      </c>
      <c r="C92" s="121" t="s">
        <v>26</v>
      </c>
      <c r="D92" s="122"/>
      <c r="F92" s="49" t="s">
        <v>24</v>
      </c>
      <c r="G92" s="51">
        <f>IFERROR(G89*'Conversion factors'!B48,0)</f>
        <v>0</v>
      </c>
    </row>
    <row r="93" spans="1:8" s="119" customFormat="1" x14ac:dyDescent="0.25">
      <c r="A93" s="691"/>
      <c r="C93" s="67" t="s">
        <v>792</v>
      </c>
      <c r="D93" s="178"/>
    </row>
    <row r="94" spans="1:8" s="119" customFormat="1" x14ac:dyDescent="0.25">
      <c r="A94" s="691"/>
      <c r="C94" s="180" t="s">
        <v>629</v>
      </c>
      <c r="D94" s="181"/>
    </row>
    <row r="95" spans="1:8" s="119" customFormat="1" ht="15.75" thickBot="1" x14ac:dyDescent="0.3">
      <c r="A95" s="691"/>
      <c r="C95" s="401" t="s">
        <v>905</v>
      </c>
      <c r="D95" s="415"/>
    </row>
    <row r="96" spans="1:8" s="119" customFormat="1" ht="15.75" thickBot="1" x14ac:dyDescent="0.3">
      <c r="A96" s="692"/>
    </row>
    <row r="97" spans="1:8" x14ac:dyDescent="0.25">
      <c r="F97" s="119"/>
      <c r="G97" s="119"/>
      <c r="H97" s="119"/>
    </row>
    <row r="98" spans="1:8" s="119" customFormat="1" ht="15.75" thickBot="1" x14ac:dyDescent="0.3"/>
    <row r="99" spans="1:8" s="119" customFormat="1" ht="18.75" x14ac:dyDescent="0.3">
      <c r="C99" s="633" t="s">
        <v>793</v>
      </c>
      <c r="D99" s="634"/>
      <c r="F99" s="144" t="s">
        <v>94</v>
      </c>
      <c r="G99" s="145"/>
    </row>
    <row r="100" spans="1:8" s="119" customFormat="1" x14ac:dyDescent="0.25">
      <c r="C100" s="638" t="s">
        <v>831</v>
      </c>
      <c r="D100" s="639"/>
      <c r="F100" s="36" t="s">
        <v>631</v>
      </c>
      <c r="G100" s="44">
        <f>D105*'Conversion factors'!B182*'Conversion factors'!B163*5</f>
        <v>0</v>
      </c>
    </row>
    <row r="101" spans="1:8" s="119" customFormat="1" ht="15.75" thickBot="1" x14ac:dyDescent="0.3">
      <c r="F101" s="123" t="s">
        <v>837</v>
      </c>
      <c r="G101" s="44">
        <f>IFERROR(G100*'Conversion factors'!B42,0)</f>
        <v>0</v>
      </c>
    </row>
    <row r="102" spans="1:8" s="119" customFormat="1" ht="15.75" thickBot="1" x14ac:dyDescent="0.3">
      <c r="A102" s="245" t="s">
        <v>713</v>
      </c>
      <c r="C102" s="610" t="s">
        <v>831</v>
      </c>
      <c r="D102" s="612" t="s">
        <v>0</v>
      </c>
      <c r="F102" s="123" t="s">
        <v>795</v>
      </c>
      <c r="G102" s="15">
        <f>IFERROR(IF(D105*D106=0,D105*'Conversion factors'!B176,D105*D106/'Conversion factors'!B18/'Conversion factors'!B172),0)</f>
        <v>0</v>
      </c>
    </row>
    <row r="103" spans="1:8" s="119" customFormat="1" x14ac:dyDescent="0.25">
      <c r="A103" s="227" t="s">
        <v>560</v>
      </c>
      <c r="C103" s="611"/>
      <c r="D103" s="613"/>
      <c r="F103" s="147" t="s">
        <v>269</v>
      </c>
      <c r="G103" s="149">
        <f>IFERROR(G102*'Conversion factors'!B42,0)</f>
        <v>0</v>
      </c>
    </row>
    <row r="104" spans="1:8" s="119" customFormat="1" ht="15.75" customHeight="1" thickBot="1" x14ac:dyDescent="0.3">
      <c r="A104" s="691" t="s">
        <v>892</v>
      </c>
      <c r="C104" s="121" t="s">
        <v>26</v>
      </c>
      <c r="D104" s="122"/>
      <c r="F104" s="49" t="s">
        <v>24</v>
      </c>
      <c r="G104" s="51">
        <f>IFERROR(G101*'Conversion factors'!B48,0)</f>
        <v>0</v>
      </c>
    </row>
    <row r="105" spans="1:8" s="119" customFormat="1" x14ac:dyDescent="0.25">
      <c r="A105" s="691"/>
      <c r="C105" s="67" t="s">
        <v>832</v>
      </c>
      <c r="D105" s="178"/>
    </row>
    <row r="106" spans="1:8" s="119" customFormat="1" x14ac:dyDescent="0.25">
      <c r="A106" s="691"/>
      <c r="C106" s="180" t="s">
        <v>629</v>
      </c>
      <c r="D106" s="181"/>
      <c r="F106" s="535"/>
    </row>
    <row r="107" spans="1:8" s="119" customFormat="1" ht="15.75" thickBot="1" x14ac:dyDescent="0.3">
      <c r="A107" s="691"/>
      <c r="C107" s="401" t="s">
        <v>905</v>
      </c>
      <c r="D107" s="415"/>
    </row>
    <row r="108" spans="1:8" s="119" customFormat="1" ht="15.75" thickBot="1" x14ac:dyDescent="0.3">
      <c r="A108" s="692"/>
    </row>
    <row r="109" spans="1:8" ht="15" customHeight="1" x14ac:dyDescent="0.25">
      <c r="G109" s="55"/>
    </row>
    <row r="110" spans="1:8" s="119" customFormat="1" ht="15" customHeight="1" thickBot="1" x14ac:dyDescent="0.3">
      <c r="F110" s="143"/>
      <c r="G110" s="55"/>
    </row>
    <row r="111" spans="1:8" s="119" customFormat="1" ht="18.75" x14ac:dyDescent="0.3">
      <c r="C111" s="633" t="s">
        <v>839</v>
      </c>
      <c r="D111" s="634"/>
      <c r="F111" s="144" t="s">
        <v>94</v>
      </c>
      <c r="G111" s="145"/>
    </row>
    <row r="112" spans="1:8" s="119" customFormat="1" x14ac:dyDescent="0.25">
      <c r="C112" s="638" t="s">
        <v>840</v>
      </c>
      <c r="D112" s="639"/>
      <c r="F112" s="36" t="s">
        <v>838</v>
      </c>
      <c r="G112" s="44">
        <f>D117*'Conversion factors'!B185*'Conversion factors'!B163*5</f>
        <v>0</v>
      </c>
    </row>
    <row r="113" spans="1:7" s="119" customFormat="1" ht="15.75" thickBot="1" x14ac:dyDescent="0.3">
      <c r="F113" s="123" t="s">
        <v>837</v>
      </c>
      <c r="G113" s="44">
        <f>IFERROR(G112*'Conversion factors'!B42,0)</f>
        <v>0</v>
      </c>
    </row>
    <row r="114" spans="1:7" s="119" customFormat="1" ht="15.75" thickBot="1" x14ac:dyDescent="0.3">
      <c r="A114" s="245" t="s">
        <v>713</v>
      </c>
      <c r="C114" s="610" t="s">
        <v>840</v>
      </c>
      <c r="D114" s="612" t="s">
        <v>0</v>
      </c>
      <c r="F114" s="123" t="s">
        <v>795</v>
      </c>
      <c r="G114" s="15">
        <f>IFERROR(IF(D117*D118=0,D117*'Conversion factors'!B176,D117*D118/'Conversion factors'!B18/'Conversion factors'!B172),0)</f>
        <v>0</v>
      </c>
    </row>
    <row r="115" spans="1:7" s="119" customFormat="1" x14ac:dyDescent="0.25">
      <c r="A115" s="227" t="s">
        <v>560</v>
      </c>
      <c r="C115" s="611"/>
      <c r="D115" s="613"/>
      <c r="F115" s="147" t="s">
        <v>269</v>
      </c>
      <c r="G115" s="149">
        <f>IFERROR(G114*'Conversion factors'!B42,0)</f>
        <v>0</v>
      </c>
    </row>
    <row r="116" spans="1:7" s="119" customFormat="1" ht="15.75" customHeight="1" thickBot="1" x14ac:dyDescent="0.3">
      <c r="A116" s="691" t="s">
        <v>893</v>
      </c>
      <c r="C116" s="121" t="s">
        <v>26</v>
      </c>
      <c r="D116" s="122"/>
      <c r="F116" s="49" t="s">
        <v>24</v>
      </c>
      <c r="G116" s="51">
        <f>IFERROR(G113*'Conversion factors'!B48,0)</f>
        <v>0</v>
      </c>
    </row>
    <row r="117" spans="1:7" s="119" customFormat="1" x14ac:dyDescent="0.25">
      <c r="A117" s="691"/>
      <c r="C117" s="67" t="s">
        <v>848</v>
      </c>
      <c r="D117" s="178"/>
    </row>
    <row r="118" spans="1:7" s="119" customFormat="1" x14ac:dyDescent="0.25">
      <c r="A118" s="691"/>
      <c r="C118" s="180" t="s">
        <v>629</v>
      </c>
      <c r="D118" s="181"/>
      <c r="F118" s="535"/>
    </row>
    <row r="119" spans="1:7" s="119" customFormat="1" ht="15.75" thickBot="1" x14ac:dyDescent="0.3">
      <c r="A119" s="691"/>
      <c r="C119" s="401" t="s">
        <v>905</v>
      </c>
      <c r="D119" s="415"/>
      <c r="F119" s="535"/>
    </row>
    <row r="120" spans="1:7" s="119" customFormat="1" ht="15.75" thickBot="1" x14ac:dyDescent="0.3">
      <c r="A120" s="692"/>
    </row>
    <row r="121" spans="1:7" s="119" customFormat="1" ht="15" customHeight="1" x14ac:dyDescent="0.25">
      <c r="F121" s="143"/>
      <c r="G121" s="55"/>
    </row>
    <row r="122" spans="1:7" s="119" customFormat="1" ht="15" customHeight="1" thickBot="1" x14ac:dyDescent="0.3">
      <c r="F122" s="143"/>
      <c r="G122" s="55"/>
    </row>
    <row r="123" spans="1:7" s="119" customFormat="1" ht="18.75" x14ac:dyDescent="0.3">
      <c r="C123" s="633" t="s">
        <v>849</v>
      </c>
      <c r="D123" s="634"/>
      <c r="F123" s="144" t="s">
        <v>94</v>
      </c>
      <c r="G123" s="145"/>
    </row>
    <row r="124" spans="1:7" s="119" customFormat="1" x14ac:dyDescent="0.25">
      <c r="C124" s="638" t="s">
        <v>855</v>
      </c>
      <c r="D124" s="639"/>
      <c r="F124" s="36" t="s">
        <v>838</v>
      </c>
      <c r="G124" s="44">
        <f>D129*D130*'Conversion factors'!B190*'Conversion factors'!B163*5</f>
        <v>0</v>
      </c>
    </row>
    <row r="125" spans="1:7" s="119" customFormat="1" ht="15.75" thickBot="1" x14ac:dyDescent="0.3">
      <c r="F125" s="123" t="s">
        <v>837</v>
      </c>
      <c r="G125" s="44">
        <f>IFERROR(G124*'Conversion factors'!B42,0)</f>
        <v>0</v>
      </c>
    </row>
    <row r="126" spans="1:7" s="119" customFormat="1" ht="15.75" thickBot="1" x14ac:dyDescent="0.3">
      <c r="A126" s="245" t="s">
        <v>713</v>
      </c>
      <c r="C126" s="610" t="s">
        <v>855</v>
      </c>
      <c r="D126" s="612" t="s">
        <v>0</v>
      </c>
      <c r="F126" s="123" t="s">
        <v>795</v>
      </c>
      <c r="G126" s="15">
        <f>IFERROR(IF(D133*D131=0,D133*'Conversion factors'!B176,D133*D131/'Conversion factors'!B18/'Conversion factors'!B172),0)</f>
        <v>0</v>
      </c>
    </row>
    <row r="127" spans="1:7" s="119" customFormat="1" x14ac:dyDescent="0.25">
      <c r="A127" s="227" t="s">
        <v>560</v>
      </c>
      <c r="C127" s="611"/>
      <c r="D127" s="613"/>
      <c r="F127" s="147" t="s">
        <v>269</v>
      </c>
      <c r="G127" s="149">
        <f>IFERROR(G126*'Conversion factors'!B42,0)</f>
        <v>0</v>
      </c>
    </row>
    <row r="128" spans="1:7" s="119" customFormat="1" ht="15.75" customHeight="1" thickBot="1" x14ac:dyDescent="0.3">
      <c r="A128" s="691" t="s">
        <v>894</v>
      </c>
      <c r="C128" s="121" t="s">
        <v>26</v>
      </c>
      <c r="D128" s="122"/>
      <c r="F128" s="49" t="s">
        <v>24</v>
      </c>
      <c r="G128" s="51">
        <f>IFERROR(G125*'Conversion factors'!B48,0)</f>
        <v>0</v>
      </c>
    </row>
    <row r="129" spans="1:7" s="119" customFormat="1" x14ac:dyDescent="0.25">
      <c r="A129" s="691"/>
      <c r="C129" s="67" t="s">
        <v>616</v>
      </c>
      <c r="D129" s="178"/>
    </row>
    <row r="130" spans="1:7" s="119" customFormat="1" x14ac:dyDescent="0.25">
      <c r="A130" s="691"/>
      <c r="C130" s="58" t="s">
        <v>851</v>
      </c>
      <c r="D130" s="537"/>
    </row>
    <row r="131" spans="1:7" s="119" customFormat="1" x14ac:dyDescent="0.25">
      <c r="A131" s="691"/>
      <c r="C131" s="180" t="s">
        <v>629</v>
      </c>
      <c r="D131" s="181"/>
      <c r="F131" s="535"/>
    </row>
    <row r="132" spans="1:7" s="119" customFormat="1" ht="30" x14ac:dyDescent="0.25">
      <c r="A132" s="691"/>
      <c r="C132" s="180" t="s">
        <v>905</v>
      </c>
      <c r="D132" s="555"/>
      <c r="F132" s="535"/>
    </row>
    <row r="133" spans="1:7" s="119" customFormat="1" ht="15.75" thickBot="1" x14ac:dyDescent="0.3">
      <c r="A133" s="692"/>
      <c r="C133" s="538" t="s">
        <v>856</v>
      </c>
      <c r="D133" s="539">
        <f>D129*D130*'Conversion factors'!B190</f>
        <v>0</v>
      </c>
    </row>
    <row r="134" spans="1:7" s="119" customFormat="1" x14ac:dyDescent="0.25">
      <c r="A134" s="536"/>
    </row>
    <row r="135" spans="1:7" s="119" customFormat="1" ht="15.75" thickBot="1" x14ac:dyDescent="0.3">
      <c r="A135" s="536"/>
    </row>
    <row r="136" spans="1:7" s="119" customFormat="1" ht="19.5" customHeight="1" x14ac:dyDescent="0.3">
      <c r="C136" s="200" t="s">
        <v>559</v>
      </c>
      <c r="D136" s="198"/>
      <c r="E136" s="198"/>
      <c r="F136" s="198"/>
      <c r="G136" s="199"/>
    </row>
    <row r="137" spans="1:7" ht="15" customHeight="1" x14ac:dyDescent="0.25">
      <c r="C137" s="693" t="s">
        <v>797</v>
      </c>
      <c r="D137" s="694"/>
      <c r="E137" s="694"/>
      <c r="F137" s="694"/>
      <c r="G137" s="695"/>
    </row>
    <row r="138" spans="1:7" ht="15" customHeight="1" x14ac:dyDescent="0.25">
      <c r="C138" s="693"/>
      <c r="D138" s="694"/>
      <c r="E138" s="694"/>
      <c r="F138" s="694"/>
      <c r="G138" s="695"/>
    </row>
    <row r="139" spans="1:7" ht="15" customHeight="1" thickBot="1" x14ac:dyDescent="0.3">
      <c r="C139" s="693"/>
      <c r="D139" s="694"/>
      <c r="E139" s="694"/>
      <c r="F139" s="694"/>
      <c r="G139" s="695"/>
    </row>
    <row r="140" spans="1:7" ht="15" customHeight="1" x14ac:dyDescent="0.25">
      <c r="A140" s="227" t="s">
        <v>556</v>
      </c>
      <c r="C140" s="693"/>
      <c r="D140" s="694"/>
      <c r="E140" s="694"/>
      <c r="F140" s="694"/>
      <c r="G140" s="695"/>
    </row>
    <row r="141" spans="1:7" ht="15" customHeight="1" thickBot="1" x14ac:dyDescent="0.3">
      <c r="A141" s="236" t="s">
        <v>702</v>
      </c>
      <c r="C141" s="693"/>
      <c r="D141" s="694"/>
      <c r="E141" s="694"/>
      <c r="F141" s="694"/>
      <c r="G141" s="695"/>
    </row>
    <row r="142" spans="1:7" ht="15" customHeight="1" x14ac:dyDescent="0.25">
      <c r="A142" s="365"/>
      <c r="C142" s="693"/>
      <c r="D142" s="694"/>
      <c r="E142" s="694"/>
      <c r="F142" s="694"/>
      <c r="G142" s="695"/>
    </row>
    <row r="143" spans="1:7" ht="15" customHeight="1" x14ac:dyDescent="0.25">
      <c r="C143" s="693"/>
      <c r="D143" s="694"/>
      <c r="E143" s="694"/>
      <c r="F143" s="694"/>
      <c r="G143" s="695"/>
    </row>
    <row r="144" spans="1:7" ht="15" customHeight="1" x14ac:dyDescent="0.25">
      <c r="C144" s="693"/>
      <c r="D144" s="694"/>
      <c r="E144" s="694"/>
      <c r="F144" s="694"/>
      <c r="G144" s="695"/>
    </row>
    <row r="145" spans="1:7" ht="15" customHeight="1" x14ac:dyDescent="0.25">
      <c r="C145" s="693"/>
      <c r="D145" s="694"/>
      <c r="E145" s="694"/>
      <c r="F145" s="694"/>
      <c r="G145" s="695"/>
    </row>
    <row r="146" spans="1:7" ht="15" customHeight="1" x14ac:dyDescent="0.25">
      <c r="C146" s="693"/>
      <c r="D146" s="694"/>
      <c r="E146" s="694"/>
      <c r="F146" s="694"/>
      <c r="G146" s="695"/>
    </row>
    <row r="147" spans="1:7" ht="15" customHeight="1" x14ac:dyDescent="0.25">
      <c r="C147" s="693"/>
      <c r="D147" s="694"/>
      <c r="E147" s="694"/>
      <c r="F147" s="694"/>
      <c r="G147" s="695"/>
    </row>
    <row r="148" spans="1:7" ht="15" customHeight="1" x14ac:dyDescent="0.25">
      <c r="C148" s="693"/>
      <c r="D148" s="694"/>
      <c r="E148" s="694"/>
      <c r="F148" s="694"/>
      <c r="G148" s="695"/>
    </row>
    <row r="149" spans="1:7" ht="15" customHeight="1" x14ac:dyDescent="0.25">
      <c r="C149" s="693"/>
      <c r="D149" s="694"/>
      <c r="E149" s="694"/>
      <c r="F149" s="694"/>
      <c r="G149" s="695"/>
    </row>
    <row r="150" spans="1:7" ht="15" customHeight="1" x14ac:dyDescent="0.25">
      <c r="C150" s="693"/>
      <c r="D150" s="694"/>
      <c r="E150" s="694"/>
      <c r="F150" s="694"/>
      <c r="G150" s="695"/>
    </row>
    <row r="151" spans="1:7" ht="15" customHeight="1" thickBot="1" x14ac:dyDescent="0.3">
      <c r="C151" s="696"/>
      <c r="D151" s="697"/>
      <c r="E151" s="697"/>
      <c r="F151" s="697"/>
      <c r="G151" s="698"/>
    </row>
    <row r="152" spans="1:7" ht="15" customHeight="1" thickBot="1" x14ac:dyDescent="0.3">
      <c r="A152" s="245" t="s">
        <v>713</v>
      </c>
    </row>
    <row r="153" spans="1:7" ht="18.75" customHeight="1" x14ac:dyDescent="0.3">
      <c r="A153" s="227" t="s">
        <v>556</v>
      </c>
      <c r="C153" s="625" t="s">
        <v>854</v>
      </c>
      <c r="D153" s="626"/>
      <c r="F153" s="52" t="s">
        <v>152</v>
      </c>
      <c r="G153" s="19"/>
    </row>
    <row r="154" spans="1:7" ht="48.95" customHeight="1" x14ac:dyDescent="0.25">
      <c r="A154" s="666" t="s">
        <v>164</v>
      </c>
      <c r="C154" s="689" t="s">
        <v>907</v>
      </c>
      <c r="D154" s="681"/>
      <c r="F154" s="48" t="s">
        <v>614</v>
      </c>
      <c r="G154" s="50">
        <f>IFERROR((D159-D160)*'Conversion factors'!B163,0)</f>
        <v>0</v>
      </c>
    </row>
    <row r="155" spans="1:7" ht="15.75" customHeight="1" thickBot="1" x14ac:dyDescent="0.3">
      <c r="A155" s="666"/>
      <c r="C155" s="119"/>
      <c r="D155" s="35"/>
      <c r="F155" s="48" t="s">
        <v>136</v>
      </c>
      <c r="G155" s="50">
        <f>IFERROR(G154*'Conversion factors'!B45,0)</f>
        <v>0</v>
      </c>
    </row>
    <row r="156" spans="1:7" ht="15" customHeight="1" x14ac:dyDescent="0.25">
      <c r="A156" s="237"/>
      <c r="C156" s="610"/>
      <c r="D156" s="612" t="s">
        <v>0</v>
      </c>
      <c r="F156" s="48" t="s">
        <v>154</v>
      </c>
      <c r="G156" s="50">
        <f>IFERROR((D159-D160)*'Conversion factors'!B176,0)</f>
        <v>0</v>
      </c>
    </row>
    <row r="157" spans="1:7" ht="15" customHeight="1" x14ac:dyDescent="0.25">
      <c r="A157" s="666" t="s">
        <v>600</v>
      </c>
      <c r="C157" s="611"/>
      <c r="D157" s="613"/>
      <c r="F157" s="48" t="s">
        <v>137</v>
      </c>
      <c r="G157" s="50">
        <f>IFERROR(G156*'Conversion factors'!B45,0)</f>
        <v>0</v>
      </c>
    </row>
    <row r="158" spans="1:7" ht="15.75" customHeight="1" thickBot="1" x14ac:dyDescent="0.3">
      <c r="A158" s="666"/>
      <c r="C158" s="6" t="s">
        <v>26</v>
      </c>
      <c r="D158" s="7"/>
      <c r="F158" s="49" t="s">
        <v>24</v>
      </c>
      <c r="G158" s="51">
        <f>IFERROR(G155*'Conversion factors'!B48,0)</f>
        <v>0</v>
      </c>
    </row>
    <row r="159" spans="1:7" ht="30.75" thickBot="1" x14ac:dyDescent="0.3">
      <c r="A159" s="667"/>
      <c r="C159" s="67" t="s">
        <v>717</v>
      </c>
      <c r="D159" s="78"/>
    </row>
    <row r="160" spans="1:7" ht="30" x14ac:dyDescent="0.25">
      <c r="A160" s="207"/>
      <c r="C160" s="146" t="s">
        <v>716</v>
      </c>
      <c r="D160" s="408"/>
    </row>
    <row r="161" spans="1:9" ht="15.75" thickBot="1" x14ac:dyDescent="0.3">
      <c r="C161" s="401" t="s">
        <v>905</v>
      </c>
      <c r="D161" s="415"/>
    </row>
    <row r="167" spans="1:9" ht="26.25" x14ac:dyDescent="0.25">
      <c r="C167" s="631" t="s">
        <v>138</v>
      </c>
      <c r="D167" s="631"/>
      <c r="E167" s="631"/>
      <c r="F167" s="631"/>
      <c r="G167" s="631"/>
    </row>
    <row r="169" spans="1:9" ht="15.75" thickBot="1" x14ac:dyDescent="0.3">
      <c r="C169" s="21"/>
    </row>
    <row r="170" spans="1:9" ht="26.25" customHeight="1" thickBot="1" x14ac:dyDescent="0.3">
      <c r="A170" s="245" t="s">
        <v>713</v>
      </c>
      <c r="C170" s="646" t="str">
        <f>"Congratulations, you have completed "&amp; COUNT(D20,D49,D34,D64,D82,D93,D160) &amp; " project(s)!"</f>
        <v>Congratulations, you have completed 0 project(s)!</v>
      </c>
      <c r="D170" s="647"/>
      <c r="E170" s="647"/>
      <c r="F170" s="647"/>
      <c r="G170" s="648"/>
      <c r="I170" s="184">
        <f>COUNT(D20,D49,D34,D64,D82,D160)</f>
        <v>0</v>
      </c>
    </row>
    <row r="171" spans="1:9" ht="15.75" thickBot="1" x14ac:dyDescent="0.3"/>
    <row r="172" spans="1:9" ht="18.75" x14ac:dyDescent="0.3">
      <c r="C172" s="25"/>
      <c r="D172" s="26"/>
      <c r="F172" s="32"/>
      <c r="G172" s="26"/>
    </row>
    <row r="173" spans="1:9" x14ac:dyDescent="0.25">
      <c r="C173" s="27"/>
      <c r="D173" s="28"/>
      <c r="F173" s="33"/>
      <c r="G173" s="28"/>
    </row>
    <row r="174" spans="1:9" x14ac:dyDescent="0.25">
      <c r="C174" s="670" t="str">
        <f>TEXT(ROUND(G185,0),"#,###,###")&amp;" lbs of CO2"&amp;"                                      "&amp;TEXT(ROUND(G186,0),"#,###,###")&amp; " dollars"</f>
        <v xml:space="preserve"> lbs of CO2                                       dollars</v>
      </c>
      <c r="D174" s="671"/>
      <c r="F174" s="623" t="str">
        <f>"Your CO2 saving is equal to "&amp;TEXT(ROUND(G187,0),"#,###,###")&amp;" tree seedlings growing for 10 years"</f>
        <v>Your CO2 saving is equal to  tree seedlings growing for 10 years</v>
      </c>
      <c r="G174" s="624"/>
    </row>
    <row r="175" spans="1:9" x14ac:dyDescent="0.25">
      <c r="C175" s="29"/>
      <c r="D175" s="28"/>
      <c r="F175" s="33"/>
      <c r="G175" s="28"/>
    </row>
    <row r="176" spans="1:9" x14ac:dyDescent="0.25">
      <c r="C176" s="29"/>
      <c r="D176" s="28"/>
      <c r="F176" s="33"/>
      <c r="G176" s="28"/>
    </row>
    <row r="177" spans="3:7" x14ac:dyDescent="0.25">
      <c r="C177" s="29"/>
      <c r="D177" s="28"/>
      <c r="F177" s="33"/>
      <c r="G177" s="28"/>
    </row>
    <row r="178" spans="3:7" x14ac:dyDescent="0.25">
      <c r="C178" s="29"/>
      <c r="D178" s="28"/>
      <c r="F178" s="33"/>
      <c r="G178" s="28"/>
    </row>
    <row r="179" spans="3:7" x14ac:dyDescent="0.25">
      <c r="C179" s="29"/>
      <c r="D179" s="28"/>
      <c r="F179" s="33"/>
      <c r="G179" s="28"/>
    </row>
    <row r="180" spans="3:7" ht="15.75" thickBot="1" x14ac:dyDescent="0.3">
      <c r="C180" s="30"/>
      <c r="D180" s="31"/>
      <c r="F180" s="30"/>
      <c r="G180" s="31"/>
    </row>
    <row r="182" spans="3:7" ht="15.75" thickBot="1" x14ac:dyDescent="0.3">
      <c r="C182" s="6" t="s">
        <v>156</v>
      </c>
      <c r="D182" s="6"/>
      <c r="F182" s="6" t="s">
        <v>133</v>
      </c>
      <c r="G182" s="6"/>
    </row>
    <row r="183" spans="3:7" x14ac:dyDescent="0.25">
      <c r="C183" s="20" t="s">
        <v>129</v>
      </c>
      <c r="D183" s="155">
        <f>IFERROR(G15+G30+G44+G59,0)</f>
        <v>0</v>
      </c>
      <c r="F183" s="8" t="s">
        <v>130</v>
      </c>
      <c r="G183" s="155">
        <f>IFERROR(ROUND(G77+G89+G155+G101+G113+G125,2),0)</f>
        <v>0</v>
      </c>
    </row>
    <row r="184" spans="3:7" x14ac:dyDescent="0.25">
      <c r="C184" s="8" t="s">
        <v>128</v>
      </c>
      <c r="D184" s="155">
        <f>IFERROR(G17-G32+G46+G61,0)</f>
        <v>0</v>
      </c>
      <c r="F184" s="8" t="s">
        <v>270</v>
      </c>
      <c r="G184" s="155">
        <f>IFERROR(ROUND(G79+G91+G157+G127+G115+G103,2),0)</f>
        <v>0</v>
      </c>
    </row>
    <row r="185" spans="3:7" ht="15.75" thickBot="1" x14ac:dyDescent="0.3">
      <c r="C185" s="9" t="s">
        <v>24</v>
      </c>
      <c r="D185" s="156">
        <f>D183*'Conversion factors'!B48</f>
        <v>0</v>
      </c>
      <c r="F185" s="8" t="s">
        <v>131</v>
      </c>
      <c r="G185" s="155">
        <f>IFERROR(D183+G183,0)</f>
        <v>0</v>
      </c>
    </row>
    <row r="186" spans="3:7" x14ac:dyDescent="0.25">
      <c r="F186" s="8" t="s">
        <v>132</v>
      </c>
      <c r="G186" s="155">
        <f>IFERROR(D184+G184,0)</f>
        <v>0</v>
      </c>
    </row>
    <row r="187" spans="3:7" ht="15.75" thickBot="1" x14ac:dyDescent="0.3">
      <c r="F187" s="9" t="s">
        <v>24</v>
      </c>
      <c r="G187" s="156">
        <f>G185*'Conversion factors'!B48</f>
        <v>0</v>
      </c>
    </row>
    <row r="193" spans="3:7" ht="26.25" customHeight="1" x14ac:dyDescent="0.25">
      <c r="C193" s="654" t="str">
        <f>"Wondering what would be the impact if "&amp;Introduction!B33&amp;" schools implemented the same projects as your school did?"</f>
        <v>Wondering what would be the impact if  schools implemented the same projects as your school did?</v>
      </c>
      <c r="D193" s="655"/>
      <c r="E193" s="655"/>
      <c r="F193" s="655"/>
      <c r="G193" s="655"/>
    </row>
    <row r="195" spans="3:7" ht="15.75" thickBot="1" x14ac:dyDescent="0.3"/>
    <row r="196" spans="3:7" ht="18.75" x14ac:dyDescent="0.3">
      <c r="C196" s="25"/>
      <c r="D196" s="26"/>
      <c r="F196" s="32"/>
      <c r="G196" s="26"/>
    </row>
    <row r="197" spans="3:7" x14ac:dyDescent="0.25">
      <c r="C197" s="27"/>
      <c r="D197" s="28"/>
      <c r="F197" s="33"/>
      <c r="G197" s="28"/>
    </row>
    <row r="198" spans="3:7" x14ac:dyDescent="0.25">
      <c r="C198" s="672" t="str">
        <f>TEXT(ROUND(D207,0),"#,###,###,###")&amp;" lbs of CO2"&amp;"                                                 "&amp;TEXT(ROUND(D208,0),"#,###,###,###")&amp; " dollars"</f>
        <v xml:space="preserve"> lbs of CO2                                                  dollars</v>
      </c>
      <c r="D198" s="673"/>
      <c r="F198" s="623" t="str">
        <f>"Your CO2 saving is equal to "&amp;TEXT(ROUND(D209,0),"#,###,###,###")&amp;" tree seedlings growing for 10 years"</f>
        <v>Your CO2 saving is equal to  tree seedlings growing for 10 years</v>
      </c>
      <c r="G198" s="624"/>
    </row>
    <row r="199" spans="3:7" x14ac:dyDescent="0.25">
      <c r="C199" s="29"/>
      <c r="D199" s="28"/>
      <c r="F199" s="33"/>
      <c r="G199" s="28"/>
    </row>
    <row r="200" spans="3:7" x14ac:dyDescent="0.25">
      <c r="C200" s="29"/>
      <c r="D200" s="28"/>
      <c r="F200" s="33"/>
      <c r="G200" s="28"/>
    </row>
    <row r="201" spans="3:7" x14ac:dyDescent="0.25">
      <c r="C201" s="29"/>
      <c r="D201" s="28"/>
      <c r="F201" s="33"/>
      <c r="G201" s="28"/>
    </row>
    <row r="202" spans="3:7" x14ac:dyDescent="0.25">
      <c r="C202" s="29"/>
      <c r="D202" s="28"/>
      <c r="F202" s="33"/>
      <c r="G202" s="28"/>
    </row>
    <row r="203" spans="3:7" x14ac:dyDescent="0.25">
      <c r="C203" s="29"/>
      <c r="D203" s="28"/>
      <c r="F203" s="33"/>
      <c r="G203" s="28"/>
    </row>
    <row r="204" spans="3:7" ht="15.75" thickBot="1" x14ac:dyDescent="0.3">
      <c r="C204" s="30"/>
      <c r="D204" s="31"/>
      <c r="F204" s="30"/>
      <c r="G204" s="31"/>
    </row>
    <row r="206" spans="3:7" ht="15.75" thickBot="1" x14ac:dyDescent="0.3">
      <c r="C206" s="121" t="s">
        <v>775</v>
      </c>
      <c r="D206" s="6"/>
    </row>
    <row r="207" spans="3:7" x14ac:dyDescent="0.25">
      <c r="C207" s="20" t="s">
        <v>131</v>
      </c>
      <c r="D207" s="155">
        <f>IFERROR(G185*Introduction!B33,0)</f>
        <v>0</v>
      </c>
    </row>
    <row r="208" spans="3:7" x14ac:dyDescent="0.25">
      <c r="C208" s="8" t="s">
        <v>132</v>
      </c>
      <c r="D208" s="155">
        <f>IFERROR(G186*Introduction!B33,0)</f>
        <v>0</v>
      </c>
    </row>
    <row r="209" spans="3:4" ht="15.75" thickBot="1" x14ac:dyDescent="0.3">
      <c r="C209" s="9" t="s">
        <v>24</v>
      </c>
      <c r="D209" s="156">
        <f>IFERROR(G187*Introduction!B33,0)</f>
        <v>0</v>
      </c>
    </row>
  </sheetData>
  <protectedRanges>
    <protectedRange sqref="D159:D160" name="ProjectSix"/>
    <protectedRange sqref="D81:D82 D93 D105 D117 D129:D130" name="ProjectFive"/>
    <protectedRange sqref="D63:D64" name="ProjectFour"/>
    <protectedRange sqref="D48:D50 D94 D106 D118 D131" name="ProjectThree"/>
    <protectedRange sqref="D33:D34" name="ProjectTwo"/>
    <protectedRange sqref="D18:D21" name="ProjectOne"/>
  </protectedRanges>
  <mergeCells count="60">
    <mergeCell ref="C126:C127"/>
    <mergeCell ref="D126:D127"/>
    <mergeCell ref="A128:A133"/>
    <mergeCell ref="C114:C115"/>
    <mergeCell ref="D114:D115"/>
    <mergeCell ref="A116:A120"/>
    <mergeCell ref="C123:D123"/>
    <mergeCell ref="C124:D124"/>
    <mergeCell ref="C102:C103"/>
    <mergeCell ref="D102:D103"/>
    <mergeCell ref="A104:A108"/>
    <mergeCell ref="C111:D111"/>
    <mergeCell ref="C112:D112"/>
    <mergeCell ref="C198:D198"/>
    <mergeCell ref="F198:G198"/>
    <mergeCell ref="C153:D153"/>
    <mergeCell ref="C154:D154"/>
    <mergeCell ref="C156:C157"/>
    <mergeCell ref="D156:D157"/>
    <mergeCell ref="C167:G167"/>
    <mergeCell ref="C170:G170"/>
    <mergeCell ref="C174:D174"/>
    <mergeCell ref="F174:G174"/>
    <mergeCell ref="C193:G193"/>
    <mergeCell ref="C43:D43"/>
    <mergeCell ref="C45:C46"/>
    <mergeCell ref="D45:D46"/>
    <mergeCell ref="C27:D27"/>
    <mergeCell ref="C28:D28"/>
    <mergeCell ref="C30:C31"/>
    <mergeCell ref="D30:D31"/>
    <mergeCell ref="C42:D42"/>
    <mergeCell ref="C1:G1"/>
    <mergeCell ref="C3:G3"/>
    <mergeCell ref="C12:D12"/>
    <mergeCell ref="C13:D13"/>
    <mergeCell ref="C15:C16"/>
    <mergeCell ref="D15:D16"/>
    <mergeCell ref="C137:G151"/>
    <mergeCell ref="C75:D75"/>
    <mergeCell ref="C71:G71"/>
    <mergeCell ref="C57:D57"/>
    <mergeCell ref="C58:D58"/>
    <mergeCell ref="C60:C61"/>
    <mergeCell ref="D60:D61"/>
    <mergeCell ref="D78:D79"/>
    <mergeCell ref="C76:D76"/>
    <mergeCell ref="C78:C79"/>
    <mergeCell ref="C87:D87"/>
    <mergeCell ref="C88:D88"/>
    <mergeCell ref="C90:C91"/>
    <mergeCell ref="D90:D91"/>
    <mergeCell ref="C99:D99"/>
    <mergeCell ref="C100:D100"/>
    <mergeCell ref="A154:A155"/>
    <mergeCell ref="A157:A159"/>
    <mergeCell ref="A59:A60"/>
    <mergeCell ref="A50:A52"/>
    <mergeCell ref="A19:A21"/>
    <mergeCell ref="A92:A96"/>
  </mergeCells>
  <dataValidations count="4">
    <dataValidation type="whole" allowBlank="1" showInputMessage="1" showErrorMessage="1" sqref="D159">
      <formula1>0</formula1>
      <formula2>100000</formula2>
    </dataValidation>
    <dataValidation type="whole" allowBlank="1" showInputMessage="1" showErrorMessage="1" sqref="D162">
      <formula1>0</formula1>
      <formula2>10000</formula2>
    </dataValidation>
    <dataValidation type="whole" operator="lessThanOrEqual" allowBlank="1" showInputMessage="1" showErrorMessage="1" sqref="D82">
      <formula1>D81</formula1>
    </dataValidation>
    <dataValidation type="whole" operator="greaterThanOrEqual" allowBlank="1" showInputMessage="1" showErrorMessage="1" sqref="D81">
      <formula1>D82</formula1>
    </dataValidation>
  </dataValidations>
  <hyperlinks>
    <hyperlink ref="A141" location="Glossary!A23" display="Terracycle definition"/>
    <hyperlink ref="A9" location="'Waste and Recycling'!A127" display="Jump to the summary section"/>
    <hyperlink ref="A152" location="'Waste and Recycling'!A1" display="Jump to the top of the page"/>
    <hyperlink ref="A78" location="'Waste and Recycling'!A1" display="Jump to the top of the page"/>
    <hyperlink ref="A31" location="'Waste and Recycling'!A1" display="Jump to the top of the page"/>
    <hyperlink ref="A48" location="'Waste and Recycling'!A1" display="Jump to the top of the page"/>
    <hyperlink ref="A57" location="'Waste and Recycling'!A1" display="Jump to the top of the page"/>
    <hyperlink ref="A170" location="'Waste and Recycling'!A1" display="Jump to the top of the page"/>
    <hyperlink ref="A90" location="'Waste and Recycling'!A1" display="Jump to the top of the page"/>
    <hyperlink ref="A102" location="'Waste and Recycling'!A1" display="Jump to the top of the page"/>
    <hyperlink ref="A114" location="'Waste and Recycling'!A1" display="Jump to the top of the page"/>
    <hyperlink ref="A126" location="'Waste and Recycling'!A1" display="Jump to the top of the page"/>
  </hyperlinks>
  <pageMargins left="0.7" right="0.7" top="0.75" bottom="0.75" header="0.3" footer="0.3"/>
  <pageSetup orientation="portrait" horizontalDpi="360" verticalDpi="360" r:id="rId1"/>
  <ignoredErrors>
    <ignoredError sqref="G6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C65" sqref="C65"/>
    </sheetView>
  </sheetViews>
  <sheetFormatPr defaultColWidth="11.42578125" defaultRowHeight="15" x14ac:dyDescent="0.25"/>
  <cols>
    <col min="1" max="1" width="38.42578125" style="258" customWidth="1"/>
    <col min="2" max="2" width="7.140625" style="258" customWidth="1"/>
    <col min="3" max="3" width="53.140625" style="258" customWidth="1"/>
    <col min="4" max="4" width="21.42578125" style="258" customWidth="1"/>
    <col min="5" max="5" width="7.140625" style="258" customWidth="1"/>
    <col min="6" max="6" width="48.42578125" style="258" customWidth="1"/>
    <col min="7" max="7" width="21.42578125" style="258" customWidth="1"/>
    <col min="8" max="16384" width="11.42578125" style="258"/>
  </cols>
  <sheetData>
    <row r="1" spans="1:10" ht="51" customHeight="1" x14ac:dyDescent="0.25">
      <c r="C1" s="712" t="s">
        <v>330</v>
      </c>
      <c r="D1" s="712"/>
      <c r="E1" s="712"/>
      <c r="F1" s="712"/>
      <c r="G1" s="712"/>
      <c r="J1" s="267"/>
    </row>
    <row r="2" spans="1:10" x14ac:dyDescent="0.25">
      <c r="G2" s="467" t="s">
        <v>906</v>
      </c>
      <c r="J2" s="268"/>
    </row>
    <row r="3" spans="1:10" ht="26.25" x14ac:dyDescent="0.25">
      <c r="C3" s="712" t="s">
        <v>144</v>
      </c>
      <c r="D3" s="712"/>
      <c r="E3" s="712"/>
      <c r="F3" s="712"/>
      <c r="G3" s="712"/>
      <c r="J3" s="268"/>
    </row>
    <row r="4" spans="1:10" ht="15.75" thickBot="1" x14ac:dyDescent="0.3">
      <c r="J4" s="268"/>
    </row>
    <row r="5" spans="1:10" ht="27" customHeight="1" x14ac:dyDescent="0.25">
      <c r="C5" s="269" t="s">
        <v>557</v>
      </c>
      <c r="D5" s="270"/>
      <c r="E5" s="270"/>
      <c r="F5" s="270"/>
      <c r="G5" s="271"/>
      <c r="J5" s="268"/>
    </row>
    <row r="6" spans="1:10" ht="27" customHeight="1" x14ac:dyDescent="0.25">
      <c r="C6" s="272" t="s">
        <v>590</v>
      </c>
      <c r="D6" s="273"/>
      <c r="E6" s="273"/>
      <c r="F6" s="273"/>
      <c r="G6" s="274"/>
      <c r="J6" s="268"/>
    </row>
    <row r="7" spans="1:10" s="119" customFormat="1" ht="27" customHeight="1" x14ac:dyDescent="0.25">
      <c r="C7" s="242" t="s">
        <v>904</v>
      </c>
      <c r="D7" s="143"/>
      <c r="E7" s="143"/>
      <c r="F7" s="143"/>
      <c r="G7" s="5"/>
    </row>
    <row r="8" spans="1:10" ht="27" customHeight="1" x14ac:dyDescent="0.25">
      <c r="C8" s="701" t="s">
        <v>743</v>
      </c>
      <c r="D8" s="702"/>
      <c r="E8" s="702"/>
      <c r="F8" s="702"/>
      <c r="G8" s="703"/>
      <c r="J8" s="268"/>
    </row>
    <row r="9" spans="1:10" ht="27" customHeight="1" thickBot="1" x14ac:dyDescent="0.3">
      <c r="C9" s="701"/>
      <c r="D9" s="702"/>
      <c r="E9" s="702"/>
      <c r="F9" s="702"/>
      <c r="G9" s="703"/>
      <c r="J9" s="268"/>
    </row>
    <row r="10" spans="1:10" ht="27" customHeight="1" thickBot="1" x14ac:dyDescent="0.3">
      <c r="A10" s="275" t="s">
        <v>712</v>
      </c>
      <c r="C10" s="272" t="s">
        <v>592</v>
      </c>
      <c r="D10" s="273"/>
      <c r="E10" s="273"/>
      <c r="F10" s="273"/>
      <c r="G10" s="274"/>
      <c r="J10" s="268"/>
    </row>
    <row r="11" spans="1:10" ht="27" customHeight="1" thickBot="1" x14ac:dyDescent="0.3">
      <c r="C11" s="276" t="s">
        <v>751</v>
      </c>
      <c r="D11" s="277"/>
      <c r="E11" s="277"/>
      <c r="F11" s="277"/>
      <c r="G11" s="278"/>
      <c r="J11" s="268"/>
    </row>
    <row r="12" spans="1:10" x14ac:dyDescent="0.25">
      <c r="C12" s="279"/>
      <c r="D12" s="273"/>
      <c r="E12" s="273"/>
      <c r="F12" s="273"/>
      <c r="G12" s="273"/>
      <c r="J12" s="268"/>
    </row>
    <row r="13" spans="1:10" ht="18.75" x14ac:dyDescent="0.3">
      <c r="C13" s="708" t="s">
        <v>29</v>
      </c>
      <c r="D13" s="709"/>
      <c r="J13" s="280"/>
    </row>
    <row r="14" spans="1:10" ht="15.75" thickBot="1" x14ac:dyDescent="0.3">
      <c r="C14" s="713" t="s">
        <v>561</v>
      </c>
      <c r="D14" s="714"/>
      <c r="J14" s="267"/>
    </row>
    <row r="15" spans="1:10" ht="15.75" thickBot="1" x14ac:dyDescent="0.3">
      <c r="F15" s="248" t="s">
        <v>392</v>
      </c>
      <c r="G15" s="249"/>
      <c r="J15" s="268"/>
    </row>
    <row r="16" spans="1:10" x14ac:dyDescent="0.25">
      <c r="C16" s="706" t="s">
        <v>337</v>
      </c>
      <c r="D16" s="699" t="s">
        <v>0</v>
      </c>
      <c r="F16" s="250" t="s">
        <v>613</v>
      </c>
      <c r="G16" s="251">
        <f>IFERROR(IF((D19*D20/'Conversion factors'!B416*2)*'Conversion factors'!B417=0,(D19*'Conversion factors'!B412/'Conversion factors'!B416*2)*'Conversion factors'!B417,(Transportation!D19*Transportation!D20/'Conversion factors'!B416*2)*'Conversion factors'!B417),0)</f>
        <v>0</v>
      </c>
      <c r="J16" s="268"/>
    </row>
    <row r="17" spans="1:7" ht="15" customHeight="1" thickBot="1" x14ac:dyDescent="0.3">
      <c r="C17" s="707"/>
      <c r="D17" s="700"/>
      <c r="F17" s="252" t="s">
        <v>136</v>
      </c>
      <c r="G17" s="253">
        <f>IFERROR(G16*'Conversion factors'!B41,"")</f>
        <v>0</v>
      </c>
    </row>
    <row r="18" spans="1:7" ht="15" customHeight="1" thickBot="1" x14ac:dyDescent="0.3">
      <c r="A18" s="281" t="s">
        <v>556</v>
      </c>
      <c r="C18" s="262" t="s">
        <v>26</v>
      </c>
      <c r="D18" s="282"/>
      <c r="F18" s="254" t="s">
        <v>623</v>
      </c>
      <c r="G18" s="255">
        <f>IFERROR(IF((D19*D20/'Conversion factors'!B416*2)*'Conversion factors'!B413=0,(D19*'Conversion factors'!B412/'Conversion factors'!B416*2)*'Conversion factors'!B413,(Transportation!D19*Transportation!D20/'Conversion factors'!B416*2)*'Conversion factors'!B413),0)</f>
        <v>0</v>
      </c>
    </row>
    <row r="19" spans="1:7" ht="31.5" customHeight="1" x14ac:dyDescent="0.25">
      <c r="A19" s="283"/>
      <c r="C19" s="284" t="s">
        <v>645</v>
      </c>
      <c r="D19" s="247"/>
      <c r="F19" s="254" t="s">
        <v>137</v>
      </c>
      <c r="G19" s="255">
        <f>IFERROR(G18*'Conversion factors'!B41,0)</f>
        <v>0</v>
      </c>
    </row>
    <row r="20" spans="1:7" ht="30.75" customHeight="1" thickBot="1" x14ac:dyDescent="0.3">
      <c r="A20" s="704" t="s">
        <v>895</v>
      </c>
      <c r="C20" s="332" t="s">
        <v>643</v>
      </c>
      <c r="D20" s="402"/>
      <c r="F20" s="256" t="s">
        <v>24</v>
      </c>
      <c r="G20" s="257">
        <f>IFERROR(G17*'Conversion factors'!B$48,"")</f>
        <v>0</v>
      </c>
    </row>
    <row r="21" spans="1:7" ht="15.75" thickBot="1" x14ac:dyDescent="0.3">
      <c r="A21" s="704"/>
      <c r="C21" s="56" t="s">
        <v>905</v>
      </c>
      <c r="D21" s="412"/>
    </row>
    <row r="22" spans="1:7" ht="15.75" thickBot="1" x14ac:dyDescent="0.3">
      <c r="A22" s="705"/>
    </row>
    <row r="24" spans="1:7" ht="18.75" customHeight="1" x14ac:dyDescent="0.3">
      <c r="C24" s="708" t="s">
        <v>36</v>
      </c>
      <c r="D24" s="709"/>
    </row>
    <row r="25" spans="1:7" ht="15.75" thickBot="1" x14ac:dyDescent="0.3">
      <c r="C25" s="710" t="s">
        <v>562</v>
      </c>
      <c r="D25" s="711"/>
    </row>
    <row r="26" spans="1:7" ht="15.75" customHeight="1" thickBot="1" x14ac:dyDescent="0.3">
      <c r="C26" s="273"/>
      <c r="F26" s="248" t="s">
        <v>392</v>
      </c>
      <c r="G26" s="249"/>
    </row>
    <row r="27" spans="1:7" ht="15.75" thickBot="1" x14ac:dyDescent="0.3">
      <c r="A27" s="286"/>
      <c r="C27" s="706" t="s">
        <v>489</v>
      </c>
      <c r="D27" s="699" t="s">
        <v>0</v>
      </c>
      <c r="F27" s="250" t="s">
        <v>613</v>
      </c>
      <c r="G27" s="251">
        <f>IFERROR(IF((D30*D31/'Conversion factors'!B416*2)*'Conversion factors'!B417=0,(D30*'Conversion factors'!B412/'Conversion factors'!B416*2)*'Conversion factors'!B417,(Transportation!D30*Transportation!D31/'Conversion factors'!B416*2)*'Conversion factors'!B417),0)</f>
        <v>0</v>
      </c>
    </row>
    <row r="28" spans="1:7" ht="15.75" thickBot="1" x14ac:dyDescent="0.3">
      <c r="A28" s="275" t="s">
        <v>713</v>
      </c>
      <c r="C28" s="707"/>
      <c r="D28" s="700"/>
      <c r="F28" s="252" t="s">
        <v>136</v>
      </c>
      <c r="G28" s="253">
        <f>IFERROR(G27*'Conversion factors'!B41,"")</f>
        <v>0</v>
      </c>
    </row>
    <row r="29" spans="1:7" ht="14.25" customHeight="1" thickBot="1" x14ac:dyDescent="0.3">
      <c r="A29" s="281" t="s">
        <v>556</v>
      </c>
      <c r="C29" s="262" t="s">
        <v>26</v>
      </c>
      <c r="D29" s="282"/>
      <c r="F29" s="254" t="s">
        <v>623</v>
      </c>
      <c r="G29" s="255">
        <f>IFERROR(IF((D30*D31/'Conversion factors'!B416*2)*'Conversion factors'!B413=0,(D30*'Conversion factors'!B412/'Conversion factors'!B416*2)*'Conversion factors'!B413,(Transportation!D30*Transportation!D31/'Conversion factors'!B416*2)*'Conversion factors'!B413),0)</f>
        <v>0</v>
      </c>
    </row>
    <row r="30" spans="1:7" ht="32.25" customHeight="1" x14ac:dyDescent="0.25">
      <c r="A30" s="287"/>
      <c r="C30" s="284" t="s">
        <v>644</v>
      </c>
      <c r="D30" s="285"/>
      <c r="F30" s="254" t="s">
        <v>137</v>
      </c>
      <c r="G30" s="255">
        <f>IFERROR(G29*'Conversion factors'!B41,0)</f>
        <v>0</v>
      </c>
    </row>
    <row r="31" spans="1:7" ht="32.25" customHeight="1" thickBot="1" x14ac:dyDescent="0.3">
      <c r="A31" s="704" t="s">
        <v>896</v>
      </c>
      <c r="C31" s="332" t="s">
        <v>643</v>
      </c>
      <c r="D31" s="403"/>
      <c r="F31" s="256" t="s">
        <v>24</v>
      </c>
      <c r="G31" s="257">
        <f>IFERROR(G28*'Conversion factors'!B$48,"")</f>
        <v>0</v>
      </c>
    </row>
    <row r="32" spans="1:7" ht="15.75" thickBot="1" x14ac:dyDescent="0.3">
      <c r="A32" s="704"/>
      <c r="C32" s="56" t="s">
        <v>905</v>
      </c>
      <c r="D32" s="412"/>
    </row>
    <row r="33" spans="1:9" ht="15.75" thickBot="1" x14ac:dyDescent="0.3">
      <c r="A33" s="705"/>
    </row>
    <row r="34" spans="1:9" x14ac:dyDescent="0.25">
      <c r="A34" s="286"/>
    </row>
    <row r="35" spans="1:9" ht="18.75" customHeight="1" x14ac:dyDescent="0.3">
      <c r="C35" s="708" t="s">
        <v>95</v>
      </c>
      <c r="D35" s="709"/>
    </row>
    <row r="36" spans="1:9" x14ac:dyDescent="0.25">
      <c r="A36" s="286"/>
      <c r="C36" s="710" t="s">
        <v>564</v>
      </c>
      <c r="D36" s="711"/>
    </row>
    <row r="37" spans="1:9" ht="15.75" customHeight="1" thickBot="1" x14ac:dyDescent="0.3"/>
    <row r="38" spans="1:9" ht="15.75" thickBot="1" x14ac:dyDescent="0.3">
      <c r="A38" s="286"/>
      <c r="C38" s="706" t="s">
        <v>490</v>
      </c>
      <c r="D38" s="699" t="s">
        <v>0</v>
      </c>
    </row>
    <row r="39" spans="1:9" ht="15.75" thickBot="1" x14ac:dyDescent="0.3">
      <c r="A39" s="286"/>
      <c r="C39" s="707"/>
      <c r="D39" s="700"/>
      <c r="F39" s="248" t="s">
        <v>392</v>
      </c>
      <c r="G39" s="249"/>
    </row>
    <row r="40" spans="1:9" ht="15.75" thickBot="1" x14ac:dyDescent="0.3">
      <c r="A40" s="275" t="s">
        <v>713</v>
      </c>
      <c r="C40" s="262" t="s">
        <v>26</v>
      </c>
      <c r="D40" s="282"/>
      <c r="F40" s="250" t="s">
        <v>613</v>
      </c>
      <c r="G40" s="251">
        <f>IFERROR(IF((D41*D44/'Conversion factors'!B416*2)*(D42-1)*'Conversion factors'!B417=0,(D41*'Conversion factors'!B412/'Conversion factors'!B416*2)*(D42-1)*'Conversion factors'!B417,(Transportation!D41*Transportation!D44/'Conversion factors'!B416*2)*(D42-1)*'Conversion factors'!B417),0)</f>
        <v>0</v>
      </c>
      <c r="I40" s="288"/>
    </row>
    <row r="41" spans="1:9" ht="30" x14ac:dyDescent="0.25">
      <c r="A41" s="281" t="s">
        <v>556</v>
      </c>
      <c r="C41" s="284" t="s">
        <v>874</v>
      </c>
      <c r="D41" s="285"/>
      <c r="F41" s="254" t="s">
        <v>136</v>
      </c>
      <c r="G41" s="255">
        <f>IFERROR(G40*'Conversion factors'!B42*Transportation!D43,"")</f>
        <v>0</v>
      </c>
    </row>
    <row r="42" spans="1:9" ht="16.5" customHeight="1" x14ac:dyDescent="0.25">
      <c r="A42" s="290" t="s">
        <v>703</v>
      </c>
      <c r="C42" s="291" t="s">
        <v>646</v>
      </c>
      <c r="D42" s="292"/>
      <c r="F42" s="254" t="s">
        <v>623</v>
      </c>
      <c r="G42" s="255">
        <f>IFERROR(IF((D41*D44/'Conversion factors'!B416*2)*(D42-1)*'Conversion factors'!B413=0,(D41*'Conversion factors'!B412/'Conversion factors'!B416*2)*(D42-1)*'Conversion factors'!B413,(Transportation!D41*Transportation!D44/'Conversion factors'!B416*2)*(D42-1)*'Conversion factors'!B413),0)</f>
        <v>0</v>
      </c>
    </row>
    <row r="43" spans="1:9" x14ac:dyDescent="0.25">
      <c r="A43" s="287"/>
      <c r="C43" s="291" t="s">
        <v>647</v>
      </c>
      <c r="D43" s="292"/>
      <c r="F43" s="254" t="s">
        <v>137</v>
      </c>
      <c r="G43" s="255">
        <f>IFERROR(G42*'Conversion factors'!B42*Transportation!D43,"")</f>
        <v>0</v>
      </c>
    </row>
    <row r="44" spans="1:9" ht="33" customHeight="1" thickBot="1" x14ac:dyDescent="0.3">
      <c r="A44" s="704" t="s">
        <v>897</v>
      </c>
      <c r="C44" s="332" t="s">
        <v>720</v>
      </c>
      <c r="D44" s="403"/>
      <c r="F44" s="256" t="s">
        <v>24</v>
      </c>
      <c r="G44" s="257">
        <f>IFERROR(G41*'Conversion factors'!B$48,"")</f>
        <v>0</v>
      </c>
    </row>
    <row r="45" spans="1:9" ht="15.75" thickBot="1" x14ac:dyDescent="0.3">
      <c r="A45" s="704"/>
      <c r="C45" s="56" t="s">
        <v>905</v>
      </c>
      <c r="D45" s="412"/>
    </row>
    <row r="46" spans="1:9" ht="15.75" thickBot="1" x14ac:dyDescent="0.3">
      <c r="A46" s="705"/>
    </row>
    <row r="47" spans="1:9" x14ac:dyDescent="0.25">
      <c r="A47" s="404"/>
    </row>
    <row r="48" spans="1:9" x14ac:dyDescent="0.25">
      <c r="A48" s="404"/>
    </row>
    <row r="49" spans="1:9" ht="26.25" x14ac:dyDescent="0.25">
      <c r="C49" s="712" t="s">
        <v>139</v>
      </c>
      <c r="D49" s="712"/>
      <c r="E49" s="712"/>
      <c r="F49" s="712"/>
      <c r="G49" s="712"/>
    </row>
    <row r="52" spans="1:9" ht="18.75" x14ac:dyDescent="0.3">
      <c r="C52" s="708" t="s">
        <v>110</v>
      </c>
      <c r="D52" s="709"/>
    </row>
    <row r="53" spans="1:9" ht="30.75" customHeight="1" thickBot="1" x14ac:dyDescent="0.3">
      <c r="C53" s="710" t="s">
        <v>518</v>
      </c>
      <c r="D53" s="711"/>
    </row>
    <row r="54" spans="1:9" ht="15.75" thickBot="1" x14ac:dyDescent="0.3">
      <c r="A54" s="286"/>
      <c r="F54" s="248" t="s">
        <v>392</v>
      </c>
      <c r="G54" s="249"/>
      <c r="I54" s="288"/>
    </row>
    <row r="55" spans="1:9" ht="15.75" thickBot="1" x14ac:dyDescent="0.3">
      <c r="C55" s="723" t="s">
        <v>518</v>
      </c>
      <c r="D55" s="699" t="s">
        <v>0</v>
      </c>
      <c r="F55" s="259" t="s">
        <v>652</v>
      </c>
      <c r="G55" s="260">
        <f>IFERROR(IF(D58*D59=0,D58*('Conversion factors'!B427*'Conversion factors'!B428-'Conversion factors'!B433*'Conversion factors'!B434),D58*(('Conversion factors'!B427*'Conversion factors'!B428)-('Conversion factors'!B425/Transportation!D59*'Conversion factors'!B436))),0)</f>
        <v>0</v>
      </c>
    </row>
    <row r="56" spans="1:9" ht="15" customHeight="1" thickBot="1" x14ac:dyDescent="0.3">
      <c r="A56" s="275" t="s">
        <v>713</v>
      </c>
      <c r="C56" s="724"/>
      <c r="D56" s="700"/>
      <c r="F56" s="252" t="s">
        <v>653</v>
      </c>
      <c r="G56" s="253">
        <f>IFERROR(IF(D60*D61=0,D60*('Conversion factors'!B448*'Conversion factors'!B449-'Conversion factors'!B454*'Conversion factors'!B455),D60*(('Conversion factors'!B448*'Conversion factors'!B449)-('Conversion factors'!B446/Transportation!D61*'Conversion factors'!B436))),0)</f>
        <v>0</v>
      </c>
      <c r="I56" s="288"/>
    </row>
    <row r="57" spans="1:9" ht="17.25" customHeight="1" thickBot="1" x14ac:dyDescent="0.3">
      <c r="A57" s="281" t="s">
        <v>556</v>
      </c>
      <c r="C57" s="262" t="s">
        <v>26</v>
      </c>
      <c r="D57" s="282"/>
      <c r="F57" s="254" t="s">
        <v>736</v>
      </c>
      <c r="G57" s="255">
        <f>IFERROR(G55+G56,"")</f>
        <v>0</v>
      </c>
    </row>
    <row r="58" spans="1:9" x14ac:dyDescent="0.25">
      <c r="A58" s="293" t="s">
        <v>704</v>
      </c>
      <c r="C58" s="284" t="s">
        <v>648</v>
      </c>
      <c r="D58" s="285"/>
      <c r="F58" s="254" t="s">
        <v>654</v>
      </c>
      <c r="G58" s="255">
        <f>IFERROR(IF(D58*D59=0,D58*('Conversion factors'!B427-'Conversion factors'!B433)*'Conversion factors'!B414,D58*(('Conversion factors'!B427)-('Conversion factors'!B425/Transportation!D59))*'Conversion factors'!B414),0)</f>
        <v>0</v>
      </c>
      <c r="I58" s="294"/>
    </row>
    <row r="59" spans="1:9" ht="30" customHeight="1" x14ac:dyDescent="0.25">
      <c r="A59" s="704" t="s">
        <v>898</v>
      </c>
      <c r="C59" s="332" t="s">
        <v>649</v>
      </c>
      <c r="D59" s="292"/>
      <c r="F59" s="254" t="s">
        <v>655</v>
      </c>
      <c r="G59" s="255">
        <f>IFERROR(IF(D60*D61=0,D60*('Conversion factors'!B448-'Conversion factors'!B454)*'Conversion factors'!B413,D60*(('Conversion factors'!B448)-('Conversion factors'!B446/Transportation!D61))*'Conversion factors'!B413),0)</f>
        <v>0</v>
      </c>
    </row>
    <row r="60" spans="1:9" x14ac:dyDescent="0.25">
      <c r="A60" s="704"/>
      <c r="C60" s="291" t="s">
        <v>650</v>
      </c>
      <c r="D60" s="292"/>
      <c r="F60" s="254" t="s">
        <v>517</v>
      </c>
      <c r="G60" s="255">
        <f>G58+G59</f>
        <v>0</v>
      </c>
    </row>
    <row r="61" spans="1:9" ht="36.75" customHeight="1" thickBot="1" x14ac:dyDescent="0.3">
      <c r="A61" s="705"/>
      <c r="C61" s="332" t="s">
        <v>651</v>
      </c>
      <c r="D61" s="403"/>
      <c r="F61" s="256" t="s">
        <v>24</v>
      </c>
      <c r="G61" s="261">
        <f>IFERROR(G57*'Conversion factors'!B$48,"")</f>
        <v>0</v>
      </c>
    </row>
    <row r="62" spans="1:9" ht="15.75" thickBot="1" x14ac:dyDescent="0.3">
      <c r="C62" s="56" t="s">
        <v>905</v>
      </c>
      <c r="D62" s="412"/>
    </row>
    <row r="63" spans="1:9" x14ac:dyDescent="0.25">
      <c r="C63" s="296"/>
      <c r="D63" s="296"/>
    </row>
    <row r="64" spans="1:9" ht="15.75" thickBot="1" x14ac:dyDescent="0.3"/>
    <row r="65" spans="3:7" ht="18.75" x14ac:dyDescent="0.3">
      <c r="C65" s="333" t="s">
        <v>559</v>
      </c>
      <c r="D65" s="297"/>
      <c r="E65" s="297"/>
      <c r="F65" s="297"/>
      <c r="G65" s="298"/>
    </row>
    <row r="66" spans="3:7" ht="15" customHeight="1" x14ac:dyDescent="0.25">
      <c r="C66" s="731" t="s">
        <v>519</v>
      </c>
      <c r="D66" s="732"/>
      <c r="E66" s="732"/>
      <c r="F66" s="732"/>
      <c r="G66" s="733"/>
    </row>
    <row r="67" spans="3:7" ht="15" customHeight="1" x14ac:dyDescent="0.25">
      <c r="C67" s="731"/>
      <c r="D67" s="732"/>
      <c r="E67" s="732"/>
      <c r="F67" s="732"/>
      <c r="G67" s="733"/>
    </row>
    <row r="68" spans="3:7" ht="15" customHeight="1" x14ac:dyDescent="0.25">
      <c r="C68" s="731"/>
      <c r="D68" s="732"/>
      <c r="E68" s="732"/>
      <c r="F68" s="732"/>
      <c r="G68" s="733"/>
    </row>
    <row r="69" spans="3:7" ht="15" customHeight="1" x14ac:dyDescent="0.25">
      <c r="C69" s="731"/>
      <c r="D69" s="732"/>
      <c r="E69" s="732"/>
      <c r="F69" s="732"/>
      <c r="G69" s="733"/>
    </row>
    <row r="70" spans="3:7" ht="15" customHeight="1" x14ac:dyDescent="0.25">
      <c r="C70" s="731"/>
      <c r="D70" s="732"/>
      <c r="E70" s="732"/>
      <c r="F70" s="732"/>
      <c r="G70" s="733"/>
    </row>
    <row r="71" spans="3:7" ht="15" customHeight="1" x14ac:dyDescent="0.25">
      <c r="C71" s="731"/>
      <c r="D71" s="732"/>
      <c r="E71" s="732"/>
      <c r="F71" s="732"/>
      <c r="G71" s="733"/>
    </row>
    <row r="72" spans="3:7" ht="15" customHeight="1" thickBot="1" x14ac:dyDescent="0.3">
      <c r="C72" s="734"/>
      <c r="D72" s="735"/>
      <c r="E72" s="735"/>
      <c r="F72" s="735"/>
      <c r="G72" s="736"/>
    </row>
    <row r="73" spans="3:7" ht="15" customHeight="1" x14ac:dyDescent="0.25"/>
    <row r="74" spans="3:7" ht="15" hidden="1" customHeight="1" x14ac:dyDescent="0.25"/>
    <row r="75" spans="3:7" ht="15" hidden="1" customHeight="1" x14ac:dyDescent="0.3">
      <c r="C75" s="708" t="s">
        <v>113</v>
      </c>
      <c r="D75" s="709"/>
    </row>
    <row r="76" spans="3:7" ht="49.5" hidden="1" customHeight="1" x14ac:dyDescent="0.25">
      <c r="C76" s="710" t="s">
        <v>599</v>
      </c>
      <c r="D76" s="711"/>
    </row>
    <row r="77" spans="3:7" ht="15" hidden="1" customHeight="1" thickBot="1" x14ac:dyDescent="0.3"/>
    <row r="78" spans="3:7" ht="15" hidden="1" customHeight="1" thickBot="1" x14ac:dyDescent="0.3">
      <c r="C78" s="723"/>
      <c r="D78" s="699" t="s">
        <v>0</v>
      </c>
    </row>
    <row r="79" spans="3:7" ht="15" hidden="1" customHeight="1" thickBot="1" x14ac:dyDescent="0.3">
      <c r="C79" s="724"/>
      <c r="D79" s="700"/>
      <c r="F79" s="248" t="s">
        <v>392</v>
      </c>
      <c r="G79" s="249"/>
    </row>
    <row r="80" spans="3:7" ht="15" hidden="1" customHeight="1" thickBot="1" x14ac:dyDescent="0.3">
      <c r="C80" s="262" t="s">
        <v>26</v>
      </c>
      <c r="D80" s="282"/>
      <c r="F80" s="250" t="s">
        <v>613</v>
      </c>
      <c r="G80" s="251">
        <f>IFERROR(IF((D79*D82/'Conversion factors'!B455*2)*(D80-1)*'Conversion factors'!B456=0,(D79*'Conversion factors'!B451/'Conversion factors'!B455*2)*(D80-1)*'Conversion factors'!B456,(Transportation!D79*Transportation!D82/'Conversion factors'!B455*2)*(D80-1)*'Conversion factors'!B456),0)</f>
        <v>0</v>
      </c>
    </row>
    <row r="81" spans="1:9" ht="15" hidden="1" customHeight="1" x14ac:dyDescent="0.25">
      <c r="C81" s="289"/>
      <c r="D81" s="299"/>
      <c r="F81" s="252" t="s">
        <v>136</v>
      </c>
      <c r="G81" s="253">
        <f>IFERROR(G80*'Conversion factors'!B79*Transportation!D81,"")</f>
        <v>0</v>
      </c>
    </row>
    <row r="82" spans="1:9" ht="15" hidden="1" customHeight="1" x14ac:dyDescent="0.25">
      <c r="C82" s="291"/>
      <c r="D82" s="300"/>
      <c r="F82" s="252" t="s">
        <v>623</v>
      </c>
      <c r="G82" s="253">
        <f>IFERROR(IF((D79*D82/'Conversion factors'!B455*2)*(D80-1)*'Conversion factors'!B452=0,(D79*'Conversion factors'!B451/'Conversion factors'!B455*2)*(D80-1)*'Conversion factors'!B452,(Transportation!D79*Transportation!D82/'Conversion factors'!B455*2)*(D80-1)*'Conversion factors'!B452),0)</f>
        <v>0</v>
      </c>
    </row>
    <row r="83" spans="1:9" ht="15" hidden="1" customHeight="1" x14ac:dyDescent="0.25">
      <c r="C83" s="291"/>
      <c r="D83" s="300"/>
      <c r="F83" s="252" t="s">
        <v>137</v>
      </c>
      <c r="G83" s="253">
        <f>IFERROR(G82*'Conversion factors'!B79*Transportation!D81,"")</f>
        <v>0</v>
      </c>
    </row>
    <row r="84" spans="1:9" ht="15" hidden="1" customHeight="1" thickBot="1" x14ac:dyDescent="0.3">
      <c r="C84" s="295"/>
      <c r="D84" s="301"/>
      <c r="F84" s="256" t="s">
        <v>24</v>
      </c>
      <c r="G84" s="257">
        <f>IFERROR(G81*'Conversion factors'!B$48,"")</f>
        <v>0</v>
      </c>
    </row>
    <row r="85" spans="1:9" ht="15" hidden="1" customHeight="1" x14ac:dyDescent="0.25"/>
    <row r="86" spans="1:9" ht="15" hidden="1" customHeight="1" x14ac:dyDescent="0.25"/>
    <row r="87" spans="1:9" ht="15" customHeight="1" x14ac:dyDescent="0.25"/>
    <row r="88" spans="1:9" ht="23.25" customHeight="1" x14ac:dyDescent="0.25">
      <c r="C88" s="719" t="s">
        <v>138</v>
      </c>
      <c r="D88" s="719"/>
      <c r="E88" s="719"/>
      <c r="F88" s="719"/>
      <c r="G88" s="719"/>
    </row>
    <row r="89" spans="1:9" ht="15" customHeight="1" x14ac:dyDescent="0.25"/>
    <row r="90" spans="1:9" ht="15" customHeight="1" thickBot="1" x14ac:dyDescent="0.3">
      <c r="C90" s="302"/>
    </row>
    <row r="91" spans="1:9" ht="26.25" customHeight="1" thickBot="1" x14ac:dyDescent="0.3">
      <c r="A91" s="275" t="s">
        <v>713</v>
      </c>
      <c r="C91" s="720" t="str">
        <f>"Congratulations, you have completed "&amp; COUNT(D19,D30,D41,D62,D81) &amp; " project(s)!"</f>
        <v>Congratulations, you have completed 0 project(s)!</v>
      </c>
      <c r="D91" s="721"/>
      <c r="E91" s="721"/>
      <c r="F91" s="721"/>
      <c r="G91" s="722"/>
      <c r="I91" s="296">
        <f>COUNT(D19,D30,D41,D62,D81)</f>
        <v>0</v>
      </c>
    </row>
    <row r="92" spans="1:9" ht="15" customHeight="1" thickBot="1" x14ac:dyDescent="0.3"/>
    <row r="93" spans="1:9" ht="15" customHeight="1" x14ac:dyDescent="0.3">
      <c r="C93" s="303"/>
      <c r="D93" s="304"/>
      <c r="F93" s="305"/>
      <c r="G93" s="304"/>
    </row>
    <row r="94" spans="1:9" ht="17.25" customHeight="1" x14ac:dyDescent="0.25">
      <c r="C94" s="306"/>
      <c r="D94" s="307"/>
      <c r="F94" s="308"/>
      <c r="G94" s="307"/>
    </row>
    <row r="95" spans="1:9" ht="19.5" customHeight="1" x14ac:dyDescent="0.25">
      <c r="C95" s="725" t="str">
        <f>TEXT(ROUND(G106,0),"#,###,###")&amp;" lbs of CO2"&amp;"                                      "&amp;TEXT(ROUND(G107,0),"#,###,###")&amp; " dollars"</f>
        <v xml:space="preserve"> lbs of CO2                                       dollars</v>
      </c>
      <c r="D95" s="726"/>
      <c r="F95" s="727" t="str">
        <f>"Your CO2 saving is equal to "&amp;TEXT(ROUND(G108,0),"#,###,###")&amp;" tree seedlings growing for 10 years"</f>
        <v>Your CO2 saving is equal to  tree seedlings growing for 10 years</v>
      </c>
      <c r="G95" s="728"/>
    </row>
    <row r="96" spans="1:9" x14ac:dyDescent="0.25">
      <c r="C96" s="309"/>
      <c r="D96" s="307"/>
      <c r="F96" s="308"/>
      <c r="G96" s="307"/>
    </row>
    <row r="97" spans="3:7" x14ac:dyDescent="0.25">
      <c r="C97" s="309"/>
      <c r="D97" s="307"/>
      <c r="F97" s="308"/>
      <c r="G97" s="307"/>
    </row>
    <row r="98" spans="3:7" x14ac:dyDescent="0.25">
      <c r="C98" s="309"/>
      <c r="D98" s="307"/>
      <c r="F98" s="308"/>
      <c r="G98" s="307"/>
    </row>
    <row r="99" spans="3:7" x14ac:dyDescent="0.25">
      <c r="C99" s="309"/>
      <c r="D99" s="307"/>
      <c r="F99" s="308"/>
      <c r="G99" s="307"/>
    </row>
    <row r="100" spans="3:7" x14ac:dyDescent="0.25">
      <c r="C100" s="309"/>
      <c r="D100" s="307"/>
      <c r="F100" s="308"/>
      <c r="G100" s="307"/>
    </row>
    <row r="101" spans="3:7" ht="15.75" thickBot="1" x14ac:dyDescent="0.3">
      <c r="C101" s="310"/>
      <c r="D101" s="311"/>
      <c r="F101" s="310"/>
      <c r="G101" s="311"/>
    </row>
    <row r="103" spans="3:7" ht="15.75" thickBot="1" x14ac:dyDescent="0.3">
      <c r="C103" s="262" t="s">
        <v>156</v>
      </c>
      <c r="D103" s="262"/>
      <c r="F103" s="262" t="s">
        <v>133</v>
      </c>
      <c r="G103" s="262"/>
    </row>
    <row r="104" spans="3:7" x14ac:dyDescent="0.25">
      <c r="C104" s="259" t="s">
        <v>129</v>
      </c>
      <c r="D104" s="263">
        <f>IFERROR(G17+G28+G41,"")</f>
        <v>0</v>
      </c>
      <c r="F104" s="252" t="s">
        <v>656</v>
      </c>
      <c r="G104" s="264">
        <f>IFERROR(ROUND(G57+G81,2),"")</f>
        <v>0</v>
      </c>
    </row>
    <row r="105" spans="3:7" x14ac:dyDescent="0.25">
      <c r="C105" s="252" t="s">
        <v>128</v>
      </c>
      <c r="D105" s="264">
        <f>IFERROR(G19+G30+G43,"")</f>
        <v>0</v>
      </c>
      <c r="F105" s="252" t="s">
        <v>635</v>
      </c>
      <c r="G105" s="264">
        <f>IFERROR(ROUND(G60+G83,2),"")</f>
        <v>0</v>
      </c>
    </row>
    <row r="106" spans="3:7" ht="15.75" thickBot="1" x14ac:dyDescent="0.3">
      <c r="C106" s="265" t="s">
        <v>24</v>
      </c>
      <c r="D106" s="266">
        <f>IFERROR(G20+G31+G44,"")</f>
        <v>0</v>
      </c>
      <c r="F106" s="252" t="s">
        <v>131</v>
      </c>
      <c r="G106" s="264">
        <f>IFERROR(D104+G104,"")</f>
        <v>0</v>
      </c>
    </row>
    <row r="107" spans="3:7" x14ac:dyDescent="0.25">
      <c r="F107" s="252" t="s">
        <v>132</v>
      </c>
      <c r="G107" s="264">
        <f>IFERROR(D105+G105,"")</f>
        <v>0</v>
      </c>
    </row>
    <row r="108" spans="3:7" ht="15.75" thickBot="1" x14ac:dyDescent="0.3">
      <c r="F108" s="265" t="s">
        <v>24</v>
      </c>
      <c r="G108" s="266">
        <f>IFERROR(G106*'Conversion factors'!B$48,"")</f>
        <v>0</v>
      </c>
    </row>
    <row r="114" spans="3:7" ht="26.25" customHeight="1" x14ac:dyDescent="0.25">
      <c r="C114" s="729" t="str">
        <f>"Wondering what would be the impact if "&amp;Introduction!B33&amp;" schools implemented the same projects as your school did?"</f>
        <v>Wondering what would be the impact if  schools implemented the same projects as your school did?</v>
      </c>
      <c r="D114" s="730"/>
      <c r="E114" s="730"/>
      <c r="F114" s="730"/>
      <c r="G114" s="730"/>
    </row>
    <row r="116" spans="3:7" ht="15.75" thickBot="1" x14ac:dyDescent="0.3"/>
    <row r="117" spans="3:7" ht="18.75" x14ac:dyDescent="0.3">
      <c r="C117" s="303"/>
      <c r="D117" s="304"/>
      <c r="F117" s="305"/>
      <c r="G117" s="304"/>
    </row>
    <row r="118" spans="3:7" x14ac:dyDescent="0.25">
      <c r="C118" s="306"/>
      <c r="D118" s="307"/>
      <c r="F118" s="308"/>
      <c r="G118" s="307"/>
    </row>
    <row r="119" spans="3:7" ht="30" customHeight="1" x14ac:dyDescent="0.25">
      <c r="C119" s="715" t="str">
        <f>TEXT(ROUND(D128,0),"#,###,###,###")&amp;" lbs of CO2"&amp;"                                   "&amp;TEXT(ROUND(D129,0),"#,###,###,###")&amp; " dollars"</f>
        <v xml:space="preserve"> lbs of CO2                                    dollars</v>
      </c>
      <c r="D119" s="716"/>
      <c r="F119" s="717" t="str">
        <f>"Your CO2 saving is equal to "&amp;TEXT(ROUND(D130,0),"#,###,###,###")&amp;" tree seedlings growing for 10 years"</f>
        <v>Your CO2 saving is equal to  tree seedlings growing for 10 years</v>
      </c>
      <c r="G119" s="718"/>
    </row>
    <row r="120" spans="3:7" x14ac:dyDescent="0.25">
      <c r="C120" s="309"/>
      <c r="D120" s="307"/>
      <c r="F120" s="308"/>
      <c r="G120" s="307"/>
    </row>
    <row r="121" spans="3:7" x14ac:dyDescent="0.25">
      <c r="C121" s="309"/>
      <c r="D121" s="307"/>
      <c r="F121" s="308"/>
      <c r="G121" s="307"/>
    </row>
    <row r="122" spans="3:7" x14ac:dyDescent="0.25">
      <c r="C122" s="309"/>
      <c r="D122" s="307"/>
      <c r="F122" s="308"/>
      <c r="G122" s="307"/>
    </row>
    <row r="123" spans="3:7" x14ac:dyDescent="0.25">
      <c r="C123" s="309"/>
      <c r="D123" s="307"/>
      <c r="F123" s="308"/>
      <c r="G123" s="307"/>
    </row>
    <row r="124" spans="3:7" x14ac:dyDescent="0.25">
      <c r="C124" s="309"/>
      <c r="D124" s="307"/>
      <c r="F124" s="308"/>
      <c r="G124" s="307"/>
    </row>
    <row r="125" spans="3:7" ht="15.75" thickBot="1" x14ac:dyDescent="0.3">
      <c r="C125" s="310"/>
      <c r="D125" s="311"/>
      <c r="F125" s="310"/>
      <c r="G125" s="311"/>
    </row>
    <row r="127" spans="3:7" x14ac:dyDescent="0.25">
      <c r="C127" s="121" t="s">
        <v>775</v>
      </c>
      <c r="D127" s="262"/>
    </row>
    <row r="128" spans="3:7" x14ac:dyDescent="0.25">
      <c r="C128" s="252" t="s">
        <v>131</v>
      </c>
      <c r="D128" s="264">
        <f>IFERROR(G106*Introduction!B33,"")</f>
        <v>0</v>
      </c>
    </row>
    <row r="129" spans="3:4" x14ac:dyDescent="0.25">
      <c r="C129" s="252" t="s">
        <v>132</v>
      </c>
      <c r="D129" s="264">
        <f>IFERROR(G107*Introduction!B33,"")</f>
        <v>0</v>
      </c>
    </row>
    <row r="130" spans="3:4" ht="15.75" thickBot="1" x14ac:dyDescent="0.3">
      <c r="C130" s="265" t="s">
        <v>24</v>
      </c>
      <c r="D130" s="266">
        <f>IFERROR(G108*Introduction!B33,"")</f>
        <v>0</v>
      </c>
    </row>
  </sheetData>
  <protectedRanges>
    <protectedRange sqref="D58:D61" name="ProjectFour"/>
    <protectedRange sqref="D41:D44" name="ProjectThree"/>
    <protectedRange sqref="D19:D20" name="ProjectOne"/>
    <protectedRange sqref="D30:D31" name="ProjectTwo"/>
  </protectedRanges>
  <mergeCells count="36">
    <mergeCell ref="A59:A61"/>
    <mergeCell ref="C95:D95"/>
    <mergeCell ref="F95:G95"/>
    <mergeCell ref="C49:G49"/>
    <mergeCell ref="C114:G114"/>
    <mergeCell ref="C52:D52"/>
    <mergeCell ref="C53:D53"/>
    <mergeCell ref="C55:C56"/>
    <mergeCell ref="D55:D56"/>
    <mergeCell ref="C66:G72"/>
    <mergeCell ref="C119:D119"/>
    <mergeCell ref="F119:G119"/>
    <mergeCell ref="C88:G88"/>
    <mergeCell ref="C91:G91"/>
    <mergeCell ref="C75:D75"/>
    <mergeCell ref="C76:D76"/>
    <mergeCell ref="C78:C79"/>
    <mergeCell ref="D78:D79"/>
    <mergeCell ref="C1:G1"/>
    <mergeCell ref="C3:G3"/>
    <mergeCell ref="C24:D24"/>
    <mergeCell ref="C25:D25"/>
    <mergeCell ref="D16:D17"/>
    <mergeCell ref="C16:C17"/>
    <mergeCell ref="C14:D14"/>
    <mergeCell ref="C13:D13"/>
    <mergeCell ref="D38:D39"/>
    <mergeCell ref="C8:G9"/>
    <mergeCell ref="A44:A46"/>
    <mergeCell ref="A20:A22"/>
    <mergeCell ref="A31:A33"/>
    <mergeCell ref="C27:C28"/>
    <mergeCell ref="D27:D28"/>
    <mergeCell ref="C35:D35"/>
    <mergeCell ref="C36:D36"/>
    <mergeCell ref="C38:C39"/>
  </mergeCells>
  <phoneticPr fontId="35" type="noConversion"/>
  <dataValidations count="2">
    <dataValidation type="decimal" allowBlank="1" showInputMessage="1" showErrorMessage="1" sqref="D43 D83">
      <formula1>0</formula1>
      <formula2>6</formula2>
    </dataValidation>
    <dataValidation type="whole" allowBlank="1" showInputMessage="1" showErrorMessage="1" sqref="D60">
      <formula1>0</formula1>
      <formula2>1000000</formula2>
    </dataValidation>
  </dataValidations>
  <hyperlinks>
    <hyperlink ref="A42" location="Glossary!A25" display="Carpooling definition"/>
    <hyperlink ref="A58" location="Glossary!A26" display="MPG definition"/>
    <hyperlink ref="A91" location="Transportation!A1" display="Jump to the top of the page"/>
    <hyperlink ref="A56" location="Transportation!A1" display="Jump to the top of the page"/>
    <hyperlink ref="A40" location="Transportation!A1" display="Jump to the top of the page"/>
    <hyperlink ref="A28" location="Transportation!A1" display="Jump to the top of the page"/>
    <hyperlink ref="A10" location="Transportation!A95" display="Jump to the summary section"/>
  </hyperlinks>
  <pageMargins left="0.7" right="0.7" top="0.75" bottom="0.75" header="0.3" footer="0.3"/>
  <pageSetup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showGridLines="0" tabSelected="1" zoomScaleNormal="100" workbookViewId="0">
      <selection activeCell="C3" sqref="C3:G3"/>
    </sheetView>
  </sheetViews>
  <sheetFormatPr defaultColWidth="8.85546875" defaultRowHeight="15" x14ac:dyDescent="0.25"/>
  <cols>
    <col min="1" max="1" width="38.42578125" customWidth="1"/>
    <col min="2" max="2" width="7.140625" customWidth="1"/>
    <col min="3" max="3" width="53.140625" customWidth="1"/>
    <col min="4" max="4" width="21.42578125" customWidth="1"/>
    <col min="5" max="5" width="7.140625" customWidth="1"/>
    <col min="6" max="6" width="48.42578125" customWidth="1"/>
    <col min="7" max="7" width="21.42578125" customWidth="1"/>
    <col min="11" max="11" width="29" customWidth="1"/>
  </cols>
  <sheetData>
    <row r="1" spans="1:15" ht="51" customHeight="1" x14ac:dyDescent="0.25">
      <c r="C1" s="622" t="s">
        <v>782</v>
      </c>
      <c r="D1" s="622"/>
      <c r="E1" s="622"/>
      <c r="F1" s="622"/>
      <c r="G1" s="622"/>
    </row>
    <row r="2" spans="1:15" s="119" customFormat="1" x14ac:dyDescent="0.25">
      <c r="G2" s="467" t="s">
        <v>906</v>
      </c>
    </row>
    <row r="3" spans="1:15" ht="26.25" x14ac:dyDescent="0.25">
      <c r="C3" s="622" t="s">
        <v>144</v>
      </c>
      <c r="D3" s="622"/>
      <c r="E3" s="622"/>
      <c r="F3" s="622"/>
      <c r="G3" s="622"/>
    </row>
    <row r="4" spans="1:15" ht="15.75" thickBot="1" x14ac:dyDescent="0.3"/>
    <row r="5" spans="1:15" s="119" customFormat="1" ht="27" customHeight="1" x14ac:dyDescent="0.25">
      <c r="C5" s="239" t="s">
        <v>557</v>
      </c>
      <c r="D5" s="240"/>
      <c r="E5" s="240"/>
      <c r="F5" s="240"/>
      <c r="G5" s="241"/>
    </row>
    <row r="6" spans="1:15" s="119" customFormat="1" ht="27" customHeight="1" x14ac:dyDescent="0.25">
      <c r="C6" s="242" t="s">
        <v>590</v>
      </c>
      <c r="D6" s="143"/>
      <c r="E6" s="143"/>
      <c r="F6" s="143"/>
      <c r="G6" s="5"/>
    </row>
    <row r="7" spans="1:15" s="119" customFormat="1" ht="27" customHeight="1" x14ac:dyDescent="0.25">
      <c r="C7" s="242" t="s">
        <v>904</v>
      </c>
      <c r="D7" s="143"/>
      <c r="E7" s="143"/>
      <c r="F7" s="143"/>
      <c r="G7" s="5"/>
    </row>
    <row r="8" spans="1:15" s="119" customFormat="1" ht="27" customHeight="1" thickBot="1" x14ac:dyDescent="0.3">
      <c r="C8" s="242" t="s">
        <v>591</v>
      </c>
      <c r="D8" s="143"/>
      <c r="E8" s="143"/>
      <c r="F8" s="143"/>
      <c r="G8" s="5"/>
    </row>
    <row r="9" spans="1:15" s="119" customFormat="1" ht="27" customHeight="1" thickBot="1" x14ac:dyDescent="0.3">
      <c r="A9" s="245" t="s">
        <v>714</v>
      </c>
      <c r="C9" s="242" t="s">
        <v>592</v>
      </c>
      <c r="D9" s="143"/>
      <c r="E9" s="143"/>
      <c r="F9" s="143"/>
      <c r="G9" s="5"/>
    </row>
    <row r="10" spans="1:15" s="119" customFormat="1" ht="27" customHeight="1" thickBot="1" x14ac:dyDescent="0.3">
      <c r="C10" s="243" t="s">
        <v>751</v>
      </c>
      <c r="D10" s="244"/>
      <c r="E10" s="244"/>
      <c r="F10" s="244"/>
      <c r="G10" s="170"/>
    </row>
    <row r="11" spans="1:15" s="119" customFormat="1" ht="15.75" thickBot="1" x14ac:dyDescent="0.3">
      <c r="C11" s="143"/>
      <c r="D11" s="143"/>
      <c r="E11" s="143"/>
      <c r="F11" s="143"/>
      <c r="G11" s="143"/>
    </row>
    <row r="12" spans="1:15" ht="19.5" thickBot="1" x14ac:dyDescent="0.35">
      <c r="C12" s="633" t="s">
        <v>29</v>
      </c>
      <c r="D12" s="634"/>
      <c r="F12" s="37" t="s">
        <v>94</v>
      </c>
      <c r="G12" s="42"/>
    </row>
    <row r="13" spans="1:15" ht="30" customHeight="1" x14ac:dyDescent="0.25">
      <c r="A13" s="230" t="s">
        <v>560</v>
      </c>
      <c r="C13" s="638" t="s">
        <v>316</v>
      </c>
      <c r="D13" s="639"/>
      <c r="F13" s="91" t="s">
        <v>658</v>
      </c>
      <c r="G13" s="173">
        <f>IFERROR(D18*'Conversion factors'!B241*'Conversion factors'!B238,0)</f>
        <v>0</v>
      </c>
      <c r="O13" s="1"/>
    </row>
    <row r="14" spans="1:15" ht="15.75" thickBot="1" x14ac:dyDescent="0.3">
      <c r="A14" s="234" t="s">
        <v>708</v>
      </c>
      <c r="C14" s="119"/>
      <c r="F14" s="8" t="s">
        <v>315</v>
      </c>
      <c r="G14" s="154">
        <f>IFERROR(D18*'Conversion factors'!B235*'Conversion factors'!B236,"")</f>
        <v>0</v>
      </c>
      <c r="O14" s="1"/>
    </row>
    <row r="15" spans="1:15" ht="15" customHeight="1" thickBot="1" x14ac:dyDescent="0.3">
      <c r="A15" s="737" t="s">
        <v>558</v>
      </c>
      <c r="C15" s="610" t="s">
        <v>312</v>
      </c>
      <c r="D15" s="612" t="s">
        <v>0</v>
      </c>
      <c r="F15" s="9" t="s">
        <v>659</v>
      </c>
      <c r="G15" s="133">
        <f>IFERROR(IF(G13*D19=0,G13*'Conversion factors'!B228,'School Grounds &amp; Gardens'!G13*'School Grounds &amp; Gardens'!D19),"")</f>
        <v>0</v>
      </c>
      <c r="O15" s="1"/>
    </row>
    <row r="16" spans="1:15" ht="15.75" thickBot="1" x14ac:dyDescent="0.3">
      <c r="A16" s="737"/>
      <c r="C16" s="611"/>
      <c r="D16" s="613"/>
      <c r="O16" s="1"/>
    </row>
    <row r="17" spans="1:15" ht="15.75" customHeight="1" thickBot="1" x14ac:dyDescent="0.3">
      <c r="A17" s="737"/>
      <c r="C17" s="6" t="s">
        <v>26</v>
      </c>
      <c r="D17" s="7"/>
      <c r="F17" s="37" t="s">
        <v>288</v>
      </c>
      <c r="G17" s="37"/>
      <c r="O17" s="60"/>
    </row>
    <row r="18" spans="1:15" x14ac:dyDescent="0.25">
      <c r="A18" s="189"/>
      <c r="C18" s="215" t="s">
        <v>657</v>
      </c>
      <c r="D18" s="342"/>
      <c r="F18" s="81" t="s">
        <v>658</v>
      </c>
      <c r="G18" s="154">
        <f>IFERROR(G13*D20,0)</f>
        <v>0</v>
      </c>
      <c r="O18" s="1"/>
    </row>
    <row r="19" spans="1:15" ht="18" customHeight="1" x14ac:dyDescent="0.25">
      <c r="A19" s="666" t="s">
        <v>899</v>
      </c>
      <c r="C19" s="206" t="s">
        <v>601</v>
      </c>
      <c r="D19" s="337"/>
      <c r="F19" s="8" t="s">
        <v>315</v>
      </c>
      <c r="G19" s="154">
        <f>IFERROR(G14*D20,"")</f>
        <v>0</v>
      </c>
      <c r="O19" s="1"/>
    </row>
    <row r="20" spans="1:15" ht="15.75" thickBot="1" x14ac:dyDescent="0.3">
      <c r="A20" s="666"/>
      <c r="C20" s="146" t="s">
        <v>25</v>
      </c>
      <c r="D20" s="391"/>
      <c r="F20" s="9" t="s">
        <v>659</v>
      </c>
      <c r="G20" s="133">
        <f>IFERROR(G15*D20,"")</f>
        <v>0</v>
      </c>
      <c r="O20" s="1"/>
    </row>
    <row r="21" spans="1:15" ht="15.75" customHeight="1" thickBot="1" x14ac:dyDescent="0.3">
      <c r="A21" s="666"/>
      <c r="C21" s="56" t="s">
        <v>905</v>
      </c>
      <c r="D21" s="412"/>
      <c r="O21" s="1"/>
    </row>
    <row r="22" spans="1:15" ht="15.75" thickBot="1" x14ac:dyDescent="0.3">
      <c r="A22" s="667"/>
      <c r="O22" s="1"/>
    </row>
    <row r="23" spans="1:15" x14ac:dyDescent="0.25">
      <c r="A23" s="151"/>
      <c r="O23" s="60"/>
    </row>
    <row r="24" spans="1:15" ht="26.25" x14ac:dyDescent="0.25">
      <c r="A24" s="151"/>
      <c r="C24" s="622" t="s">
        <v>139</v>
      </c>
      <c r="D24" s="622"/>
      <c r="E24" s="622"/>
      <c r="F24" s="622"/>
      <c r="G24" s="622"/>
      <c r="O24" s="1"/>
    </row>
    <row r="25" spans="1:15" x14ac:dyDescent="0.25">
      <c r="O25" s="1"/>
    </row>
    <row r="26" spans="1:15" ht="18.75" x14ac:dyDescent="0.3">
      <c r="C26" s="633" t="s">
        <v>36</v>
      </c>
      <c r="D26" s="634"/>
    </row>
    <row r="27" spans="1:15" ht="30.75" customHeight="1" x14ac:dyDescent="0.25">
      <c r="C27" s="638" t="s">
        <v>271</v>
      </c>
      <c r="D27" s="639"/>
    </row>
    <row r="28" spans="1:15" ht="15.75" thickBot="1" x14ac:dyDescent="0.3">
      <c r="C28" s="119"/>
    </row>
    <row r="29" spans="1:15" ht="15.75" thickBot="1" x14ac:dyDescent="0.3">
      <c r="C29" s="610" t="s">
        <v>272</v>
      </c>
      <c r="D29" s="612" t="s">
        <v>0</v>
      </c>
    </row>
    <row r="30" spans="1:15" ht="15.75" thickBot="1" x14ac:dyDescent="0.3">
      <c r="A30" s="245" t="s">
        <v>713</v>
      </c>
      <c r="C30" s="611"/>
      <c r="D30" s="613"/>
    </row>
    <row r="31" spans="1:15" ht="16.5" customHeight="1" thickBot="1" x14ac:dyDescent="0.3">
      <c r="A31" s="227" t="s">
        <v>556</v>
      </c>
      <c r="C31" s="6" t="s">
        <v>26</v>
      </c>
      <c r="D31" s="7"/>
      <c r="F31" s="37" t="s">
        <v>288</v>
      </c>
      <c r="G31" s="42"/>
      <c r="O31" s="46"/>
    </row>
    <row r="32" spans="1:15" x14ac:dyDescent="0.25">
      <c r="A32" s="234" t="s">
        <v>711</v>
      </c>
      <c r="C32" s="67" t="s">
        <v>291</v>
      </c>
      <c r="D32" s="336"/>
      <c r="F32" s="81" t="s">
        <v>660</v>
      </c>
      <c r="G32" s="82">
        <f>IFERROR(D36*'Conversion factors'!B222,0)</f>
        <v>0</v>
      </c>
      <c r="O32" s="46"/>
    </row>
    <row r="33" spans="1:15" x14ac:dyDescent="0.25">
      <c r="A33" s="666" t="s">
        <v>900</v>
      </c>
      <c r="C33" s="206" t="s">
        <v>601</v>
      </c>
      <c r="D33" s="335"/>
      <c r="F33" s="8" t="s">
        <v>661</v>
      </c>
      <c r="G33" s="44">
        <f>IFERROR(G32*'Conversion factors'!B224,"")</f>
        <v>0</v>
      </c>
      <c r="O33" s="1"/>
    </row>
    <row r="34" spans="1:15" x14ac:dyDescent="0.25">
      <c r="A34" s="666"/>
      <c r="C34" s="125" t="s">
        <v>905</v>
      </c>
      <c r="D34" s="411"/>
      <c r="F34" s="147" t="s">
        <v>178</v>
      </c>
      <c r="G34" s="172">
        <f>IFERROR(G32*'Conversion factors'!B228,0)</f>
        <v>0</v>
      </c>
    </row>
    <row r="35" spans="1:15" ht="15.75" thickBot="1" x14ac:dyDescent="0.3">
      <c r="A35" s="667"/>
      <c r="C35" s="84" t="s">
        <v>294</v>
      </c>
      <c r="D35" s="155">
        <f>D32*'Conversion factors'!B216</f>
        <v>0</v>
      </c>
      <c r="F35" s="49" t="s">
        <v>137</v>
      </c>
      <c r="G35" s="51">
        <f>IFERROR(G33*'Conversion factors'!B228,"")</f>
        <v>0</v>
      </c>
    </row>
    <row r="36" spans="1:15" ht="30.75" thickBot="1" x14ac:dyDescent="0.3">
      <c r="C36" s="74" t="s">
        <v>295</v>
      </c>
      <c r="D36" s="133">
        <f>D32*'Conversion factors'!B219</f>
        <v>0</v>
      </c>
    </row>
    <row r="37" spans="1:15" x14ac:dyDescent="0.25">
      <c r="O37" s="60"/>
    </row>
    <row r="38" spans="1:15" x14ac:dyDescent="0.25">
      <c r="O38" s="61"/>
    </row>
    <row r="39" spans="1:15" x14ac:dyDescent="0.25">
      <c r="O39" s="61"/>
    </row>
    <row r="40" spans="1:15" ht="18.75" x14ac:dyDescent="0.3">
      <c r="C40" s="633" t="s">
        <v>95</v>
      </c>
      <c r="D40" s="634"/>
      <c r="O40" s="61"/>
    </row>
    <row r="41" spans="1:15" x14ac:dyDescent="0.25">
      <c r="C41" s="638" t="s">
        <v>319</v>
      </c>
      <c r="D41" s="639"/>
      <c r="O41" s="60"/>
    </row>
    <row r="42" spans="1:15" ht="15.75" thickBot="1" x14ac:dyDescent="0.3">
      <c r="C42" s="119"/>
      <c r="O42" s="60"/>
    </row>
    <row r="43" spans="1:15" ht="15.75" thickBot="1" x14ac:dyDescent="0.3">
      <c r="A43" s="245" t="s">
        <v>713</v>
      </c>
      <c r="C43" s="610" t="s">
        <v>301</v>
      </c>
      <c r="D43" s="612" t="s">
        <v>0</v>
      </c>
      <c r="O43" s="1"/>
    </row>
    <row r="44" spans="1:15" ht="15" customHeight="1" thickBot="1" x14ac:dyDescent="0.3">
      <c r="A44" s="227" t="s">
        <v>556</v>
      </c>
      <c r="C44" s="611"/>
      <c r="D44" s="613"/>
      <c r="O44" s="63"/>
    </row>
    <row r="45" spans="1:15" ht="18.75" customHeight="1" thickBot="1" x14ac:dyDescent="0.3">
      <c r="A45" s="666" t="s">
        <v>476</v>
      </c>
      <c r="C45" s="6" t="s">
        <v>26</v>
      </c>
      <c r="D45" s="7"/>
      <c r="F45" s="37" t="s">
        <v>288</v>
      </c>
      <c r="G45" s="42"/>
      <c r="O45" s="63"/>
    </row>
    <row r="46" spans="1:15" ht="33.75" customHeight="1" x14ac:dyDescent="0.25">
      <c r="A46" s="666"/>
      <c r="C46" s="405" t="s">
        <v>300</v>
      </c>
      <c r="D46" s="406"/>
      <c r="F46" s="91" t="s">
        <v>474</v>
      </c>
      <c r="G46" s="334">
        <f>IFERROR(D46*'Conversion factors'!B231-D46*'Conversion factors'!B231*'Conversion factors'!B232,0)</f>
        <v>0</v>
      </c>
      <c r="O46" s="1"/>
    </row>
    <row r="47" spans="1:15" ht="17.25" customHeight="1" thickBot="1" x14ac:dyDescent="0.3">
      <c r="A47" s="686" t="s">
        <v>901</v>
      </c>
      <c r="C47" s="146" t="s">
        <v>601</v>
      </c>
      <c r="D47" s="407"/>
      <c r="F47" s="9" t="s">
        <v>137</v>
      </c>
      <c r="G47" s="133">
        <f>IFERROR(IF(G46*D47=0,G46*'Conversion factors'!B228,'School Grounds &amp; Gardens'!G46*'School Grounds &amp; Gardens'!D47),0)</f>
        <v>0</v>
      </c>
      <c r="O47" s="63"/>
    </row>
    <row r="48" spans="1:15" ht="15.75" thickBot="1" x14ac:dyDescent="0.3">
      <c r="A48" s="686"/>
      <c r="C48" s="56" t="s">
        <v>905</v>
      </c>
      <c r="D48" s="412"/>
      <c r="G48" t="str">
        <f>IFERROR(#REF!*'Conversion factors'!B236,"")</f>
        <v/>
      </c>
      <c r="O48" s="1"/>
    </row>
    <row r="49" spans="1:15" x14ac:dyDescent="0.25">
      <c r="A49" s="686"/>
      <c r="O49" s="63"/>
    </row>
    <row r="50" spans="1:15" ht="15.75" thickBot="1" x14ac:dyDescent="0.3">
      <c r="A50" s="690"/>
      <c r="O50" s="83"/>
    </row>
    <row r="51" spans="1:15" x14ac:dyDescent="0.25">
      <c r="O51" s="1"/>
    </row>
    <row r="52" spans="1:15" s="119" customFormat="1" ht="18.75" x14ac:dyDescent="0.3">
      <c r="C52" s="633" t="s">
        <v>110</v>
      </c>
      <c r="D52" s="634"/>
      <c r="O52" s="61"/>
    </row>
    <row r="53" spans="1:15" s="119" customFormat="1" x14ac:dyDescent="0.25">
      <c r="C53" s="638" t="s">
        <v>858</v>
      </c>
      <c r="D53" s="639"/>
      <c r="O53" s="60"/>
    </row>
    <row r="54" spans="1:15" s="119" customFormat="1" ht="15.75" thickBot="1" x14ac:dyDescent="0.3">
      <c r="O54" s="60"/>
    </row>
    <row r="55" spans="1:15" s="119" customFormat="1" ht="15.75" thickBot="1" x14ac:dyDescent="0.3">
      <c r="A55" s="245" t="s">
        <v>713</v>
      </c>
      <c r="C55" s="610" t="s">
        <v>858</v>
      </c>
      <c r="D55" s="612" t="s">
        <v>0</v>
      </c>
      <c r="O55" s="1"/>
    </row>
    <row r="56" spans="1:15" s="119" customFormat="1" ht="15.75" thickBot="1" x14ac:dyDescent="0.3">
      <c r="A56" s="227" t="s">
        <v>560</v>
      </c>
      <c r="C56" s="611"/>
      <c r="D56" s="613"/>
      <c r="O56" s="63"/>
    </row>
    <row r="57" spans="1:15" s="119" customFormat="1" ht="15.75" thickBot="1" x14ac:dyDescent="0.3">
      <c r="A57" s="666" t="s">
        <v>860</v>
      </c>
      <c r="C57" s="121" t="s">
        <v>26</v>
      </c>
      <c r="D57" s="122"/>
      <c r="F57" s="144" t="s">
        <v>288</v>
      </c>
      <c r="G57" s="145"/>
      <c r="O57" s="63"/>
    </row>
    <row r="58" spans="1:15" s="119" customFormat="1" x14ac:dyDescent="0.25">
      <c r="A58" s="666"/>
      <c r="C58" s="146" t="s">
        <v>861</v>
      </c>
      <c r="D58" s="175"/>
      <c r="F58" s="91" t="s">
        <v>474</v>
      </c>
      <c r="G58" s="334">
        <f>D62*'Conversion factors'!B250*0.004329</f>
        <v>0</v>
      </c>
      <c r="O58" s="63"/>
    </row>
    <row r="59" spans="1:15" s="119" customFormat="1" ht="15.75" thickBot="1" x14ac:dyDescent="0.3">
      <c r="A59" s="666"/>
      <c r="C59" s="146" t="s">
        <v>866</v>
      </c>
      <c r="D59" s="175"/>
      <c r="F59" s="124" t="s">
        <v>137</v>
      </c>
      <c r="G59" s="133">
        <f>IFERROR(IF(G58*D60=0,G58*'Conversion factors'!B228,'School Grounds &amp; Gardens'!G58*'School Grounds &amp; Gardens'!D60),0)</f>
        <v>0</v>
      </c>
      <c r="O59" s="63"/>
    </row>
    <row r="60" spans="1:15" s="119" customFormat="1" x14ac:dyDescent="0.25">
      <c r="A60" s="666"/>
      <c r="C60" s="146" t="s">
        <v>601</v>
      </c>
      <c r="D60" s="407"/>
      <c r="O60" s="1"/>
    </row>
    <row r="61" spans="1:15" s="119" customFormat="1" ht="30" x14ac:dyDescent="0.25">
      <c r="A61" s="686" t="s">
        <v>902</v>
      </c>
      <c r="C61" s="146" t="s">
        <v>905</v>
      </c>
      <c r="D61" s="407"/>
      <c r="O61" s="63"/>
    </row>
    <row r="62" spans="1:15" s="119" customFormat="1" ht="15.75" thickBot="1" x14ac:dyDescent="0.3">
      <c r="A62" s="686"/>
      <c r="C62" s="543" t="s">
        <v>867</v>
      </c>
      <c r="D62" s="544">
        <f>D59*D58</f>
        <v>0</v>
      </c>
      <c r="G62" s="119" t="str">
        <f>IFERROR(#REF!*'Conversion factors'!B252,"")</f>
        <v/>
      </c>
      <c r="O62" s="1"/>
    </row>
    <row r="63" spans="1:15" s="119" customFormat="1" x14ac:dyDescent="0.25">
      <c r="A63" s="686"/>
      <c r="O63" s="63"/>
    </row>
    <row r="64" spans="1:15" s="119" customFormat="1" ht="15.75" thickBot="1" x14ac:dyDescent="0.3">
      <c r="A64" s="690"/>
      <c r="G64" s="551"/>
      <c r="O64" s="83"/>
    </row>
    <row r="65" spans="1:18" s="119" customFormat="1" x14ac:dyDescent="0.25">
      <c r="A65" s="542"/>
      <c r="O65" s="83"/>
    </row>
    <row r="66" spans="1:18" ht="18.75" x14ac:dyDescent="0.3">
      <c r="C66" s="633" t="s">
        <v>113</v>
      </c>
      <c r="D66" s="634"/>
      <c r="O66" s="63"/>
    </row>
    <row r="67" spans="1:18" x14ac:dyDescent="0.25">
      <c r="C67" s="638" t="s">
        <v>326</v>
      </c>
      <c r="D67" s="639"/>
      <c r="O67" s="63"/>
    </row>
    <row r="68" spans="1:18" ht="15.75" thickBot="1" x14ac:dyDescent="0.3">
      <c r="C68" s="119"/>
      <c r="O68" s="63"/>
    </row>
    <row r="69" spans="1:18" ht="15.75" thickBot="1" x14ac:dyDescent="0.3">
      <c r="A69" s="245" t="s">
        <v>713</v>
      </c>
      <c r="C69" s="610" t="s">
        <v>317</v>
      </c>
      <c r="D69" s="612" t="s">
        <v>0</v>
      </c>
      <c r="O69" s="63"/>
    </row>
    <row r="70" spans="1:18" ht="15.75" thickBot="1" x14ac:dyDescent="0.3">
      <c r="A70" s="227" t="s">
        <v>560</v>
      </c>
      <c r="C70" s="611"/>
      <c r="D70" s="613"/>
      <c r="O70" s="63"/>
    </row>
    <row r="71" spans="1:18" ht="15.75" customHeight="1" thickBot="1" x14ac:dyDescent="0.3">
      <c r="A71" s="666" t="s">
        <v>857</v>
      </c>
      <c r="C71" s="6" t="s">
        <v>26</v>
      </c>
      <c r="D71" s="7"/>
      <c r="F71" s="37" t="s">
        <v>288</v>
      </c>
      <c r="G71" s="42"/>
      <c r="O71" s="1"/>
    </row>
    <row r="72" spans="1:18" ht="15.75" thickBot="1" x14ac:dyDescent="0.3">
      <c r="A72" s="666"/>
      <c r="C72" s="67" t="s">
        <v>318</v>
      </c>
      <c r="D72" s="178"/>
      <c r="E72" s="59"/>
      <c r="F72" s="182" t="s">
        <v>324</v>
      </c>
      <c r="G72" s="183">
        <f>IFERROR(D72*'Conversion factors'!B244,0)</f>
        <v>0</v>
      </c>
    </row>
    <row r="73" spans="1:18" ht="15.75" thickBot="1" x14ac:dyDescent="0.3">
      <c r="A73" s="667"/>
      <c r="C73" s="56" t="s">
        <v>905</v>
      </c>
      <c r="D73" s="412"/>
    </row>
    <row r="74" spans="1:18" s="119" customFormat="1" x14ac:dyDescent="0.25"/>
    <row r="75" spans="1:18" s="119" customFormat="1" x14ac:dyDescent="0.25"/>
    <row r="76" spans="1:18" ht="15.75" thickBot="1" x14ac:dyDescent="0.3">
      <c r="A76" s="119"/>
    </row>
    <row r="77" spans="1:18" ht="18.75" x14ac:dyDescent="0.3">
      <c r="A77" s="119"/>
      <c r="C77" s="200" t="s">
        <v>559</v>
      </c>
      <c r="D77" s="198"/>
      <c r="E77" s="198"/>
      <c r="F77" s="198"/>
      <c r="G77" s="199"/>
      <c r="R77" s="119"/>
    </row>
    <row r="78" spans="1:18" ht="15.95" customHeight="1" x14ac:dyDescent="0.25">
      <c r="A78" s="119"/>
      <c r="C78" s="693" t="s">
        <v>662</v>
      </c>
      <c r="D78" s="694"/>
      <c r="E78" s="694"/>
      <c r="F78" s="694"/>
      <c r="G78" s="695"/>
      <c r="R78" s="119"/>
    </row>
    <row r="79" spans="1:18" ht="15.95" customHeight="1" x14ac:dyDescent="0.25">
      <c r="A79" s="119"/>
      <c r="C79" s="693"/>
      <c r="D79" s="694"/>
      <c r="E79" s="694"/>
      <c r="F79" s="694"/>
      <c r="G79" s="695"/>
      <c r="R79" s="119"/>
    </row>
    <row r="80" spans="1:18" ht="15.95" customHeight="1" x14ac:dyDescent="0.25">
      <c r="C80" s="693"/>
      <c r="D80" s="694"/>
      <c r="E80" s="694"/>
      <c r="F80" s="694"/>
      <c r="G80" s="695"/>
      <c r="R80" s="119"/>
    </row>
    <row r="81" spans="3:18" ht="15.95" customHeight="1" x14ac:dyDescent="0.25">
      <c r="C81" s="693"/>
      <c r="D81" s="694"/>
      <c r="E81" s="694"/>
      <c r="F81" s="694"/>
      <c r="G81" s="695"/>
      <c r="R81" s="119"/>
    </row>
    <row r="82" spans="3:18" ht="15.95" customHeight="1" x14ac:dyDescent="0.25">
      <c r="C82" s="693"/>
      <c r="D82" s="694"/>
      <c r="E82" s="694"/>
      <c r="F82" s="694"/>
      <c r="G82" s="695"/>
      <c r="R82" s="119"/>
    </row>
    <row r="83" spans="3:18" ht="15.95" customHeight="1" x14ac:dyDescent="0.25">
      <c r="C83" s="693"/>
      <c r="D83" s="694"/>
      <c r="E83" s="694"/>
      <c r="F83" s="694"/>
      <c r="G83" s="695"/>
      <c r="R83" s="119"/>
    </row>
    <row r="84" spans="3:18" ht="15.95" customHeight="1" x14ac:dyDescent="0.25">
      <c r="C84" s="693"/>
      <c r="D84" s="694"/>
      <c r="E84" s="694"/>
      <c r="F84" s="694"/>
      <c r="G84" s="695"/>
    </row>
    <row r="85" spans="3:18" ht="15.95" customHeight="1" x14ac:dyDescent="0.25">
      <c r="C85" s="693"/>
      <c r="D85" s="694"/>
      <c r="E85" s="694"/>
      <c r="F85" s="694"/>
      <c r="G85" s="695"/>
    </row>
    <row r="86" spans="3:18" ht="15.95" customHeight="1" x14ac:dyDescent="0.25">
      <c r="C86" s="693"/>
      <c r="D86" s="694"/>
      <c r="E86" s="694"/>
      <c r="F86" s="694"/>
      <c r="G86" s="695"/>
    </row>
    <row r="87" spans="3:18" ht="22.5" customHeight="1" thickBot="1" x14ac:dyDescent="0.3">
      <c r="C87" s="696"/>
      <c r="D87" s="697"/>
      <c r="E87" s="697"/>
      <c r="F87" s="697"/>
      <c r="G87" s="698"/>
    </row>
    <row r="89" spans="3:18" ht="15.75" hidden="1" thickBot="1" x14ac:dyDescent="0.3"/>
    <row r="90" spans="3:18" ht="18.75" hidden="1" x14ac:dyDescent="0.3">
      <c r="C90" s="625" t="s">
        <v>113</v>
      </c>
      <c r="D90" s="626"/>
    </row>
    <row r="91" spans="3:18" s="119" customFormat="1" ht="51" hidden="1" customHeight="1" x14ac:dyDescent="0.25">
      <c r="C91" s="689" t="s">
        <v>161</v>
      </c>
      <c r="D91" s="681"/>
      <c r="Q91"/>
      <c r="R91"/>
    </row>
    <row r="92" spans="3:18" s="119" customFormat="1" ht="15.75" hidden="1" thickBot="1" x14ac:dyDescent="0.3">
      <c r="C92" s="4"/>
      <c r="D92" s="35"/>
      <c r="Q92"/>
      <c r="R92"/>
    </row>
    <row r="93" spans="3:18" s="119" customFormat="1" hidden="1" x14ac:dyDescent="0.25">
      <c r="C93" s="86"/>
      <c r="D93" s="88" t="s">
        <v>0</v>
      </c>
      <c r="Q93"/>
      <c r="R93"/>
    </row>
    <row r="94" spans="3:18" s="119" customFormat="1" hidden="1" x14ac:dyDescent="0.25">
      <c r="C94" s="87"/>
      <c r="D94" s="89"/>
      <c r="Q94"/>
      <c r="R94"/>
    </row>
    <row r="95" spans="3:18" s="119" customFormat="1" ht="15.75" hidden="1" thickBot="1" x14ac:dyDescent="0.3">
      <c r="C95" s="6" t="s">
        <v>26</v>
      </c>
      <c r="D95" s="7"/>
      <c r="K95"/>
      <c r="L95"/>
      <c r="M95"/>
      <c r="N95"/>
      <c r="O95" s="65"/>
      <c r="P95"/>
      <c r="Q95"/>
      <c r="R95"/>
    </row>
    <row r="96" spans="3:18" s="119" customFormat="1" hidden="1" x14ac:dyDescent="0.25">
      <c r="C96" s="67"/>
      <c r="D96" s="78"/>
      <c r="K96"/>
      <c r="L96"/>
      <c r="M96"/>
      <c r="N96"/>
      <c r="O96" s="65"/>
      <c r="P96"/>
      <c r="Q96"/>
      <c r="R96"/>
    </row>
    <row r="97" spans="1:18" s="119" customFormat="1" ht="15.75" hidden="1" thickBot="1" x14ac:dyDescent="0.3">
      <c r="C97" s="79"/>
      <c r="D97" s="80"/>
      <c r="K97"/>
      <c r="L97"/>
      <c r="M97"/>
      <c r="N97"/>
      <c r="O97"/>
      <c r="P97"/>
      <c r="Q97"/>
      <c r="R97"/>
    </row>
    <row r="98" spans="1:18" hidden="1" x14ac:dyDescent="0.25"/>
    <row r="101" spans="1:18" ht="26.25" x14ac:dyDescent="0.25">
      <c r="C101" s="631" t="s">
        <v>138</v>
      </c>
      <c r="D101" s="631"/>
      <c r="E101" s="631"/>
      <c r="F101" s="631"/>
      <c r="G101" s="631"/>
    </row>
    <row r="102" spans="1:18" x14ac:dyDescent="0.25">
      <c r="C102" s="119"/>
      <c r="D102" s="119"/>
      <c r="E102" s="119"/>
      <c r="F102" s="119"/>
      <c r="G102" s="119"/>
    </row>
    <row r="103" spans="1:18" ht="15.75" thickBot="1" x14ac:dyDescent="0.3">
      <c r="C103" s="132"/>
      <c r="D103" s="119"/>
      <c r="E103" s="119"/>
      <c r="F103" s="119"/>
      <c r="G103" s="119"/>
    </row>
    <row r="104" spans="1:18" ht="26.25" customHeight="1" thickBot="1" x14ac:dyDescent="0.3">
      <c r="A104" s="245" t="s">
        <v>713</v>
      </c>
      <c r="C104" s="738" t="str">
        <f>"Congratulations, you have completed "&amp; COUNT(D46,D32,D18,D72,D96) &amp; " project(s)!"</f>
        <v>Congratulations, you have completed 0 project(s)!</v>
      </c>
      <c r="D104" s="739"/>
      <c r="E104" s="739"/>
      <c r="F104" s="739"/>
      <c r="G104" s="740"/>
      <c r="I104" s="184">
        <f>COUNT(D46,D32,D18,D72,D96)</f>
        <v>0</v>
      </c>
    </row>
    <row r="105" spans="1:18" ht="15.75" thickBot="1" x14ac:dyDescent="0.3">
      <c r="C105" s="119"/>
      <c r="D105" s="119"/>
      <c r="E105" s="119"/>
      <c r="F105" s="119"/>
      <c r="G105" s="119"/>
    </row>
    <row r="106" spans="1:18" ht="18.75" x14ac:dyDescent="0.3">
      <c r="C106" s="134"/>
      <c r="D106" s="135"/>
      <c r="E106" s="119"/>
      <c r="F106" s="141"/>
      <c r="G106" s="135"/>
    </row>
    <row r="107" spans="1:18" x14ac:dyDescent="0.25">
      <c r="C107" s="136"/>
      <c r="D107" s="137"/>
      <c r="E107" s="119"/>
      <c r="F107" s="142"/>
      <c r="G107" s="137"/>
    </row>
    <row r="108" spans="1:18" x14ac:dyDescent="0.25">
      <c r="C108" s="670" t="str">
        <f>TEXT(ROUND(G119,0),"#,###,###")&amp;" gallons of water"&amp;"                            "&amp;TEXT(ROUND(G120,0),"#,###,###")&amp; " dollars"</f>
        <v xml:space="preserve"> gallons of water                             dollars</v>
      </c>
      <c r="D108" s="671"/>
      <c r="E108" s="119"/>
      <c r="F108" s="623" t="str">
        <f>"Your water saving is equal to "&amp;TEXT(ROUND(G121,0),"#,###,###")&amp;" bathtubs of water"</f>
        <v>Your water saving is equal to  bathtubs of water</v>
      </c>
      <c r="G108" s="624"/>
    </row>
    <row r="109" spans="1:18" x14ac:dyDescent="0.25">
      <c r="C109" s="138"/>
      <c r="D109" s="137"/>
      <c r="E109" s="119"/>
      <c r="F109" s="142"/>
      <c r="G109" s="137"/>
    </row>
    <row r="110" spans="1:18" x14ac:dyDescent="0.25">
      <c r="C110" s="138"/>
      <c r="D110" s="137"/>
      <c r="E110" s="119"/>
      <c r="F110" s="142"/>
      <c r="G110" s="137"/>
    </row>
    <row r="111" spans="1:18" x14ac:dyDescent="0.25">
      <c r="C111" s="138"/>
      <c r="D111" s="137"/>
      <c r="E111" s="119"/>
      <c r="F111" s="142"/>
      <c r="G111" s="137"/>
    </row>
    <row r="112" spans="1:18" x14ac:dyDescent="0.25">
      <c r="C112" s="138"/>
      <c r="D112" s="137"/>
      <c r="E112" s="119"/>
      <c r="F112" s="142"/>
      <c r="G112" s="137"/>
    </row>
    <row r="113" spans="3:7" x14ac:dyDescent="0.25">
      <c r="C113" s="138"/>
      <c r="D113" s="137"/>
      <c r="E113" s="119"/>
      <c r="F113" s="142"/>
      <c r="G113" s="137"/>
    </row>
    <row r="114" spans="3:7" ht="15.75" thickBot="1" x14ac:dyDescent="0.3">
      <c r="C114" s="139"/>
      <c r="D114" s="140"/>
      <c r="E114" s="119"/>
      <c r="F114" s="139"/>
      <c r="G114" s="140"/>
    </row>
    <row r="115" spans="3:7" x14ac:dyDescent="0.25">
      <c r="C115" s="119"/>
      <c r="D115" s="119"/>
      <c r="E115" s="119"/>
      <c r="F115" s="119"/>
      <c r="G115" s="119"/>
    </row>
    <row r="116" spans="3:7" ht="15.75" thickBot="1" x14ac:dyDescent="0.3">
      <c r="C116" s="121" t="s">
        <v>156</v>
      </c>
      <c r="D116" s="121"/>
      <c r="E116" s="119"/>
      <c r="F116" s="121" t="s">
        <v>133</v>
      </c>
      <c r="G116" s="121"/>
    </row>
    <row r="117" spans="3:7" x14ac:dyDescent="0.25">
      <c r="C117" s="131" t="s">
        <v>520</v>
      </c>
      <c r="D117" s="22">
        <f>IFERROR(G13,"")</f>
        <v>0</v>
      </c>
      <c r="E117" s="119"/>
      <c r="F117" s="131" t="s">
        <v>634</v>
      </c>
      <c r="G117" s="22">
        <f>IFERROR(ROUND(G33+G46+G58,2),"")</f>
        <v>0</v>
      </c>
    </row>
    <row r="118" spans="3:7" x14ac:dyDescent="0.25">
      <c r="C118" s="123" t="s">
        <v>128</v>
      </c>
      <c r="D118" s="23">
        <f>IFERROR(G15,"")</f>
        <v>0</v>
      </c>
      <c r="E118" s="119"/>
      <c r="F118" s="123" t="s">
        <v>635</v>
      </c>
      <c r="G118" s="23">
        <f>IFERROR(ROUND(G35+G47+G59,2),"")</f>
        <v>0</v>
      </c>
    </row>
    <row r="119" spans="3:7" ht="15.75" thickBot="1" x14ac:dyDescent="0.3">
      <c r="C119" s="124" t="s">
        <v>636</v>
      </c>
      <c r="D119" s="156">
        <f>IFERROR(D117/'Conversion factors'!B403,0)</f>
        <v>0</v>
      </c>
      <c r="E119" s="119"/>
      <c r="F119" s="123" t="s">
        <v>521</v>
      </c>
      <c r="G119" s="23">
        <f>IFERROR(D117+G117,"")</f>
        <v>0</v>
      </c>
    </row>
    <row r="120" spans="3:7" x14ac:dyDescent="0.25">
      <c r="C120" s="119"/>
      <c r="D120" s="119"/>
      <c r="E120" s="119"/>
      <c r="F120" s="123" t="s">
        <v>132</v>
      </c>
      <c r="G120" s="23">
        <f>IFERROR(D118+G118,"")</f>
        <v>0</v>
      </c>
    </row>
    <row r="121" spans="3:7" ht="15.75" thickBot="1" x14ac:dyDescent="0.3">
      <c r="C121" s="119"/>
      <c r="D121" s="119"/>
      <c r="E121" s="119"/>
      <c r="F121" s="124" t="s">
        <v>636</v>
      </c>
      <c r="G121" s="156">
        <f>IFERROR(G119/'Conversion factors'!B403,0)</f>
        <v>0</v>
      </c>
    </row>
    <row r="122" spans="3:7" x14ac:dyDescent="0.25">
      <c r="C122" s="119"/>
      <c r="D122" s="119"/>
      <c r="E122" s="119"/>
      <c r="F122" s="119"/>
      <c r="G122" s="119"/>
    </row>
    <row r="123" spans="3:7" x14ac:dyDescent="0.25">
      <c r="C123" s="119"/>
      <c r="D123" s="119"/>
      <c r="E123" s="119"/>
      <c r="F123" s="119"/>
      <c r="G123" s="119"/>
    </row>
    <row r="124" spans="3:7" x14ac:dyDescent="0.25">
      <c r="C124" s="119"/>
      <c r="D124" s="119"/>
      <c r="E124" s="119"/>
      <c r="F124" s="119"/>
      <c r="G124" s="119"/>
    </row>
    <row r="125" spans="3:7" x14ac:dyDescent="0.25">
      <c r="C125" s="119"/>
      <c r="D125" s="119"/>
      <c r="E125" s="119"/>
      <c r="F125" s="119"/>
      <c r="G125" s="119"/>
    </row>
    <row r="126" spans="3:7" x14ac:dyDescent="0.25">
      <c r="C126" s="119"/>
      <c r="D126" s="119"/>
      <c r="E126" s="119"/>
      <c r="F126" s="119"/>
      <c r="G126" s="119"/>
    </row>
    <row r="127" spans="3:7" ht="26.25" customHeight="1" x14ac:dyDescent="0.25">
      <c r="C127" s="654" t="str">
        <f>"Wondering what would be the impact if "&amp;Introduction!B33&amp;" schools implemented the same projects as your school did?"</f>
        <v>Wondering what would be the impact if  schools implemented the same projects as your school did?</v>
      </c>
      <c r="D127" s="655"/>
      <c r="E127" s="655"/>
      <c r="F127" s="655"/>
      <c r="G127" s="655"/>
    </row>
    <row r="128" spans="3:7" x14ac:dyDescent="0.25">
      <c r="C128" s="119"/>
      <c r="D128" s="119"/>
      <c r="E128" s="119"/>
      <c r="F128" s="119"/>
      <c r="G128" s="119"/>
    </row>
    <row r="129" spans="3:7" ht="15.75" thickBot="1" x14ac:dyDescent="0.3">
      <c r="C129" s="119"/>
      <c r="D129" s="119"/>
      <c r="E129" s="119"/>
      <c r="F129" s="119"/>
      <c r="G129" s="119"/>
    </row>
    <row r="130" spans="3:7" ht="18.75" x14ac:dyDescent="0.3">
      <c r="C130" s="134"/>
      <c r="D130" s="135"/>
      <c r="E130" s="119"/>
      <c r="F130" s="141"/>
      <c r="G130" s="135"/>
    </row>
    <row r="131" spans="3:7" x14ac:dyDescent="0.25">
      <c r="C131" s="136"/>
      <c r="D131" s="137"/>
      <c r="E131" s="119"/>
      <c r="F131" s="142"/>
      <c r="G131" s="137"/>
    </row>
    <row r="132" spans="3:7" x14ac:dyDescent="0.25">
      <c r="C132" s="672" t="str">
        <f>TEXT(ROUND(D141,0),"#,###,###,###")&amp;" gallons of water"&amp;"                          "&amp;TEXT(ROUND(D142,0),"#,###,###,###")&amp; " dollars"</f>
        <v xml:space="preserve"> gallons of water                           dollars</v>
      </c>
      <c r="D132" s="673"/>
      <c r="E132" s="119"/>
      <c r="F132" s="623" t="str">
        <f>"Your water saving is equal to "&amp;TEXT(ROUND(D143,0),"#,###,###,###")&amp;" bathtubs of water"</f>
        <v>Your water saving is equal to  bathtubs of water</v>
      </c>
      <c r="G132" s="624"/>
    </row>
    <row r="133" spans="3:7" x14ac:dyDescent="0.25">
      <c r="C133" s="138"/>
      <c r="D133" s="137"/>
      <c r="E133" s="119"/>
      <c r="F133" s="142"/>
      <c r="G133" s="137"/>
    </row>
    <row r="134" spans="3:7" x14ac:dyDescent="0.25">
      <c r="C134" s="138"/>
      <c r="D134" s="137"/>
      <c r="E134" s="119"/>
      <c r="F134" s="142"/>
      <c r="G134" s="137"/>
    </row>
    <row r="135" spans="3:7" x14ac:dyDescent="0.25">
      <c r="C135" s="138"/>
      <c r="D135" s="137"/>
      <c r="E135" s="119"/>
      <c r="F135" s="142"/>
      <c r="G135" s="137"/>
    </row>
    <row r="136" spans="3:7" x14ac:dyDescent="0.25">
      <c r="C136" s="138"/>
      <c r="D136" s="137"/>
      <c r="E136" s="119"/>
      <c r="F136" s="142"/>
      <c r="G136" s="137"/>
    </row>
    <row r="137" spans="3:7" x14ac:dyDescent="0.25">
      <c r="C137" s="138"/>
      <c r="D137" s="137"/>
      <c r="E137" s="119"/>
      <c r="F137" s="142"/>
      <c r="G137" s="137"/>
    </row>
    <row r="138" spans="3:7" ht="15.75" thickBot="1" x14ac:dyDescent="0.3">
      <c r="C138" s="139"/>
      <c r="D138" s="140"/>
      <c r="E138" s="119"/>
      <c r="F138" s="139"/>
      <c r="G138" s="140"/>
    </row>
    <row r="139" spans="3:7" x14ac:dyDescent="0.25">
      <c r="C139" s="119"/>
      <c r="D139" s="119"/>
      <c r="E139" s="119"/>
      <c r="F139" s="119"/>
      <c r="G139" s="119"/>
    </row>
    <row r="140" spans="3:7" x14ac:dyDescent="0.25">
      <c r="C140" s="121" t="s">
        <v>775</v>
      </c>
      <c r="D140" s="121"/>
      <c r="E140" s="119"/>
      <c r="F140" s="119"/>
      <c r="G140" s="119"/>
    </row>
    <row r="141" spans="3:7" x14ac:dyDescent="0.25">
      <c r="C141" s="123" t="s">
        <v>521</v>
      </c>
      <c r="D141" s="23">
        <f>IFERROR(G119*Introduction!B33,"")</f>
        <v>0</v>
      </c>
      <c r="E141" s="119"/>
      <c r="F141" s="119"/>
      <c r="G141" s="119"/>
    </row>
    <row r="142" spans="3:7" x14ac:dyDescent="0.25">
      <c r="C142" s="123" t="s">
        <v>132</v>
      </c>
      <c r="D142" s="23">
        <f>IFERROR(G120*Introduction!B33,"")</f>
        <v>0</v>
      </c>
      <c r="E142" s="119"/>
      <c r="F142" s="119"/>
      <c r="G142" s="119"/>
    </row>
    <row r="143" spans="3:7" ht="15.75" thickBot="1" x14ac:dyDescent="0.3">
      <c r="C143" s="124" t="s">
        <v>636</v>
      </c>
      <c r="D143" s="133">
        <f>IFERROR(G121*Introduction!B33,"")</f>
        <v>0</v>
      </c>
      <c r="E143" s="119"/>
      <c r="F143" s="119"/>
      <c r="G143" s="119"/>
    </row>
    <row r="144" spans="3:7" x14ac:dyDescent="0.25">
      <c r="C144" s="119"/>
      <c r="D144" s="119"/>
      <c r="E144" s="119"/>
      <c r="F144" s="119"/>
      <c r="G144" s="119"/>
    </row>
    <row r="145" spans="3:7" x14ac:dyDescent="0.25">
      <c r="C145" s="119"/>
      <c r="D145" s="119"/>
      <c r="E145" s="119"/>
      <c r="F145" s="119"/>
      <c r="G145" s="119"/>
    </row>
    <row r="146" spans="3:7" x14ac:dyDescent="0.25">
      <c r="C146" s="119"/>
      <c r="G146" s="63"/>
    </row>
    <row r="147" spans="3:7" x14ac:dyDescent="0.25">
      <c r="C147" s="119"/>
      <c r="G147" s="63"/>
    </row>
    <row r="148" spans="3:7" x14ac:dyDescent="0.25">
      <c r="C148" s="119"/>
      <c r="G148" s="65"/>
    </row>
    <row r="149" spans="3:7" x14ac:dyDescent="0.25">
      <c r="C149" s="119"/>
    </row>
    <row r="150" spans="3:7" x14ac:dyDescent="0.25">
      <c r="C150" s="119"/>
    </row>
    <row r="151" spans="3:7" x14ac:dyDescent="0.25">
      <c r="C151" s="119"/>
    </row>
    <row r="152" spans="3:7" x14ac:dyDescent="0.25">
      <c r="C152" s="119"/>
    </row>
    <row r="153" spans="3:7" x14ac:dyDescent="0.25">
      <c r="C153" s="119"/>
    </row>
    <row r="154" spans="3:7" x14ac:dyDescent="0.25">
      <c r="C154" s="119"/>
    </row>
    <row r="155" spans="3:7" x14ac:dyDescent="0.25">
      <c r="C155" s="119"/>
    </row>
    <row r="156" spans="3:7" x14ac:dyDescent="0.25">
      <c r="C156" s="119"/>
    </row>
    <row r="157" spans="3:7" x14ac:dyDescent="0.25">
      <c r="C157" s="119"/>
    </row>
    <row r="158" spans="3:7" x14ac:dyDescent="0.25">
      <c r="C158" s="119"/>
    </row>
    <row r="159" spans="3:7" x14ac:dyDescent="0.25">
      <c r="C159" s="119"/>
    </row>
    <row r="160" spans="3:7" x14ac:dyDescent="0.25">
      <c r="C160" s="119"/>
    </row>
    <row r="161" spans="3:7" x14ac:dyDescent="0.25">
      <c r="C161" s="119"/>
      <c r="D161" s="93"/>
    </row>
    <row r="162" spans="3:7" x14ac:dyDescent="0.25">
      <c r="C162" s="119"/>
    </row>
    <row r="164" spans="3:7" x14ac:dyDescent="0.25">
      <c r="G164" s="65"/>
    </row>
    <row r="165" spans="3:7" x14ac:dyDescent="0.25">
      <c r="G165" s="65"/>
    </row>
    <row r="166" spans="3:7" x14ac:dyDescent="0.25">
      <c r="C166" s="2"/>
      <c r="G166" s="65"/>
    </row>
  </sheetData>
  <protectedRanges>
    <protectedRange sqref="D72" name="ProjectFour"/>
    <protectedRange sqref="D46:D47 D60" name="ProjectThree"/>
    <protectedRange sqref="D32:D33" name="ProjectTwo"/>
    <protectedRange sqref="D18:D20" name="ProjectOne"/>
  </protectedRanges>
  <mergeCells count="41">
    <mergeCell ref="A57:A60"/>
    <mergeCell ref="A61:A64"/>
    <mergeCell ref="A71:A73"/>
    <mergeCell ref="C52:D52"/>
    <mergeCell ref="C53:D53"/>
    <mergeCell ref="C55:C56"/>
    <mergeCell ref="D55:D56"/>
    <mergeCell ref="A33:A35"/>
    <mergeCell ref="A45:A46"/>
    <mergeCell ref="A47:A50"/>
    <mergeCell ref="C27:D27"/>
    <mergeCell ref="C29:C30"/>
    <mergeCell ref="D29:D30"/>
    <mergeCell ref="C132:D132"/>
    <mergeCell ref="F132:G132"/>
    <mergeCell ref="C101:G101"/>
    <mergeCell ref="C104:G104"/>
    <mergeCell ref="C108:D108"/>
    <mergeCell ref="F108:G108"/>
    <mergeCell ref="C127:G127"/>
    <mergeCell ref="C1:G1"/>
    <mergeCell ref="C3:G3"/>
    <mergeCell ref="A19:A22"/>
    <mergeCell ref="A15:A17"/>
    <mergeCell ref="C90:D90"/>
    <mergeCell ref="C41:D41"/>
    <mergeCell ref="C43:C44"/>
    <mergeCell ref="D43:D44"/>
    <mergeCell ref="C24:G24"/>
    <mergeCell ref="C40:D40"/>
    <mergeCell ref="C26:D26"/>
    <mergeCell ref="C78:G87"/>
    <mergeCell ref="C12:D12"/>
    <mergeCell ref="C13:D13"/>
    <mergeCell ref="C15:C16"/>
    <mergeCell ref="D15:D16"/>
    <mergeCell ref="C91:D91"/>
    <mergeCell ref="C66:D66"/>
    <mergeCell ref="C67:D67"/>
    <mergeCell ref="C69:C70"/>
    <mergeCell ref="D69:D70"/>
  </mergeCells>
  <dataValidations disablePrompts="1" count="1">
    <dataValidation type="whole" allowBlank="1" showInputMessage="1" showErrorMessage="1" sqref="D96">
      <formula1>0</formula1>
      <formula2>100000</formula2>
    </dataValidation>
  </dataValidations>
  <hyperlinks>
    <hyperlink ref="A14" location="Glossary!A28" display="Aeroponic gardening definition"/>
    <hyperlink ref="A32" location="Glossary!A29" display="Mulch definition"/>
    <hyperlink ref="A9" location="'School grounds'!A95" display="Jump to summary section"/>
    <hyperlink ref="A104" location="'School grounds'!A1" display="Jump to the top of the page"/>
    <hyperlink ref="A69" location="'School grounds'!A1" display="Jump to the top of the page"/>
    <hyperlink ref="A43" location="'School grounds'!A1" display="Jump to the top of the page"/>
    <hyperlink ref="A30" location="'School grounds'!A1" display="Jump to the top of the page"/>
    <hyperlink ref="A55" location="'School grounds'!A1" display="Jump to the top of the pag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6583A"/>
    <pageSetUpPr fitToPage="1"/>
  </sheetPr>
  <dimension ref="B2:F55"/>
  <sheetViews>
    <sheetView showGridLines="0" workbookViewId="0">
      <selection activeCell="E2" sqref="E2"/>
    </sheetView>
  </sheetViews>
  <sheetFormatPr defaultColWidth="8.85546875" defaultRowHeight="15" x14ac:dyDescent="0.25"/>
  <cols>
    <col min="2" max="4" width="46.140625" customWidth="1"/>
    <col min="5" max="5" width="47" customWidth="1"/>
    <col min="6" max="6" width="47" style="119" customWidth="1"/>
    <col min="7" max="7" width="47" customWidth="1"/>
  </cols>
  <sheetData>
    <row r="2" spans="2:4" ht="51.75" customHeight="1" x14ac:dyDescent="0.25">
      <c r="B2" s="622" t="str">
        <f>"CONGRATULATIONS! You have completed "&amp;C48&amp;" project(s)!"</f>
        <v>CONGRATULATIONS! You have completed 0 project(s)!</v>
      </c>
      <c r="C2" s="622"/>
      <c r="D2" s="622"/>
    </row>
    <row r="3" spans="2:4" s="119" customFormat="1" x14ac:dyDescent="0.25">
      <c r="D3" s="467" t="s">
        <v>906</v>
      </c>
    </row>
    <row r="4" spans="2:4" s="119" customFormat="1" ht="15.75" thickBot="1" x14ac:dyDescent="0.3">
      <c r="D4" s="466"/>
    </row>
    <row r="5" spans="2:4" x14ac:dyDescent="0.25">
      <c r="B5" s="191"/>
      <c r="C5" s="191"/>
      <c r="D5" s="191"/>
    </row>
    <row r="6" spans="2:4" ht="82.5" customHeight="1" x14ac:dyDescent="0.25">
      <c r="B6" s="222" t="str">
        <f>"You saved "&amp;TEXT(ROUND(C49,0),"#,###,###")&amp;" lbs of CO2"</f>
        <v>You saved  lbs of CO2</v>
      </c>
      <c r="C6" s="222" t="str">
        <f>"Your carbon savings are equal to the removal of carbon from the atmosphere by "&amp;TEXT(ROUND(C50,0),"#,###,###")&amp;" tree seedlings over the span of 10 years"</f>
        <v>Your carbon savings are equal to the removal of carbon from the atmosphere by  tree seedlings over the span of 10 years</v>
      </c>
      <c r="D6" s="222" t="str">
        <f>"You avoided "&amp;TEXT(ROUND(C54,0),"#,###,###")&amp; " oz of VOC"</f>
        <v>You avoided  oz of VOC</v>
      </c>
    </row>
    <row r="7" spans="2:4" ht="18.75" x14ac:dyDescent="0.3">
      <c r="B7" s="223"/>
      <c r="C7" s="223"/>
      <c r="D7" s="223"/>
    </row>
    <row r="8" spans="2:4" ht="18.75" x14ac:dyDescent="0.3">
      <c r="B8" s="223"/>
      <c r="C8" s="223"/>
      <c r="D8" s="223"/>
    </row>
    <row r="9" spans="2:4" ht="18.75" x14ac:dyDescent="0.3">
      <c r="B9" s="223"/>
      <c r="C9" s="223"/>
      <c r="D9" s="223"/>
    </row>
    <row r="10" spans="2:4" ht="18.75" x14ac:dyDescent="0.3">
      <c r="B10" s="223"/>
      <c r="C10" s="223"/>
      <c r="D10" s="223"/>
    </row>
    <row r="11" spans="2:4" ht="18.75" x14ac:dyDescent="0.3">
      <c r="B11" s="223"/>
      <c r="C11" s="223"/>
      <c r="D11" s="223"/>
    </row>
    <row r="12" spans="2:4" ht="18.75" x14ac:dyDescent="0.3">
      <c r="B12" s="223"/>
      <c r="C12" s="223"/>
      <c r="D12" s="223"/>
    </row>
    <row r="13" spans="2:4" ht="18.75" x14ac:dyDescent="0.3">
      <c r="B13" s="223"/>
      <c r="C13" s="223"/>
      <c r="D13" s="223"/>
    </row>
    <row r="14" spans="2:4" ht="18.75" x14ac:dyDescent="0.3">
      <c r="B14" s="223"/>
      <c r="C14" s="223"/>
      <c r="D14" s="223"/>
    </row>
    <row r="15" spans="2:4" ht="19.5" thickBot="1" x14ac:dyDescent="0.35">
      <c r="B15" s="224"/>
      <c r="C15" s="224"/>
      <c r="D15" s="224"/>
    </row>
    <row r="16" spans="2:4" ht="18.75" x14ac:dyDescent="0.3">
      <c r="B16" s="225"/>
      <c r="C16" s="225"/>
      <c r="D16" s="225"/>
    </row>
    <row r="17" spans="2:4" ht="19.5" thickBot="1" x14ac:dyDescent="0.35">
      <c r="B17" s="225"/>
      <c r="C17" s="225"/>
      <c r="D17" s="225"/>
    </row>
    <row r="18" spans="2:4" ht="18.75" x14ac:dyDescent="0.3">
      <c r="B18" s="226"/>
      <c r="C18" s="226"/>
      <c r="D18" s="226"/>
    </row>
    <row r="19" spans="2:4" ht="39.75" customHeight="1" x14ac:dyDescent="0.25">
      <c r="B19" s="222" t="str">
        <f>"You saved "&amp;TEXT(ROUND(C51,0),"#,###,###")&amp; " gallons of water"</f>
        <v>You saved  gallons of water</v>
      </c>
      <c r="C19" s="222" t="str">
        <f>"Your water savings is equal "&amp;TEXT(ROUND(C52,0),"#,###,###")&amp;" bathtubs of water"</f>
        <v>Your water savings is equal  bathtubs of water</v>
      </c>
      <c r="D19" s="222" t="str">
        <f>"Your rain garden filtered out "&amp;TEXT(ROUND(C53,0),"#,###,###")&amp;" gallons of water"</f>
        <v>Your rain garden filtered out  gallons of water</v>
      </c>
    </row>
    <row r="20" spans="2:4" ht="33.75" customHeight="1" x14ac:dyDescent="0.3">
      <c r="B20" s="223"/>
      <c r="C20" s="223"/>
      <c r="D20" s="223"/>
    </row>
    <row r="21" spans="2:4" ht="18.75" x14ac:dyDescent="0.3">
      <c r="B21" s="223"/>
      <c r="C21" s="223"/>
      <c r="D21" s="223"/>
    </row>
    <row r="22" spans="2:4" ht="18.75" x14ac:dyDescent="0.3">
      <c r="B22" s="223"/>
      <c r="C22" s="223"/>
      <c r="D22" s="223"/>
    </row>
    <row r="23" spans="2:4" ht="18.75" x14ac:dyDescent="0.3">
      <c r="B23" s="223"/>
      <c r="C23" s="223"/>
      <c r="D23" s="223"/>
    </row>
    <row r="24" spans="2:4" ht="18.75" x14ac:dyDescent="0.3">
      <c r="B24" s="223"/>
      <c r="C24" s="223"/>
      <c r="D24" s="223"/>
    </row>
    <row r="25" spans="2:4" ht="18.75" x14ac:dyDescent="0.3">
      <c r="B25" s="223"/>
      <c r="C25" s="223"/>
      <c r="D25" s="223"/>
    </row>
    <row r="26" spans="2:4" ht="18.75" x14ac:dyDescent="0.3">
      <c r="B26" s="223"/>
      <c r="C26" s="223"/>
      <c r="D26" s="223"/>
    </row>
    <row r="27" spans="2:4" ht="18.75" x14ac:dyDescent="0.3">
      <c r="B27" s="223"/>
      <c r="C27" s="223"/>
      <c r="D27" s="223"/>
    </row>
    <row r="28" spans="2:4" ht="19.5" thickBot="1" x14ac:dyDescent="0.35">
      <c r="B28" s="224"/>
      <c r="C28" s="224"/>
      <c r="D28" s="224"/>
    </row>
    <row r="29" spans="2:4" ht="18.75" x14ac:dyDescent="0.3">
      <c r="B29" s="225"/>
      <c r="C29" s="225"/>
      <c r="D29" s="225"/>
    </row>
    <row r="30" spans="2:4" s="119" customFormat="1" ht="19.5" thickBot="1" x14ac:dyDescent="0.35">
      <c r="B30" s="225"/>
      <c r="C30" s="225"/>
      <c r="D30" s="225"/>
    </row>
    <row r="31" spans="2:4" s="119" customFormat="1" ht="18.75" x14ac:dyDescent="0.3">
      <c r="B31" s="225"/>
      <c r="C31" s="226"/>
      <c r="D31" s="225"/>
    </row>
    <row r="32" spans="2:4" ht="38.25" customHeight="1" x14ac:dyDescent="0.3">
      <c r="B32" s="225"/>
      <c r="C32" s="222" t="str">
        <f>"You saved "&amp;TEXT(ROUND(C55,0),"#,###,###")&amp; " dollars"</f>
        <v>You saved  dollars</v>
      </c>
      <c r="D32" s="225"/>
    </row>
    <row r="33" spans="2:3" ht="24.75" customHeight="1" x14ac:dyDescent="0.25">
      <c r="C33" s="189"/>
    </row>
    <row r="34" spans="2:3" x14ac:dyDescent="0.25">
      <c r="C34" s="189"/>
    </row>
    <row r="35" spans="2:3" x14ac:dyDescent="0.25">
      <c r="C35" s="189"/>
    </row>
    <row r="36" spans="2:3" ht="21.75" customHeight="1" x14ac:dyDescent="0.25">
      <c r="C36" s="189"/>
    </row>
    <row r="37" spans="2:3" ht="21.75" customHeight="1" x14ac:dyDescent="0.25">
      <c r="C37" s="189"/>
    </row>
    <row r="38" spans="2:3" x14ac:dyDescent="0.25">
      <c r="C38" s="189"/>
    </row>
    <row r="39" spans="2:3" x14ac:dyDescent="0.25">
      <c r="C39" s="189"/>
    </row>
    <row r="40" spans="2:3" x14ac:dyDescent="0.25">
      <c r="C40" s="189"/>
    </row>
    <row r="41" spans="2:3" ht="15.75" thickBot="1" x14ac:dyDescent="0.3">
      <c r="C41" s="190"/>
    </row>
    <row r="47" spans="2:3" ht="15.75" thickBot="1" x14ac:dyDescent="0.3">
      <c r="B47" s="121" t="s">
        <v>133</v>
      </c>
      <c r="C47" s="121"/>
    </row>
    <row r="48" spans="2:3" ht="15.75" customHeight="1" x14ac:dyDescent="0.25">
      <c r="B48" s="131" t="s">
        <v>715</v>
      </c>
      <c r="C48" s="246">
        <f>IFERROR(Energy!I140+Water!I113+'Healthy School Buildings'!I89+'Waste and Recycling'!I170+Transportation!I91+'School Grounds &amp; Gardens'!I104,0)</f>
        <v>0</v>
      </c>
    </row>
    <row r="49" spans="2:3" x14ac:dyDescent="0.25">
      <c r="B49" s="123" t="s">
        <v>131</v>
      </c>
      <c r="C49" s="23">
        <f>IFERROR(Energy!G155+'Healthy School Buildings'!G103+'Waste and Recycling'!$G$185+Transportation!G106,0)</f>
        <v>0</v>
      </c>
    </row>
    <row r="50" spans="2:3" x14ac:dyDescent="0.25">
      <c r="B50" s="123" t="s">
        <v>24</v>
      </c>
      <c r="C50" s="23">
        <f>IFERROR(ROUND(C49*'Conversion factors'!B48,2),"")</f>
        <v>0</v>
      </c>
    </row>
    <row r="51" spans="2:3" x14ac:dyDescent="0.25">
      <c r="B51" s="186" t="s">
        <v>521</v>
      </c>
      <c r="C51" s="23">
        <f>IFERROR(Water!$G$137+'School Grounds &amp; Gardens'!G119,0)</f>
        <v>0</v>
      </c>
    </row>
    <row r="52" spans="2:3" x14ac:dyDescent="0.25">
      <c r="B52" s="186" t="s">
        <v>547</v>
      </c>
      <c r="C52" s="23">
        <f>IFERROR(Water!G139+'School Grounds &amp; Gardens'!G121,"")</f>
        <v>0</v>
      </c>
    </row>
    <row r="53" spans="2:3" ht="30" x14ac:dyDescent="0.25">
      <c r="B53" s="188" t="s">
        <v>548</v>
      </c>
      <c r="C53" s="155">
        <f>Water!D137</f>
        <v>0</v>
      </c>
    </row>
    <row r="54" spans="2:3" x14ac:dyDescent="0.25">
      <c r="B54" s="123" t="s">
        <v>546</v>
      </c>
      <c r="C54" s="187">
        <f>'Healthy School Buildings'!G102</f>
        <v>0</v>
      </c>
    </row>
    <row r="55" spans="2:3" ht="15.75" thickBot="1" x14ac:dyDescent="0.3">
      <c r="B55" s="124" t="s">
        <v>132</v>
      </c>
      <c r="C55" s="133">
        <f>IFERROR(Energy!G156+Water!$G$138+'Healthy School Buildings'!$G$104+'Waste and Recycling'!$G$186+Transportation!G107+'School Grounds &amp; Gardens'!G120,"")</f>
        <v>0</v>
      </c>
    </row>
  </sheetData>
  <mergeCells count="1">
    <mergeCell ref="B2:D2"/>
  </mergeCells>
  <pageMargins left="0.7" right="0.7" top="0.75" bottom="0.75" header="0.3" footer="0.3"/>
  <pageSetup scale="47" orientation="landscape" horizontalDpi="360" verticalDpi="36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P458"/>
  <sheetViews>
    <sheetView zoomScaleNormal="100" workbookViewId="0">
      <selection activeCell="E34" sqref="E34"/>
    </sheetView>
  </sheetViews>
  <sheetFormatPr defaultColWidth="8.85546875" defaultRowHeight="15" x14ac:dyDescent="0.25"/>
  <cols>
    <col min="1" max="1" width="73.42578125" style="476" customWidth="1"/>
    <col min="2" max="2" width="26.7109375" style="476" customWidth="1"/>
    <col min="3" max="3" width="43.42578125" style="476" customWidth="1"/>
    <col min="4" max="4" width="31.42578125" style="476" customWidth="1"/>
    <col min="5" max="5" width="12" style="476" customWidth="1"/>
    <col min="6" max="6" width="14.42578125" style="476" customWidth="1"/>
    <col min="7" max="7" width="12" style="476" customWidth="1"/>
    <col min="8" max="8" width="13.85546875" style="476" customWidth="1"/>
    <col min="9" max="9" width="12" style="476" customWidth="1"/>
    <col min="10" max="10" width="16.140625" style="476" customWidth="1"/>
    <col min="11" max="11" width="13.28515625" style="476" bestFit="1" customWidth="1"/>
    <col min="12" max="12" width="11.28515625" style="476" customWidth="1"/>
    <col min="13" max="13" width="12.42578125" style="476" customWidth="1"/>
    <col min="14" max="14" width="12.140625" style="476" customWidth="1"/>
    <col min="15" max="15" width="8.85546875" style="476"/>
    <col min="16" max="16" width="13.28515625" style="476" bestFit="1" customWidth="1"/>
    <col min="17" max="16384" width="8.85546875" style="476"/>
  </cols>
  <sheetData>
    <row r="1" spans="1:3" ht="51" customHeight="1" x14ac:dyDescent="0.25">
      <c r="A1" s="463" t="s">
        <v>776</v>
      </c>
      <c r="B1" s="101"/>
      <c r="C1" s="102"/>
    </row>
    <row r="2" spans="1:3" x14ac:dyDescent="0.25">
      <c r="A2" s="424" t="s">
        <v>142</v>
      </c>
      <c r="B2" s="424"/>
      <c r="C2" s="424"/>
    </row>
    <row r="3" spans="1:3" x14ac:dyDescent="0.25">
      <c r="A3" s="425" t="s">
        <v>10</v>
      </c>
      <c r="B3" s="426">
        <v>1000</v>
      </c>
      <c r="C3" s="425" t="s">
        <v>11</v>
      </c>
    </row>
    <row r="4" spans="1:3" x14ac:dyDescent="0.25">
      <c r="A4" s="425" t="s">
        <v>18</v>
      </c>
      <c r="B4" s="427">
        <v>1E-3</v>
      </c>
      <c r="C4" s="425" t="s">
        <v>19</v>
      </c>
    </row>
    <row r="5" spans="1:3" x14ac:dyDescent="0.25">
      <c r="A5" s="424" t="s">
        <v>140</v>
      </c>
      <c r="B5" s="428"/>
      <c r="C5" s="429"/>
    </row>
    <row r="6" spans="1:3" x14ac:dyDescent="0.25">
      <c r="A6" s="430" t="s">
        <v>101</v>
      </c>
      <c r="B6" s="425">
        <v>0.01</v>
      </c>
      <c r="C6" s="425" t="s">
        <v>102</v>
      </c>
    </row>
    <row r="7" spans="1:3" x14ac:dyDescent="0.25">
      <c r="A7" s="424" t="s">
        <v>141</v>
      </c>
      <c r="B7" s="424"/>
      <c r="C7" s="424"/>
    </row>
    <row r="8" spans="1:3" x14ac:dyDescent="0.25">
      <c r="A8" s="425" t="s">
        <v>12</v>
      </c>
      <c r="B8" s="431">
        <v>4.5359236999999999E-4</v>
      </c>
      <c r="C8" s="425" t="s">
        <v>13</v>
      </c>
    </row>
    <row r="9" spans="1:3" x14ac:dyDescent="0.25">
      <c r="A9" s="430" t="s">
        <v>14</v>
      </c>
      <c r="B9" s="425">
        <v>2204.62</v>
      </c>
      <c r="C9" s="425" t="s">
        <v>108</v>
      </c>
    </row>
    <row r="10" spans="1:3" x14ac:dyDescent="0.25">
      <c r="A10" s="425" t="s">
        <v>107</v>
      </c>
      <c r="B10" s="427">
        <v>2.2046199999999998</v>
      </c>
      <c r="C10" s="425" t="s">
        <v>108</v>
      </c>
    </row>
    <row r="11" spans="1:3" x14ac:dyDescent="0.25">
      <c r="A11" s="425" t="s">
        <v>12</v>
      </c>
      <c r="B11" s="426">
        <v>16</v>
      </c>
      <c r="C11" s="425" t="s">
        <v>167</v>
      </c>
    </row>
    <row r="12" spans="1:3" x14ac:dyDescent="0.25">
      <c r="A12" s="425" t="s">
        <v>170</v>
      </c>
      <c r="B12" s="427">
        <v>3.527396E-2</v>
      </c>
      <c r="C12" s="425" t="s">
        <v>167</v>
      </c>
    </row>
    <row r="13" spans="1:3" x14ac:dyDescent="0.25">
      <c r="A13" s="425" t="s">
        <v>170</v>
      </c>
      <c r="B13" s="427">
        <v>2.2046230000000002E-3</v>
      </c>
      <c r="C13" s="425" t="s">
        <v>108</v>
      </c>
    </row>
    <row r="14" spans="1:3" x14ac:dyDescent="0.25">
      <c r="A14" s="425" t="s">
        <v>206</v>
      </c>
      <c r="B14" s="426">
        <v>2000</v>
      </c>
      <c r="C14" s="425" t="s">
        <v>108</v>
      </c>
    </row>
    <row r="15" spans="1:3" x14ac:dyDescent="0.25">
      <c r="A15" s="432"/>
      <c r="B15" s="477"/>
      <c r="C15" s="477"/>
    </row>
    <row r="16" spans="1:3" x14ac:dyDescent="0.25">
      <c r="A16" s="432"/>
      <c r="B16" s="477"/>
      <c r="C16" s="477"/>
    </row>
    <row r="17" spans="1:16" x14ac:dyDescent="0.25">
      <c r="A17" s="424" t="s">
        <v>245</v>
      </c>
      <c r="B17" s="424"/>
      <c r="C17" s="424"/>
    </row>
    <row r="18" spans="1:16" x14ac:dyDescent="0.25">
      <c r="A18" s="485" t="s">
        <v>229</v>
      </c>
      <c r="B18" s="485">
        <v>5.7999999999999996E-3</v>
      </c>
      <c r="C18" s="485" t="s">
        <v>230</v>
      </c>
    </row>
    <row r="19" spans="1:16" x14ac:dyDescent="0.25">
      <c r="A19" s="485" t="s">
        <v>285</v>
      </c>
      <c r="B19" s="485">
        <v>748.05194800000004</v>
      </c>
      <c r="C19" s="485" t="s">
        <v>284</v>
      </c>
    </row>
    <row r="20" spans="1:16" x14ac:dyDescent="0.25">
      <c r="A20" s="425" t="s">
        <v>109</v>
      </c>
      <c r="B20" s="485"/>
      <c r="C20" s="485"/>
    </row>
    <row r="21" spans="1:16" x14ac:dyDescent="0.25">
      <c r="A21" s="432"/>
    </row>
    <row r="22" spans="1:16" x14ac:dyDescent="0.25">
      <c r="A22" s="69" t="s">
        <v>238</v>
      </c>
      <c r="B22" s="69"/>
      <c r="C22" s="69"/>
      <c r="D22" s="69"/>
      <c r="E22" s="69"/>
      <c r="F22" s="69"/>
      <c r="G22" s="69"/>
      <c r="H22" s="69"/>
    </row>
    <row r="24" spans="1:16" ht="26.25" x14ac:dyDescent="0.25">
      <c r="A24" s="73" t="s">
        <v>241</v>
      </c>
      <c r="B24" s="434" t="s">
        <v>103</v>
      </c>
      <c r="C24" s="435" t="s">
        <v>104</v>
      </c>
      <c r="D24" s="436" t="s">
        <v>105</v>
      </c>
      <c r="E24" s="434" t="s">
        <v>814</v>
      </c>
      <c r="F24" s="435" t="s">
        <v>815</v>
      </c>
      <c r="G24" s="436" t="s">
        <v>816</v>
      </c>
      <c r="H24" s="437" t="s">
        <v>817</v>
      </c>
      <c r="P24" s="478"/>
    </row>
    <row r="25" spans="1:16" x14ac:dyDescent="0.25">
      <c r="A25" s="72" t="s">
        <v>15</v>
      </c>
      <c r="B25" s="438"/>
      <c r="C25" s="439"/>
      <c r="D25" s="440"/>
      <c r="E25" s="438">
        <v>1</v>
      </c>
      <c r="F25" s="439">
        <v>28</v>
      </c>
      <c r="G25" s="440">
        <v>265</v>
      </c>
      <c r="H25" s="441"/>
    </row>
    <row r="26" spans="1:16" x14ac:dyDescent="0.25">
      <c r="A26" s="521" t="s">
        <v>106</v>
      </c>
      <c r="B26" s="521">
        <v>5.4440000000000002E-2</v>
      </c>
      <c r="C26" s="522">
        <v>1.0300000000000001E-6</v>
      </c>
      <c r="D26" s="523">
        <v>1.0000000000000001E-7</v>
      </c>
      <c r="E26" s="485">
        <f>B26*$B$10</f>
        <v>0.12001951279999999</v>
      </c>
      <c r="F26" s="524">
        <f>C26*$B$10*F25</f>
        <v>6.3581240800000003E-5</v>
      </c>
      <c r="G26" s="523">
        <f>G25*D26*$B$10</f>
        <v>5.842243E-5</v>
      </c>
      <c r="H26" s="485">
        <f>SUM(E26:G26)</f>
        <v>0.12014151647079999</v>
      </c>
    </row>
    <row r="27" spans="1:16" x14ac:dyDescent="0.25">
      <c r="L27" s="479"/>
    </row>
    <row r="28" spans="1:16" ht="26.25" x14ac:dyDescent="0.25">
      <c r="A28" s="71" t="s">
        <v>30</v>
      </c>
      <c r="B28" s="442"/>
      <c r="C28" s="442"/>
      <c r="D28" s="434" t="s">
        <v>818</v>
      </c>
      <c r="E28" s="435" t="s">
        <v>819</v>
      </c>
      <c r="F28" s="436" t="s">
        <v>820</v>
      </c>
      <c r="G28" s="434" t="s">
        <v>821</v>
      </c>
      <c r="H28" s="435" t="s">
        <v>822</v>
      </c>
      <c r="I28" s="436" t="s">
        <v>823</v>
      </c>
      <c r="J28" s="436" t="s">
        <v>824</v>
      </c>
    </row>
    <row r="29" spans="1:16" x14ac:dyDescent="0.25">
      <c r="A29" s="72" t="s">
        <v>15</v>
      </c>
      <c r="B29" s="443"/>
      <c r="C29" s="443"/>
      <c r="D29" s="444"/>
      <c r="E29" s="445"/>
      <c r="F29" s="446"/>
      <c r="G29" s="444">
        <v>1</v>
      </c>
      <c r="H29" s="445">
        <v>28</v>
      </c>
      <c r="I29" s="446">
        <v>265</v>
      </c>
      <c r="J29" s="446"/>
    </row>
    <row r="30" spans="1:16" x14ac:dyDescent="0.25">
      <c r="A30" s="476" t="s">
        <v>8</v>
      </c>
      <c r="B30" s="476" t="s">
        <v>9</v>
      </c>
      <c r="D30" s="476">
        <v>651.19899999999996</v>
      </c>
      <c r="E30" s="476">
        <v>6.0999999999999999E-2</v>
      </c>
      <c r="F30" s="476">
        <v>8.9999999999999993E-3</v>
      </c>
      <c r="G30" s="518">
        <f>(D30/$B$3)</f>
        <v>0.65119899999999997</v>
      </c>
      <c r="H30" s="518">
        <f>(E30/$B$3)*H29</f>
        <v>1.7079999999999999E-3</v>
      </c>
      <c r="I30" s="518">
        <f>(F30/$B$3)*I29</f>
        <v>2.3849999999999995E-3</v>
      </c>
      <c r="J30" s="518">
        <f>SUM(G30:I30)</f>
        <v>0.65529199999999999</v>
      </c>
    </row>
    <row r="32" spans="1:16" x14ac:dyDescent="0.25">
      <c r="A32" s="476" t="s">
        <v>31</v>
      </c>
    </row>
    <row r="35" spans="1:3" x14ac:dyDescent="0.25">
      <c r="A35" s="485" t="s">
        <v>16</v>
      </c>
      <c r="B35" s="485">
        <v>7.9799999999999996E-2</v>
      </c>
      <c r="C35" s="482" t="s">
        <v>150</v>
      </c>
    </row>
    <row r="36" spans="1:3" x14ac:dyDescent="0.25">
      <c r="A36" s="485" t="s">
        <v>21</v>
      </c>
      <c r="B36" s="485">
        <f>B35*B4</f>
        <v>7.9800000000000002E-5</v>
      </c>
    </row>
    <row r="38" spans="1:3" x14ac:dyDescent="0.25">
      <c r="A38" s="485" t="s">
        <v>99</v>
      </c>
      <c r="B38" s="485">
        <v>0.98299999999999998</v>
      </c>
      <c r="C38" s="519" t="s">
        <v>98</v>
      </c>
    </row>
    <row r="39" spans="1:3" x14ac:dyDescent="0.25">
      <c r="A39" s="485" t="s">
        <v>100</v>
      </c>
      <c r="B39" s="485">
        <f>B38*B6</f>
        <v>9.8300000000000002E-3</v>
      </c>
    </row>
    <row r="41" spans="1:3" x14ac:dyDescent="0.25">
      <c r="A41" s="485" t="s">
        <v>32</v>
      </c>
      <c r="B41" s="485">
        <v>180</v>
      </c>
      <c r="C41" s="482" t="s">
        <v>17</v>
      </c>
    </row>
    <row r="42" spans="1:3" x14ac:dyDescent="0.25">
      <c r="A42" s="485" t="s">
        <v>176</v>
      </c>
      <c r="B42" s="485">
        <f>B41/5</f>
        <v>36</v>
      </c>
      <c r="C42" s="482"/>
    </row>
    <row r="43" spans="1:3" x14ac:dyDescent="0.25">
      <c r="A43" s="520" t="s">
        <v>90</v>
      </c>
      <c r="B43" s="485">
        <v>1000</v>
      </c>
      <c r="C43" s="482" t="s">
        <v>17</v>
      </c>
    </row>
    <row r="44" spans="1:3" x14ac:dyDescent="0.25">
      <c r="A44" s="485" t="s">
        <v>91</v>
      </c>
      <c r="B44" s="480">
        <f>B43/B41</f>
        <v>5.5555555555555554</v>
      </c>
    </row>
    <row r="45" spans="1:3" x14ac:dyDescent="0.25">
      <c r="A45" s="485" t="s">
        <v>153</v>
      </c>
      <c r="B45" s="485">
        <v>10</v>
      </c>
    </row>
    <row r="47" spans="1:3" x14ac:dyDescent="0.25">
      <c r="A47" s="71" t="s">
        <v>33</v>
      </c>
      <c r="B47" s="71"/>
      <c r="C47" s="71"/>
    </row>
    <row r="48" spans="1:3" x14ac:dyDescent="0.25">
      <c r="A48" s="433" t="s">
        <v>22</v>
      </c>
      <c r="B48" s="433">
        <v>8.0000000000000004E-4</v>
      </c>
      <c r="C48" s="433" t="s">
        <v>23</v>
      </c>
    </row>
    <row r="51" spans="1:7" x14ac:dyDescent="0.25">
      <c r="A51" s="71" t="s">
        <v>37</v>
      </c>
      <c r="B51" s="71" t="s">
        <v>34</v>
      </c>
      <c r="C51" s="71" t="s">
        <v>38</v>
      </c>
    </row>
    <row r="52" spans="1:7" x14ac:dyDescent="0.25">
      <c r="A52" s="485" t="s">
        <v>28</v>
      </c>
      <c r="B52" s="485"/>
    </row>
    <row r="53" spans="1:7" x14ac:dyDescent="0.25">
      <c r="A53" s="485" t="s">
        <v>5</v>
      </c>
      <c r="B53" s="485">
        <f>60*G55</f>
        <v>202.5</v>
      </c>
    </row>
    <row r="54" spans="1:7" x14ac:dyDescent="0.25">
      <c r="A54" s="485" t="s">
        <v>825</v>
      </c>
      <c r="B54" s="512">
        <f>B53*72/100</f>
        <v>145.80000000000001</v>
      </c>
    </row>
    <row r="55" spans="1:7" x14ac:dyDescent="0.25">
      <c r="A55" s="485" t="s">
        <v>3</v>
      </c>
      <c r="B55" s="485">
        <v>108</v>
      </c>
      <c r="C55" s="476">
        <v>32</v>
      </c>
      <c r="F55" s="476">
        <v>32</v>
      </c>
      <c r="G55" s="476">
        <f>B55/F55</f>
        <v>3.375</v>
      </c>
    </row>
    <row r="56" spans="1:7" x14ac:dyDescent="0.25">
      <c r="A56" s="485" t="s">
        <v>4</v>
      </c>
      <c r="B56" s="485">
        <v>45</v>
      </c>
      <c r="F56" s="513">
        <f>B56/G55</f>
        <v>13.333333333333334</v>
      </c>
    </row>
    <row r="57" spans="1:7" x14ac:dyDescent="0.25">
      <c r="A57" s="485" t="s">
        <v>6</v>
      </c>
      <c r="B57" s="512">
        <v>108</v>
      </c>
    </row>
    <row r="59" spans="1:7" x14ac:dyDescent="0.25">
      <c r="A59" s="482" t="s">
        <v>7</v>
      </c>
    </row>
    <row r="60" spans="1:7" x14ac:dyDescent="0.25">
      <c r="A60" s="482" t="s">
        <v>35</v>
      </c>
    </row>
    <row r="62" spans="1:7" x14ac:dyDescent="0.25">
      <c r="A62" s="485" t="s">
        <v>119</v>
      </c>
      <c r="B62" s="485">
        <v>5</v>
      </c>
      <c r="C62" s="482" t="s">
        <v>116</v>
      </c>
    </row>
    <row r="63" spans="1:7" x14ac:dyDescent="0.25">
      <c r="A63" s="485" t="s">
        <v>118</v>
      </c>
      <c r="B63" s="485">
        <v>171</v>
      </c>
      <c r="C63" s="482" t="s">
        <v>116</v>
      </c>
    </row>
    <row r="64" spans="1:7" ht="30" x14ac:dyDescent="0.25">
      <c r="A64" s="509" t="s">
        <v>117</v>
      </c>
      <c r="B64" s="485">
        <f>B63/3</f>
        <v>57</v>
      </c>
      <c r="C64" s="482" t="s">
        <v>116</v>
      </c>
    </row>
    <row r="67" spans="1:10" hidden="1" x14ac:dyDescent="0.25"/>
    <row r="68" spans="1:10" ht="36.75" hidden="1" x14ac:dyDescent="0.25">
      <c r="A68" s="514" t="s">
        <v>39</v>
      </c>
      <c r="B68" s="515" t="s">
        <v>40</v>
      </c>
      <c r="C68" s="515" t="s">
        <v>41</v>
      </c>
      <c r="D68" s="515" t="s">
        <v>42</v>
      </c>
      <c r="E68" s="515" t="s">
        <v>43</v>
      </c>
      <c r="F68" s="515" t="s">
        <v>44</v>
      </c>
      <c r="G68" s="515" t="s">
        <v>45</v>
      </c>
      <c r="H68" s="515" t="s">
        <v>46</v>
      </c>
      <c r="I68" s="515" t="s">
        <v>47</v>
      </c>
      <c r="J68" s="515" t="s">
        <v>48</v>
      </c>
    </row>
    <row r="69" spans="1:10" hidden="1" x14ac:dyDescent="0.25">
      <c r="A69" s="741" t="s">
        <v>49</v>
      </c>
      <c r="B69" s="516" t="s">
        <v>50</v>
      </c>
      <c r="C69" s="516" t="s">
        <v>50</v>
      </c>
      <c r="D69" s="516" t="s">
        <v>51</v>
      </c>
      <c r="E69" s="516" t="s">
        <v>51</v>
      </c>
      <c r="F69" s="516" t="s">
        <v>52</v>
      </c>
      <c r="G69" s="516" t="s">
        <v>52</v>
      </c>
      <c r="H69" s="517" t="s">
        <v>53</v>
      </c>
      <c r="I69" s="517" t="s">
        <v>53</v>
      </c>
      <c r="J69" s="516" t="s">
        <v>54</v>
      </c>
    </row>
    <row r="70" spans="1:10" hidden="1" x14ac:dyDescent="0.25">
      <c r="A70" s="741"/>
      <c r="B70" s="516" t="s">
        <v>55</v>
      </c>
      <c r="C70" s="516" t="s">
        <v>55</v>
      </c>
      <c r="D70" s="516" t="s">
        <v>56</v>
      </c>
      <c r="E70" s="516" t="s">
        <v>56</v>
      </c>
      <c r="F70" s="517" t="s">
        <v>53</v>
      </c>
      <c r="G70" s="517" t="s">
        <v>53</v>
      </c>
      <c r="H70" s="516" t="s">
        <v>57</v>
      </c>
      <c r="I70" s="516" t="s">
        <v>57</v>
      </c>
      <c r="J70" s="516" t="s">
        <v>58</v>
      </c>
    </row>
    <row r="71" spans="1:10" hidden="1" x14ac:dyDescent="0.25">
      <c r="A71" s="741"/>
      <c r="B71" s="516" t="s">
        <v>51</v>
      </c>
      <c r="C71" s="516" t="s">
        <v>51</v>
      </c>
      <c r="D71" s="516" t="s">
        <v>59</v>
      </c>
      <c r="E71" s="516" t="s">
        <v>59</v>
      </c>
      <c r="F71" s="516" t="s">
        <v>60</v>
      </c>
      <c r="G71" s="516" t="s">
        <v>60</v>
      </c>
      <c r="H71" s="516" t="s">
        <v>61</v>
      </c>
      <c r="I71" s="516" t="s">
        <v>61</v>
      </c>
      <c r="J71" s="516"/>
    </row>
    <row r="72" spans="1:10" hidden="1" x14ac:dyDescent="0.25">
      <c r="A72" s="741"/>
      <c r="B72" s="516" t="s">
        <v>56</v>
      </c>
      <c r="C72" s="516" t="s">
        <v>56</v>
      </c>
      <c r="D72" s="516" t="s">
        <v>62</v>
      </c>
      <c r="E72" s="516" t="s">
        <v>62</v>
      </c>
      <c r="F72" s="516" t="s">
        <v>63</v>
      </c>
      <c r="G72" s="516" t="s">
        <v>63</v>
      </c>
      <c r="H72" s="516" t="s">
        <v>64</v>
      </c>
      <c r="I72" s="516" t="s">
        <v>64</v>
      </c>
      <c r="J72" s="516"/>
    </row>
    <row r="73" spans="1:10" hidden="1" x14ac:dyDescent="0.25">
      <c r="A73" s="741"/>
      <c r="B73" s="516" t="s">
        <v>65</v>
      </c>
      <c r="C73" s="516" t="s">
        <v>65</v>
      </c>
      <c r="D73" s="516" t="s">
        <v>66</v>
      </c>
      <c r="E73" s="516" t="s">
        <v>66</v>
      </c>
      <c r="F73" s="516" t="s">
        <v>67</v>
      </c>
      <c r="G73" s="516" t="s">
        <v>67</v>
      </c>
      <c r="H73" s="516" t="s">
        <v>68</v>
      </c>
      <c r="I73" s="516" t="s">
        <v>68</v>
      </c>
      <c r="J73" s="516"/>
    </row>
    <row r="74" spans="1:10" hidden="1" x14ac:dyDescent="0.25">
      <c r="A74" s="741"/>
      <c r="B74" s="516" t="s">
        <v>69</v>
      </c>
      <c r="C74" s="516" t="s">
        <v>69</v>
      </c>
      <c r="D74" s="516" t="s">
        <v>52</v>
      </c>
      <c r="E74" s="516" t="s">
        <v>52</v>
      </c>
      <c r="F74" s="516" t="s">
        <v>70</v>
      </c>
      <c r="G74" s="516" t="s">
        <v>70</v>
      </c>
      <c r="H74" s="516" t="s">
        <v>71</v>
      </c>
      <c r="I74" s="516" t="s">
        <v>71</v>
      </c>
      <c r="J74" s="516"/>
    </row>
    <row r="75" spans="1:10" hidden="1" x14ac:dyDescent="0.25">
      <c r="A75" s="741"/>
      <c r="B75" s="516" t="s">
        <v>72</v>
      </c>
      <c r="C75" s="516" t="s">
        <v>72</v>
      </c>
      <c r="D75" s="516" t="s">
        <v>73</v>
      </c>
      <c r="E75" s="516" t="s">
        <v>73</v>
      </c>
      <c r="F75" s="516" t="s">
        <v>74</v>
      </c>
      <c r="G75" s="516" t="s">
        <v>74</v>
      </c>
      <c r="H75" s="516" t="s">
        <v>75</v>
      </c>
      <c r="I75" s="516" t="s">
        <v>75</v>
      </c>
      <c r="J75" s="516"/>
    </row>
    <row r="76" spans="1:10" hidden="1" x14ac:dyDescent="0.25">
      <c r="A76" s="741"/>
      <c r="B76" s="516"/>
      <c r="C76" s="516"/>
      <c r="D76" s="517" t="s">
        <v>53</v>
      </c>
      <c r="E76" s="517" t="s">
        <v>53</v>
      </c>
      <c r="F76" s="516"/>
      <c r="G76" s="516"/>
      <c r="H76" s="516" t="s">
        <v>76</v>
      </c>
      <c r="I76" s="516" t="s">
        <v>76</v>
      </c>
      <c r="J76" s="516"/>
    </row>
    <row r="77" spans="1:10" hidden="1" x14ac:dyDescent="0.25">
      <c r="A77" s="741"/>
      <c r="B77" s="517"/>
      <c r="C77" s="517"/>
      <c r="D77" s="517" t="s">
        <v>69</v>
      </c>
      <c r="E77" s="517" t="s">
        <v>69</v>
      </c>
      <c r="F77" s="516"/>
      <c r="G77" s="516"/>
      <c r="H77" s="516"/>
      <c r="I77" s="516"/>
      <c r="J77" s="516"/>
    </row>
    <row r="78" spans="1:10" hidden="1" x14ac:dyDescent="0.25">
      <c r="A78" s="741"/>
      <c r="B78" s="517"/>
      <c r="C78" s="517"/>
      <c r="D78" s="516" t="s">
        <v>77</v>
      </c>
      <c r="E78" s="516" t="s">
        <v>77</v>
      </c>
      <c r="F78" s="516"/>
      <c r="G78" s="516"/>
      <c r="H78" s="516"/>
      <c r="I78" s="516"/>
      <c r="J78" s="516"/>
    </row>
    <row r="79" spans="1:10" hidden="1" x14ac:dyDescent="0.25">
      <c r="A79" s="741"/>
      <c r="B79" s="517"/>
      <c r="C79" s="517"/>
      <c r="D79" s="516" t="s">
        <v>78</v>
      </c>
      <c r="E79" s="516" t="s">
        <v>78</v>
      </c>
      <c r="F79" s="516"/>
      <c r="G79" s="516"/>
      <c r="H79" s="516"/>
      <c r="I79" s="516"/>
      <c r="J79" s="516"/>
    </row>
    <row r="81" spans="1:6" x14ac:dyDescent="0.25">
      <c r="A81" s="71" t="s">
        <v>37</v>
      </c>
    </row>
    <row r="82" spans="1:6" x14ac:dyDescent="0.25">
      <c r="A82" s="485" t="s">
        <v>28</v>
      </c>
    </row>
    <row r="83" spans="1:6" x14ac:dyDescent="0.25">
      <c r="A83" s="485" t="s">
        <v>5</v>
      </c>
    </row>
    <row r="84" spans="1:6" x14ac:dyDescent="0.25">
      <c r="A84" s="485" t="s">
        <v>825</v>
      </c>
    </row>
    <row r="85" spans="1:6" x14ac:dyDescent="0.25">
      <c r="A85" s="485" t="s">
        <v>3</v>
      </c>
    </row>
    <row r="86" spans="1:6" x14ac:dyDescent="0.25">
      <c r="A86" s="485" t="s">
        <v>6</v>
      </c>
    </row>
    <row r="88" spans="1:6" x14ac:dyDescent="0.25">
      <c r="A88" s="70" t="s">
        <v>239</v>
      </c>
      <c r="B88" s="70" t="s">
        <v>79</v>
      </c>
      <c r="C88" s="70" t="s">
        <v>240</v>
      </c>
      <c r="D88" s="70" t="s">
        <v>80</v>
      </c>
    </row>
    <row r="89" spans="1:6" x14ac:dyDescent="0.25">
      <c r="A89" s="511" t="s">
        <v>84</v>
      </c>
      <c r="B89" s="485">
        <v>40</v>
      </c>
      <c r="C89" s="485" t="str">
        <f>A89&amp;B89</f>
        <v>Incandescent_Lighting40</v>
      </c>
      <c r="D89" s="485">
        <v>5</v>
      </c>
      <c r="F89" s="476" t="s">
        <v>82</v>
      </c>
    </row>
    <row r="90" spans="1:6" x14ac:dyDescent="0.25">
      <c r="A90" s="511" t="s">
        <v>84</v>
      </c>
      <c r="B90" s="485">
        <v>60</v>
      </c>
      <c r="C90" s="485" t="str">
        <f t="shared" ref="C90:C103" si="0">A90&amp;B90</f>
        <v>Incandescent_Lighting60</v>
      </c>
      <c r="D90" s="485">
        <v>9</v>
      </c>
      <c r="F90" s="476" t="s">
        <v>826</v>
      </c>
    </row>
    <row r="91" spans="1:6" x14ac:dyDescent="0.25">
      <c r="A91" s="511" t="s">
        <v>84</v>
      </c>
      <c r="B91" s="485">
        <v>75</v>
      </c>
      <c r="C91" s="485" t="str">
        <f t="shared" si="0"/>
        <v>Incandescent_Lighting75</v>
      </c>
      <c r="D91" s="485">
        <v>11</v>
      </c>
    </row>
    <row r="92" spans="1:6" x14ac:dyDescent="0.25">
      <c r="A92" s="511" t="s">
        <v>84</v>
      </c>
      <c r="B92" s="485">
        <v>100</v>
      </c>
      <c r="C92" s="485" t="str">
        <f t="shared" si="0"/>
        <v>Incandescent_Lighting100</v>
      </c>
      <c r="D92" s="485">
        <v>16</v>
      </c>
    </row>
    <row r="93" spans="1:6" x14ac:dyDescent="0.25">
      <c r="A93" s="511" t="s">
        <v>85</v>
      </c>
      <c r="B93" s="485">
        <v>29</v>
      </c>
      <c r="C93" s="485" t="str">
        <f t="shared" si="0"/>
        <v>Halogen_Lighting29</v>
      </c>
      <c r="D93" s="485">
        <v>9</v>
      </c>
    </row>
    <row r="94" spans="1:6" x14ac:dyDescent="0.25">
      <c r="A94" s="511" t="s">
        <v>85</v>
      </c>
      <c r="B94" s="485">
        <v>43</v>
      </c>
      <c r="C94" s="485" t="str">
        <f t="shared" si="0"/>
        <v>Halogen_Lighting43</v>
      </c>
      <c r="D94" s="485">
        <v>13</v>
      </c>
    </row>
    <row r="95" spans="1:6" x14ac:dyDescent="0.25">
      <c r="A95" s="511" t="s">
        <v>85</v>
      </c>
      <c r="B95" s="485">
        <v>53</v>
      </c>
      <c r="C95" s="485" t="str">
        <f t="shared" si="0"/>
        <v>Halogen_Lighting53</v>
      </c>
      <c r="D95" s="485">
        <v>19</v>
      </c>
    </row>
    <row r="96" spans="1:6" x14ac:dyDescent="0.25">
      <c r="A96" s="511" t="s">
        <v>85</v>
      </c>
      <c r="B96" s="485">
        <v>72</v>
      </c>
      <c r="C96" s="485" t="str">
        <f t="shared" si="0"/>
        <v>Halogen_Lighting72</v>
      </c>
      <c r="D96" s="485">
        <v>23</v>
      </c>
    </row>
    <row r="97" spans="1:6" x14ac:dyDescent="0.25">
      <c r="A97" s="511" t="s">
        <v>86</v>
      </c>
      <c r="B97" s="485">
        <v>13</v>
      </c>
      <c r="C97" s="485" t="str">
        <f t="shared" si="0"/>
        <v>CFL_Lighting13</v>
      </c>
      <c r="D97" s="485">
        <v>6</v>
      </c>
      <c r="F97" s="482" t="s">
        <v>81</v>
      </c>
    </row>
    <row r="98" spans="1:6" x14ac:dyDescent="0.25">
      <c r="A98" s="511" t="s">
        <v>86</v>
      </c>
      <c r="B98" s="485">
        <v>15</v>
      </c>
      <c r="C98" s="485" t="str">
        <f t="shared" si="0"/>
        <v>CFL_Lighting15</v>
      </c>
      <c r="D98" s="485">
        <v>8</v>
      </c>
    </row>
    <row r="99" spans="1:6" x14ac:dyDescent="0.25">
      <c r="A99" s="511" t="s">
        <v>86</v>
      </c>
      <c r="B99" s="485">
        <v>32</v>
      </c>
      <c r="C99" s="485" t="str">
        <f>A99&amp;B99</f>
        <v>CFL_Lighting32</v>
      </c>
      <c r="D99" s="485">
        <v>26</v>
      </c>
    </row>
    <row r="100" spans="1:6" x14ac:dyDescent="0.25">
      <c r="A100" s="511" t="s">
        <v>87</v>
      </c>
      <c r="B100" s="485">
        <v>40</v>
      </c>
      <c r="C100" s="485" t="str">
        <f t="shared" si="0"/>
        <v>Not_sure40</v>
      </c>
      <c r="D100" s="485">
        <v>5</v>
      </c>
    </row>
    <row r="101" spans="1:6" x14ac:dyDescent="0.25">
      <c r="A101" s="485" t="s">
        <v>87</v>
      </c>
      <c r="B101" s="485">
        <v>60</v>
      </c>
      <c r="C101" s="485" t="str">
        <f t="shared" si="0"/>
        <v>Not_sure60</v>
      </c>
      <c r="D101" s="485">
        <v>9</v>
      </c>
    </row>
    <row r="102" spans="1:6" x14ac:dyDescent="0.25">
      <c r="A102" s="485" t="s">
        <v>87</v>
      </c>
      <c r="B102" s="485">
        <v>75</v>
      </c>
      <c r="C102" s="485" t="str">
        <f t="shared" si="0"/>
        <v>Not_sure75</v>
      </c>
      <c r="D102" s="485">
        <v>11</v>
      </c>
    </row>
    <row r="103" spans="1:6" x14ac:dyDescent="0.25">
      <c r="A103" s="485" t="s">
        <v>87</v>
      </c>
      <c r="B103" s="485">
        <v>100</v>
      </c>
      <c r="C103" s="485" t="str">
        <f t="shared" si="0"/>
        <v>Not_sure100</v>
      </c>
      <c r="D103" s="485">
        <v>16</v>
      </c>
    </row>
    <row r="107" spans="1:6" x14ac:dyDescent="0.25">
      <c r="A107" s="70" t="s">
        <v>83</v>
      </c>
      <c r="B107" s="70" t="s">
        <v>84</v>
      </c>
      <c r="C107" s="70" t="s">
        <v>85</v>
      </c>
      <c r="D107" s="70" t="s">
        <v>86</v>
      </c>
      <c r="E107" s="70" t="s">
        <v>87</v>
      </c>
    </row>
    <row r="108" spans="1:6" x14ac:dyDescent="0.25">
      <c r="A108" s="485"/>
      <c r="B108" s="485">
        <v>40</v>
      </c>
      <c r="C108" s="485">
        <v>29</v>
      </c>
      <c r="D108" s="485">
        <v>13</v>
      </c>
      <c r="E108" s="485">
        <v>40</v>
      </c>
    </row>
    <row r="109" spans="1:6" x14ac:dyDescent="0.25">
      <c r="A109" s="485"/>
      <c r="B109" s="485">
        <v>60</v>
      </c>
      <c r="C109" s="485">
        <v>43</v>
      </c>
      <c r="D109" s="485">
        <v>15</v>
      </c>
      <c r="E109" s="485">
        <v>60</v>
      </c>
    </row>
    <row r="110" spans="1:6" x14ac:dyDescent="0.25">
      <c r="A110" s="485"/>
      <c r="B110" s="485">
        <v>75</v>
      </c>
      <c r="C110" s="485">
        <v>53</v>
      </c>
      <c r="D110" s="485">
        <v>32</v>
      </c>
      <c r="E110" s="485">
        <v>75</v>
      </c>
    </row>
    <row r="111" spans="1:6" x14ac:dyDescent="0.25">
      <c r="A111" s="485"/>
      <c r="B111" s="485">
        <v>100</v>
      </c>
      <c r="C111" s="485">
        <v>72</v>
      </c>
      <c r="D111" s="485"/>
      <c r="E111" s="485">
        <v>100</v>
      </c>
    </row>
    <row r="113" spans="1:7" ht="30" x14ac:dyDescent="0.25">
      <c r="A113" s="509" t="s">
        <v>729</v>
      </c>
      <c r="B113" s="510">
        <v>29.8</v>
      </c>
      <c r="C113" s="499" t="s">
        <v>728</v>
      </c>
    </row>
    <row r="116" spans="1:7" x14ac:dyDescent="0.25">
      <c r="A116" s="69" t="s">
        <v>237</v>
      </c>
      <c r="B116" s="69"/>
      <c r="C116" s="69"/>
      <c r="D116" s="69"/>
      <c r="E116" s="69"/>
      <c r="F116" s="69"/>
      <c r="G116" s="69"/>
    </row>
    <row r="118" spans="1:7" x14ac:dyDescent="0.25">
      <c r="A118" s="502"/>
    </row>
    <row r="119" spans="1:7" x14ac:dyDescent="0.25">
      <c r="A119" s="485" t="s">
        <v>169</v>
      </c>
      <c r="B119" s="485">
        <v>9.9</v>
      </c>
      <c r="C119" s="482" t="s">
        <v>168</v>
      </c>
    </row>
    <row r="120" spans="1:7" x14ac:dyDescent="0.25">
      <c r="A120" s="485" t="s">
        <v>827</v>
      </c>
      <c r="B120" s="503">
        <f>B119*B13</f>
        <v>2.1825767700000002E-2</v>
      </c>
    </row>
    <row r="122" spans="1:7" x14ac:dyDescent="0.25">
      <c r="A122" s="485" t="s">
        <v>296</v>
      </c>
      <c r="B122" s="485">
        <v>5</v>
      </c>
      <c r="C122" s="482" t="s">
        <v>171</v>
      </c>
    </row>
    <row r="123" spans="1:7" x14ac:dyDescent="0.25">
      <c r="A123" s="485" t="s">
        <v>297</v>
      </c>
      <c r="B123" s="485">
        <v>5</v>
      </c>
    </row>
    <row r="125" spans="1:7" x14ac:dyDescent="0.25">
      <c r="A125" s="485" t="s">
        <v>172</v>
      </c>
      <c r="B125" s="485">
        <f>B120*B123</f>
        <v>0.10912883850000001</v>
      </c>
    </row>
    <row r="128" spans="1:7" x14ac:dyDescent="0.25">
      <c r="A128" s="485" t="s">
        <v>177</v>
      </c>
      <c r="B128" s="485">
        <v>1</v>
      </c>
    </row>
    <row r="130" spans="1:9" ht="15.75" x14ac:dyDescent="0.25">
      <c r="A130" s="504"/>
    </row>
    <row r="131" spans="1:9" x14ac:dyDescent="0.25">
      <c r="A131" s="485" t="s">
        <v>770</v>
      </c>
      <c r="B131" s="485">
        <v>1000</v>
      </c>
      <c r="C131" s="482" t="s">
        <v>182</v>
      </c>
    </row>
    <row r="132" spans="1:9" x14ac:dyDescent="0.25">
      <c r="A132" s="485" t="s">
        <v>771</v>
      </c>
      <c r="B132" s="485">
        <v>1</v>
      </c>
      <c r="C132" s="482" t="s">
        <v>293</v>
      </c>
    </row>
    <row r="133" spans="1:9" x14ac:dyDescent="0.25">
      <c r="A133" s="485" t="s">
        <v>828</v>
      </c>
      <c r="B133" s="485">
        <f>B132*0.5*365</f>
        <v>182.5</v>
      </c>
    </row>
    <row r="136" spans="1:9" x14ac:dyDescent="0.25">
      <c r="A136" s="485" t="s">
        <v>183</v>
      </c>
      <c r="B136" s="485">
        <v>500</v>
      </c>
      <c r="C136" s="485" t="s">
        <v>184</v>
      </c>
      <c r="D136" s="448"/>
      <c r="E136" s="449"/>
      <c r="F136" s="448"/>
      <c r="G136" s="449"/>
      <c r="H136" s="449"/>
      <c r="I136" s="449"/>
    </row>
    <row r="137" spans="1:9" x14ac:dyDescent="0.25">
      <c r="A137" s="485" t="s">
        <v>185</v>
      </c>
      <c r="B137" s="485">
        <v>10</v>
      </c>
      <c r="C137" s="485" t="s">
        <v>186</v>
      </c>
      <c r="D137" s="505" t="s">
        <v>187</v>
      </c>
      <c r="E137" s="449"/>
      <c r="F137" s="449"/>
      <c r="G137" s="449"/>
      <c r="H137" s="449"/>
      <c r="I137" s="449"/>
    </row>
    <row r="138" spans="1:9" x14ac:dyDescent="0.25">
      <c r="A138" s="485" t="s">
        <v>188</v>
      </c>
      <c r="B138" s="485">
        <v>20</v>
      </c>
      <c r="C138" s="485" t="s">
        <v>108</v>
      </c>
      <c r="D138" s="448"/>
      <c r="E138" s="449"/>
      <c r="F138" s="449"/>
      <c r="G138" s="449"/>
      <c r="H138" s="449"/>
      <c r="I138" s="449"/>
    </row>
    <row r="139" spans="1:9" x14ac:dyDescent="0.25">
      <c r="A139" s="485" t="s">
        <v>189</v>
      </c>
      <c r="B139" s="485">
        <f>0.176/B11*500</f>
        <v>5.5</v>
      </c>
      <c r="C139" s="485" t="s">
        <v>108</v>
      </c>
      <c r="D139" s="505" t="s">
        <v>190</v>
      </c>
      <c r="E139" s="449"/>
      <c r="F139" s="448" t="s">
        <v>191</v>
      </c>
      <c r="G139" s="482" t="s">
        <v>192</v>
      </c>
      <c r="H139" s="449"/>
      <c r="I139" s="449"/>
    </row>
    <row r="140" spans="1:9" x14ac:dyDescent="0.25">
      <c r="A140" s="485" t="s">
        <v>193</v>
      </c>
      <c r="B140" s="485">
        <v>10</v>
      </c>
      <c r="C140" s="485"/>
      <c r="D140" s="450" t="s">
        <v>194</v>
      </c>
      <c r="E140" s="449"/>
      <c r="F140" s="450" t="s">
        <v>195</v>
      </c>
      <c r="G140" s="449"/>
      <c r="H140" s="449"/>
      <c r="I140" s="449"/>
    </row>
    <row r="141" spans="1:9" x14ac:dyDescent="0.25">
      <c r="A141" s="485" t="s">
        <v>196</v>
      </c>
      <c r="B141" s="485">
        <v>18000</v>
      </c>
      <c r="C141" s="485" t="s">
        <v>197</v>
      </c>
      <c r="D141" s="505" t="s">
        <v>198</v>
      </c>
      <c r="E141" s="449"/>
      <c r="F141" s="448" t="s">
        <v>199</v>
      </c>
      <c r="G141" s="448" t="s">
        <v>200</v>
      </c>
      <c r="H141" s="451"/>
      <c r="I141" s="449"/>
    </row>
    <row r="142" spans="1:9" x14ac:dyDescent="0.25">
      <c r="A142" s="485" t="s">
        <v>777</v>
      </c>
      <c r="B142" s="485">
        <v>14900</v>
      </c>
      <c r="C142" s="485" t="s">
        <v>197</v>
      </c>
      <c r="D142" s="505" t="s">
        <v>198</v>
      </c>
      <c r="E142" s="449"/>
      <c r="F142" s="448" t="s">
        <v>199</v>
      </c>
      <c r="G142" s="448" t="s">
        <v>200</v>
      </c>
      <c r="H142" s="451"/>
      <c r="I142" s="449"/>
    </row>
    <row r="143" spans="1:9" x14ac:dyDescent="0.25">
      <c r="A143" s="485" t="s">
        <v>778</v>
      </c>
      <c r="B143" s="485">
        <v>12800</v>
      </c>
      <c r="C143" s="485" t="s">
        <v>197</v>
      </c>
      <c r="D143" s="505" t="s">
        <v>198</v>
      </c>
      <c r="E143" s="449"/>
      <c r="F143" s="448" t="s">
        <v>199</v>
      </c>
      <c r="G143" s="448" t="s">
        <v>200</v>
      </c>
      <c r="H143" s="451"/>
      <c r="I143" s="449"/>
    </row>
    <row r="144" spans="1:9" x14ac:dyDescent="0.25">
      <c r="A144" s="485" t="s">
        <v>201</v>
      </c>
      <c r="B144" s="485">
        <v>7610</v>
      </c>
      <c r="C144" s="485" t="s">
        <v>197</v>
      </c>
      <c r="D144" s="505" t="s">
        <v>198</v>
      </c>
      <c r="E144" s="449"/>
      <c r="F144" s="448" t="s">
        <v>199</v>
      </c>
      <c r="G144" s="448" t="s">
        <v>200</v>
      </c>
      <c r="H144" s="451"/>
      <c r="I144" s="449"/>
    </row>
    <row r="145" spans="1:9" x14ac:dyDescent="0.25">
      <c r="A145" s="485" t="s">
        <v>202</v>
      </c>
      <c r="B145" s="503">
        <f>-(B142-B141)/30</f>
        <v>103.33333333333333</v>
      </c>
      <c r="C145" s="485" t="s">
        <v>203</v>
      </c>
      <c r="D145" s="448"/>
      <c r="E145" s="449"/>
      <c r="F145" s="449"/>
      <c r="G145" s="449"/>
      <c r="H145" s="449"/>
      <c r="I145" s="449"/>
    </row>
    <row r="147" spans="1:9" x14ac:dyDescent="0.25">
      <c r="A147" s="485" t="s">
        <v>196</v>
      </c>
      <c r="B147" s="485">
        <f>B141/B$14</f>
        <v>9</v>
      </c>
      <c r="C147" s="485" t="s">
        <v>207</v>
      </c>
    </row>
    <row r="148" spans="1:9" x14ac:dyDescent="0.25">
      <c r="A148" s="506" t="s">
        <v>779</v>
      </c>
      <c r="B148" s="485">
        <f>B142/B$14</f>
        <v>7.45</v>
      </c>
      <c r="C148" s="485" t="s">
        <v>207</v>
      </c>
    </row>
    <row r="149" spans="1:9" x14ac:dyDescent="0.25">
      <c r="A149" s="506" t="s">
        <v>780</v>
      </c>
      <c r="B149" s="485">
        <f t="shared" ref="B149:B151" si="1">B143/B$14</f>
        <v>6.4</v>
      </c>
      <c r="C149" s="485" t="s">
        <v>207</v>
      </c>
    </row>
    <row r="150" spans="1:9" x14ac:dyDescent="0.25">
      <c r="A150" s="485" t="s">
        <v>201</v>
      </c>
      <c r="B150" s="485">
        <f>B144/B$14</f>
        <v>3.8050000000000002</v>
      </c>
      <c r="C150" s="485" t="s">
        <v>207</v>
      </c>
    </row>
    <row r="151" spans="1:9" x14ac:dyDescent="0.25">
      <c r="A151" s="485" t="s">
        <v>202</v>
      </c>
      <c r="B151" s="507">
        <f t="shared" si="1"/>
        <v>5.1666666666666666E-2</v>
      </c>
      <c r="C151" s="485" t="s">
        <v>203</v>
      </c>
    </row>
    <row r="153" spans="1:9" x14ac:dyDescent="0.25">
      <c r="A153" s="485" t="s">
        <v>209</v>
      </c>
      <c r="B153" s="507">
        <v>1.27879E-2</v>
      </c>
      <c r="C153" s="476" t="s">
        <v>829</v>
      </c>
    </row>
    <row r="154" spans="1:9" x14ac:dyDescent="0.25">
      <c r="A154" s="485" t="s">
        <v>210</v>
      </c>
      <c r="B154" s="507">
        <v>2.161399E-2</v>
      </c>
      <c r="C154" s="476" t="s">
        <v>829</v>
      </c>
    </row>
    <row r="155" spans="1:9" x14ac:dyDescent="0.25">
      <c r="B155" s="508"/>
    </row>
    <row r="157" spans="1:9" x14ac:dyDescent="0.25">
      <c r="A157" s="217" t="s">
        <v>242</v>
      </c>
      <c r="B157" s="452" t="s">
        <v>243</v>
      </c>
      <c r="C157" s="453" t="s">
        <v>244</v>
      </c>
      <c r="D157" s="454"/>
      <c r="E157" s="448"/>
      <c r="F157" s="448"/>
    </row>
    <row r="158" spans="1:9" x14ac:dyDescent="0.25">
      <c r="A158" s="485" t="s">
        <v>213</v>
      </c>
      <c r="B158" s="497">
        <f>0.36</f>
        <v>0.36</v>
      </c>
      <c r="C158" s="497" t="s">
        <v>214</v>
      </c>
      <c r="D158" s="498" t="s">
        <v>215</v>
      </c>
      <c r="E158" s="499" t="s">
        <v>216</v>
      </c>
      <c r="F158" s="448"/>
    </row>
    <row r="159" spans="1:9" x14ac:dyDescent="0.25">
      <c r="A159" s="485" t="s">
        <v>217</v>
      </c>
      <c r="B159" s="485">
        <v>-2.85</v>
      </c>
      <c r="C159" s="485" t="s">
        <v>214</v>
      </c>
      <c r="D159" s="498" t="s">
        <v>215</v>
      </c>
      <c r="E159" s="499" t="s">
        <v>218</v>
      </c>
      <c r="F159" s="448"/>
    </row>
    <row r="160" spans="1:9" x14ac:dyDescent="0.25">
      <c r="A160" s="485" t="s">
        <v>219</v>
      </c>
      <c r="B160" s="485">
        <v>-0.16</v>
      </c>
      <c r="C160" s="485" t="s">
        <v>214</v>
      </c>
      <c r="D160" s="498" t="s">
        <v>215</v>
      </c>
      <c r="E160" s="499" t="s">
        <v>220</v>
      </c>
      <c r="F160" s="448"/>
    </row>
    <row r="161" spans="1:4" x14ac:dyDescent="0.25">
      <c r="A161" s="477"/>
    </row>
    <row r="163" spans="1:4" x14ac:dyDescent="0.25">
      <c r="A163" s="485" t="s">
        <v>213</v>
      </c>
      <c r="B163" s="500">
        <f>B158*B$9/B$14</f>
        <v>0.39683160000000001</v>
      </c>
      <c r="C163" s="485" t="s">
        <v>830</v>
      </c>
    </row>
    <row r="164" spans="1:4" x14ac:dyDescent="0.25">
      <c r="A164" s="485" t="s">
        <v>217</v>
      </c>
      <c r="B164" s="500">
        <f>B159*B$9/B$14</f>
        <v>-3.1415834999999999</v>
      </c>
      <c r="C164" s="485" t="s">
        <v>830</v>
      </c>
    </row>
    <row r="165" spans="1:4" x14ac:dyDescent="0.25">
      <c r="A165" s="485" t="s">
        <v>219</v>
      </c>
      <c r="B165" s="500">
        <f>B160*B$9/B$14</f>
        <v>-0.17636959999999999</v>
      </c>
      <c r="C165" s="485" t="s">
        <v>830</v>
      </c>
    </row>
    <row r="168" spans="1:4" x14ac:dyDescent="0.25">
      <c r="A168" s="485" t="s">
        <v>223</v>
      </c>
      <c r="B168" s="485">
        <v>21.92</v>
      </c>
      <c r="C168" s="482" t="s">
        <v>222</v>
      </c>
    </row>
    <row r="169" spans="1:4" x14ac:dyDescent="0.25">
      <c r="A169" s="485" t="s">
        <v>225</v>
      </c>
      <c r="B169" s="485">
        <f>B168/20</f>
        <v>1.0960000000000001</v>
      </c>
    </row>
    <row r="171" spans="1:4" x14ac:dyDescent="0.25">
      <c r="A171" s="485" t="s">
        <v>213</v>
      </c>
      <c r="B171" s="485"/>
      <c r="C171" s="485"/>
    </row>
    <row r="172" spans="1:4" x14ac:dyDescent="0.25">
      <c r="A172" s="485" t="s">
        <v>228</v>
      </c>
      <c r="B172" s="485">
        <v>250</v>
      </c>
      <c r="C172" s="485" t="s">
        <v>226</v>
      </c>
      <c r="D172" s="448" t="s">
        <v>227</v>
      </c>
    </row>
    <row r="175" spans="1:4" x14ac:dyDescent="0.25">
      <c r="A175" s="485" t="s">
        <v>247</v>
      </c>
      <c r="B175" s="485">
        <f>B169*B18</f>
        <v>6.3568000000000001E-3</v>
      </c>
    </row>
    <row r="176" spans="1:4" x14ac:dyDescent="0.25">
      <c r="A176" s="485" t="s">
        <v>246</v>
      </c>
      <c r="B176" s="485">
        <f>B175*B172</f>
        <v>1.5891999999999999</v>
      </c>
    </row>
    <row r="179" spans="1:4" ht="30" x14ac:dyDescent="0.25">
      <c r="A179" s="501" t="s">
        <v>235</v>
      </c>
      <c r="B179" s="485">
        <v>2.3199999999999998</v>
      </c>
      <c r="C179" s="482" t="s">
        <v>236</v>
      </c>
    </row>
    <row r="181" spans="1:4" x14ac:dyDescent="0.25">
      <c r="A181" s="217" t="s">
        <v>833</v>
      </c>
      <c r="B181" s="217"/>
      <c r="C181" s="217"/>
      <c r="D181" s="482"/>
    </row>
    <row r="182" spans="1:4" x14ac:dyDescent="0.25">
      <c r="A182" s="476" t="s">
        <v>834</v>
      </c>
      <c r="B182" s="476">
        <v>6.25E-2</v>
      </c>
      <c r="C182" s="2" t="s">
        <v>835</v>
      </c>
    </row>
    <row r="184" spans="1:4" x14ac:dyDescent="0.25">
      <c r="A184" s="217" t="s">
        <v>841</v>
      </c>
      <c r="B184" s="217"/>
      <c r="C184" s="217"/>
      <c r="D184" s="482"/>
    </row>
    <row r="185" spans="1:4" x14ac:dyDescent="0.25">
      <c r="A185" s="476" t="s">
        <v>842</v>
      </c>
      <c r="B185" s="476">
        <v>5.6000000000000001E-2</v>
      </c>
      <c r="C185" s="2" t="s">
        <v>845</v>
      </c>
    </row>
    <row r="186" spans="1:4" x14ac:dyDescent="0.25">
      <c r="A186" s="476" t="s">
        <v>843</v>
      </c>
      <c r="B186" s="476">
        <v>0.05</v>
      </c>
      <c r="C186" s="2" t="s">
        <v>846</v>
      </c>
    </row>
    <row r="187" spans="1:4" x14ac:dyDescent="0.25">
      <c r="A187" s="476" t="s">
        <v>844</v>
      </c>
      <c r="B187" s="476">
        <v>3.47</v>
      </c>
      <c r="C187" s="2" t="s">
        <v>847</v>
      </c>
    </row>
    <row r="189" spans="1:4" x14ac:dyDescent="0.25">
      <c r="A189" s="217" t="s">
        <v>852</v>
      </c>
      <c r="B189" s="217"/>
      <c r="C189" s="217"/>
      <c r="D189" s="482"/>
    </row>
    <row r="190" spans="1:4" x14ac:dyDescent="0.25">
      <c r="A190" s="476" t="s">
        <v>853</v>
      </c>
      <c r="B190" s="476">
        <v>0.02</v>
      </c>
      <c r="C190" s="2" t="s">
        <v>168</v>
      </c>
    </row>
    <row r="191" spans="1:4" x14ac:dyDescent="0.25">
      <c r="C191" s="2"/>
    </row>
    <row r="192" spans="1:4" x14ac:dyDescent="0.25">
      <c r="A192" s="217" t="s">
        <v>565</v>
      </c>
      <c r="B192" s="217"/>
      <c r="C192" s="217"/>
      <c r="D192" s="482" t="s">
        <v>251</v>
      </c>
    </row>
    <row r="193" spans="1:6" x14ac:dyDescent="0.25">
      <c r="A193" s="458" t="s">
        <v>252</v>
      </c>
      <c r="B193" s="458">
        <v>520</v>
      </c>
      <c r="C193" s="458"/>
    </row>
    <row r="194" spans="1:6" x14ac:dyDescent="0.25">
      <c r="A194" s="458" t="s">
        <v>253</v>
      </c>
      <c r="B194" s="458">
        <v>6.08</v>
      </c>
      <c r="C194" s="458" t="s">
        <v>255</v>
      </c>
    </row>
    <row r="195" spans="1:6" x14ac:dyDescent="0.25">
      <c r="A195" s="458" t="s">
        <v>254</v>
      </c>
      <c r="B195" s="458">
        <f>B194/B193</f>
        <v>1.1692307692307693E-2</v>
      </c>
      <c r="C195" s="458" t="s">
        <v>255</v>
      </c>
    </row>
    <row r="196" spans="1:6" x14ac:dyDescent="0.25">
      <c r="A196" s="458" t="s">
        <v>254</v>
      </c>
      <c r="B196" s="458">
        <f>B195*B10</f>
        <v>2.5777095384615385E-2</v>
      </c>
      <c r="C196" s="458" t="s">
        <v>290</v>
      </c>
    </row>
    <row r="199" spans="1:6" x14ac:dyDescent="0.25">
      <c r="A199" s="70" t="s">
        <v>256</v>
      </c>
      <c r="B199" s="70" t="s">
        <v>260</v>
      </c>
      <c r="C199" s="70"/>
      <c r="D199" s="70" t="s">
        <v>262</v>
      </c>
      <c r="F199" s="482" t="s">
        <v>263</v>
      </c>
    </row>
    <row r="200" spans="1:6" x14ac:dyDescent="0.25">
      <c r="A200" s="433" t="s">
        <v>257</v>
      </c>
      <c r="B200" s="433">
        <v>155</v>
      </c>
      <c r="C200" s="433" t="s">
        <v>259</v>
      </c>
      <c r="D200" s="433"/>
    </row>
    <row r="201" spans="1:6" x14ac:dyDescent="0.25">
      <c r="A201" s="433" t="s">
        <v>258</v>
      </c>
      <c r="B201" s="433">
        <v>143</v>
      </c>
      <c r="C201" s="433" t="s">
        <v>259</v>
      </c>
      <c r="D201" s="75">
        <f>(B200-B201)/B200</f>
        <v>7.7419354838709681E-2</v>
      </c>
    </row>
    <row r="202" spans="1:6" x14ac:dyDescent="0.25">
      <c r="A202" s="457"/>
      <c r="B202" s="70" t="s">
        <v>261</v>
      </c>
      <c r="C202" s="457"/>
      <c r="D202" s="457"/>
    </row>
    <row r="203" spans="1:6" x14ac:dyDescent="0.25">
      <c r="A203" s="485" t="s">
        <v>257</v>
      </c>
      <c r="B203" s="485">
        <v>35</v>
      </c>
      <c r="C203" s="485" t="s">
        <v>259</v>
      </c>
      <c r="D203" s="485"/>
    </row>
    <row r="204" spans="1:6" x14ac:dyDescent="0.25">
      <c r="A204" s="485" t="s">
        <v>258</v>
      </c>
      <c r="B204" s="485">
        <v>22.8</v>
      </c>
      <c r="C204" s="485" t="s">
        <v>259</v>
      </c>
      <c r="D204" s="490">
        <f>(B203-B204)/B203</f>
        <v>0.34857142857142853</v>
      </c>
    </row>
    <row r="206" spans="1:6" x14ac:dyDescent="0.25">
      <c r="A206" s="485"/>
      <c r="B206" s="485"/>
      <c r="C206" s="488" t="s">
        <v>266</v>
      </c>
    </row>
    <row r="207" spans="1:6" x14ac:dyDescent="0.25">
      <c r="A207" s="485" t="s">
        <v>264</v>
      </c>
      <c r="B207" s="488" t="s">
        <v>265</v>
      </c>
      <c r="C207" s="491">
        <v>0.25</v>
      </c>
      <c r="F207" s="482" t="s">
        <v>263</v>
      </c>
    </row>
    <row r="210" spans="1:7" x14ac:dyDescent="0.25">
      <c r="A210" s="485" t="s">
        <v>268</v>
      </c>
      <c r="B210" s="485">
        <v>40</v>
      </c>
      <c r="C210" s="482" t="s">
        <v>267</v>
      </c>
      <c r="F210" s="476">
        <f>10*5</f>
        <v>50</v>
      </c>
    </row>
    <row r="212" spans="1:7" x14ac:dyDescent="0.25">
      <c r="A212" s="69" t="s">
        <v>796</v>
      </c>
      <c r="B212" s="69"/>
      <c r="C212" s="492"/>
      <c r="D212" s="492"/>
      <c r="E212" s="492"/>
      <c r="F212" s="492"/>
      <c r="G212" s="492"/>
    </row>
    <row r="215" spans="1:7" x14ac:dyDescent="0.25">
      <c r="A215" s="458" t="s">
        <v>276</v>
      </c>
      <c r="B215" s="458">
        <v>4</v>
      </c>
      <c r="C215" s="482" t="s">
        <v>273</v>
      </c>
    </row>
    <row r="216" spans="1:7" x14ac:dyDescent="0.25">
      <c r="A216" s="458" t="s">
        <v>275</v>
      </c>
      <c r="B216" s="458">
        <v>1.6</v>
      </c>
      <c r="C216" s="482" t="s">
        <v>274</v>
      </c>
    </row>
    <row r="218" spans="1:7" x14ac:dyDescent="0.25">
      <c r="A218" s="458" t="s">
        <v>278</v>
      </c>
      <c r="B218" s="458">
        <v>0.4</v>
      </c>
      <c r="C218" s="458" t="s">
        <v>277</v>
      </c>
      <c r="D218" s="482" t="s">
        <v>280</v>
      </c>
    </row>
    <row r="219" spans="1:7" x14ac:dyDescent="0.25">
      <c r="A219" s="458" t="s">
        <v>281</v>
      </c>
      <c r="B219" s="458">
        <v>0.2</v>
      </c>
      <c r="C219" s="458" t="s">
        <v>279</v>
      </c>
      <c r="D219" s="482" t="s">
        <v>274</v>
      </c>
    </row>
    <row r="221" spans="1:7" x14ac:dyDescent="0.25">
      <c r="A221" s="493"/>
    </row>
    <row r="222" spans="1:7" x14ac:dyDescent="0.25">
      <c r="A222" s="458" t="s">
        <v>798</v>
      </c>
      <c r="B222" s="494">
        <v>0.35</v>
      </c>
      <c r="C222" s="482" t="s">
        <v>282</v>
      </c>
    </row>
    <row r="224" spans="1:7" x14ac:dyDescent="0.25">
      <c r="A224" s="458" t="s">
        <v>364</v>
      </c>
      <c r="B224" s="458">
        <v>7</v>
      </c>
    </row>
    <row r="227" spans="1:3" x14ac:dyDescent="0.25">
      <c r="A227" s="458" t="s">
        <v>286</v>
      </c>
      <c r="B227" s="458">
        <v>11.8</v>
      </c>
      <c r="C227" s="482" t="s">
        <v>283</v>
      </c>
    </row>
    <row r="228" spans="1:3" x14ac:dyDescent="0.25">
      <c r="A228" s="458" t="s">
        <v>287</v>
      </c>
      <c r="B228" s="458">
        <f>B227/B19</f>
        <v>1.5774305556650995E-2</v>
      </c>
    </row>
    <row r="231" spans="1:3" x14ac:dyDescent="0.25">
      <c r="A231" s="458" t="s">
        <v>781</v>
      </c>
      <c r="B231" s="458">
        <v>0.28000000000000003</v>
      </c>
      <c r="C231" s="482" t="s">
        <v>299</v>
      </c>
    </row>
    <row r="232" spans="1:3" x14ac:dyDescent="0.25">
      <c r="A232" s="458" t="s">
        <v>302</v>
      </c>
      <c r="B232" s="495">
        <v>0.15</v>
      </c>
      <c r="C232" s="482" t="s">
        <v>303</v>
      </c>
    </row>
    <row r="235" spans="1:3" x14ac:dyDescent="0.25">
      <c r="A235" s="485" t="s">
        <v>304</v>
      </c>
      <c r="B235" s="485">
        <v>8</v>
      </c>
      <c r="C235" s="482" t="s">
        <v>305</v>
      </c>
    </row>
    <row r="236" spans="1:3" x14ac:dyDescent="0.25">
      <c r="A236" s="485" t="s">
        <v>311</v>
      </c>
      <c r="B236" s="486">
        <v>0.3</v>
      </c>
      <c r="C236" s="482" t="s">
        <v>310</v>
      </c>
    </row>
    <row r="237" spans="1:3" x14ac:dyDescent="0.25">
      <c r="A237" s="485" t="s">
        <v>308</v>
      </c>
      <c r="B237" s="485">
        <v>1</v>
      </c>
      <c r="C237" s="482" t="s">
        <v>307</v>
      </c>
    </row>
    <row r="238" spans="1:3" x14ac:dyDescent="0.25">
      <c r="A238" s="485" t="s">
        <v>309</v>
      </c>
      <c r="B238" s="486">
        <v>0.98</v>
      </c>
      <c r="C238" s="482" t="s">
        <v>306</v>
      </c>
    </row>
    <row r="240" spans="1:3" x14ac:dyDescent="0.25">
      <c r="A240" s="485" t="s">
        <v>314</v>
      </c>
      <c r="B240" s="496">
        <v>50</v>
      </c>
      <c r="C240" s="482" t="s">
        <v>313</v>
      </c>
    </row>
    <row r="241" spans="1:8" x14ac:dyDescent="0.25">
      <c r="A241" s="485" t="s">
        <v>365</v>
      </c>
      <c r="B241" s="485">
        <f>B240/5*B237</f>
        <v>10</v>
      </c>
    </row>
    <row r="244" spans="1:8" x14ac:dyDescent="0.25">
      <c r="A244" s="485" t="s">
        <v>799</v>
      </c>
      <c r="B244" s="485">
        <v>25</v>
      </c>
      <c r="C244" s="482" t="s">
        <v>325</v>
      </c>
    </row>
    <row r="246" spans="1:8" x14ac:dyDescent="0.25">
      <c r="A246" s="485" t="s">
        <v>863</v>
      </c>
      <c r="B246" s="485">
        <v>4</v>
      </c>
      <c r="C246" s="2" t="s">
        <v>862</v>
      </c>
    </row>
    <row r="247" spans="1:8" x14ac:dyDescent="0.25">
      <c r="A247" s="485" t="s">
        <v>865</v>
      </c>
      <c r="B247" s="485">
        <v>1</v>
      </c>
      <c r="C247" s="2" t="s">
        <v>864</v>
      </c>
    </row>
    <row r="248" spans="1:8" x14ac:dyDescent="0.25">
      <c r="A248" s="485" t="s">
        <v>870</v>
      </c>
      <c r="B248" s="485">
        <v>52</v>
      </c>
      <c r="C248" s="2"/>
    </row>
    <row r="249" spans="1:8" x14ac:dyDescent="0.25">
      <c r="A249" s="485" t="s">
        <v>871</v>
      </c>
      <c r="B249" s="485">
        <f>B248/4</f>
        <v>13</v>
      </c>
      <c r="C249" s="550"/>
    </row>
    <row r="250" spans="1:8" x14ac:dyDescent="0.25">
      <c r="A250" s="485" t="s">
        <v>872</v>
      </c>
      <c r="B250" s="485">
        <f>B248-B249</f>
        <v>39</v>
      </c>
      <c r="C250" s="550"/>
    </row>
    <row r="252" spans="1:8" x14ac:dyDescent="0.25">
      <c r="A252" s="69" t="s">
        <v>523</v>
      </c>
      <c r="B252" s="69"/>
      <c r="C252" s="69"/>
      <c r="D252" s="69"/>
      <c r="E252" s="69"/>
      <c r="F252" s="69"/>
      <c r="G252" s="69"/>
    </row>
    <row r="253" spans="1:8" x14ac:dyDescent="0.25">
      <c r="A253" s="485" t="s">
        <v>353</v>
      </c>
      <c r="B253" s="486">
        <v>7.0000000000000007E-2</v>
      </c>
      <c r="C253" s="482" t="s">
        <v>351</v>
      </c>
      <c r="D253" s="476" t="s">
        <v>352</v>
      </c>
      <c r="H253" s="487" t="s">
        <v>338</v>
      </c>
    </row>
    <row r="254" spans="1:8" x14ac:dyDescent="0.25">
      <c r="A254" s="485" t="s">
        <v>357</v>
      </c>
      <c r="B254" s="480">
        <v>7.29</v>
      </c>
      <c r="C254" s="482" t="s">
        <v>339</v>
      </c>
    </row>
    <row r="255" spans="1:8" x14ac:dyDescent="0.25">
      <c r="A255" s="485" t="s">
        <v>360</v>
      </c>
      <c r="B255" s="480">
        <f>B254/100</f>
        <v>7.2900000000000006E-2</v>
      </c>
      <c r="C255" s="482"/>
    </row>
    <row r="256" spans="1:8" x14ac:dyDescent="0.25">
      <c r="A256" s="485" t="s">
        <v>358</v>
      </c>
      <c r="B256" s="480">
        <v>2.79</v>
      </c>
      <c r="C256" s="482" t="s">
        <v>340</v>
      </c>
    </row>
    <row r="257" spans="1:4" x14ac:dyDescent="0.25">
      <c r="A257" s="485" t="s">
        <v>359</v>
      </c>
      <c r="B257" s="480">
        <f>B256/128</f>
        <v>2.1796875E-2</v>
      </c>
      <c r="C257" s="482"/>
    </row>
    <row r="259" spans="1:4" x14ac:dyDescent="0.25">
      <c r="C259" s="482"/>
    </row>
    <row r="260" spans="1:4" x14ac:dyDescent="0.25">
      <c r="A260" s="485" t="s">
        <v>567</v>
      </c>
      <c r="B260" s="485">
        <v>8</v>
      </c>
    </row>
    <row r="261" spans="1:4" x14ac:dyDescent="0.25">
      <c r="A261" s="485" t="s">
        <v>566</v>
      </c>
      <c r="B261" s="485">
        <f>'Healthy School Buildings'!D20*'Conversion factors'!B260</f>
        <v>0</v>
      </c>
    </row>
    <row r="262" spans="1:4" x14ac:dyDescent="0.25">
      <c r="A262" s="485" t="s">
        <v>569</v>
      </c>
      <c r="B262" s="485">
        <v>2401.39734</v>
      </c>
      <c r="C262" s="482" t="s">
        <v>568</v>
      </c>
    </row>
    <row r="263" spans="1:4" x14ac:dyDescent="0.25">
      <c r="A263" s="485" t="s">
        <v>570</v>
      </c>
      <c r="B263" s="485">
        <v>2.39862941E-2</v>
      </c>
      <c r="C263" s="482"/>
    </row>
    <row r="264" spans="1:4" x14ac:dyDescent="0.25">
      <c r="A264" s="485" t="s">
        <v>571</v>
      </c>
      <c r="B264" s="488">
        <f>B263/B262</f>
        <v>9.9884736692512539E-6</v>
      </c>
      <c r="C264" s="482"/>
    </row>
    <row r="265" spans="1:4" x14ac:dyDescent="0.25">
      <c r="A265" s="485" t="s">
        <v>572</v>
      </c>
      <c r="B265" s="485">
        <f>B264*B261</f>
        <v>0</v>
      </c>
    </row>
    <row r="267" spans="1:4" x14ac:dyDescent="0.25">
      <c r="A267" s="480" t="s">
        <v>344</v>
      </c>
      <c r="B267" s="480">
        <v>0.7</v>
      </c>
      <c r="C267" s="482" t="s">
        <v>345</v>
      </c>
    </row>
    <row r="268" spans="1:4" x14ac:dyDescent="0.25">
      <c r="A268" s="480" t="s">
        <v>800</v>
      </c>
      <c r="B268" s="480">
        <v>25.29</v>
      </c>
      <c r="C268" s="482" t="s">
        <v>484</v>
      </c>
    </row>
    <row r="269" spans="1:4" x14ac:dyDescent="0.25">
      <c r="A269" s="480" t="s">
        <v>801</v>
      </c>
      <c r="B269" s="480">
        <f>(A274+(B268*B274*B273)+(B268*C274*C273))*B10</f>
        <v>19.439560254526274</v>
      </c>
    </row>
    <row r="270" spans="1:4" x14ac:dyDescent="0.25">
      <c r="A270" s="489"/>
      <c r="B270" s="489"/>
    </row>
    <row r="271" spans="1:4" x14ac:dyDescent="0.25">
      <c r="A271" s="70" t="s">
        <v>361</v>
      </c>
      <c r="B271" s="70"/>
      <c r="C271" s="70"/>
      <c r="D271" s="482" t="s">
        <v>362</v>
      </c>
    </row>
    <row r="272" spans="1:4" x14ac:dyDescent="0.25">
      <c r="A272" s="70" t="s">
        <v>346</v>
      </c>
      <c r="B272" s="70" t="s">
        <v>347</v>
      </c>
      <c r="C272" s="70" t="s">
        <v>348</v>
      </c>
    </row>
    <row r="273" spans="1:4" x14ac:dyDescent="0.25">
      <c r="A273" s="480">
        <v>1</v>
      </c>
      <c r="B273" s="480">
        <v>265</v>
      </c>
      <c r="C273" s="480">
        <v>28</v>
      </c>
    </row>
    <row r="274" spans="1:4" x14ac:dyDescent="0.25">
      <c r="A274" s="480">
        <v>8.7799999999999994</v>
      </c>
      <c r="B274" s="480">
        <f>0.0038/1000</f>
        <v>3.8E-6</v>
      </c>
      <c r="C274" s="480">
        <f>0.0172/1000</f>
        <v>1.7200000000000001E-5</v>
      </c>
    </row>
    <row r="277" spans="1:4" x14ac:dyDescent="0.25">
      <c r="A277" s="458" t="s">
        <v>802</v>
      </c>
      <c r="B277" s="481">
        <f>B269*B267</f>
        <v>13.60769217816839</v>
      </c>
    </row>
    <row r="278" spans="1:4" x14ac:dyDescent="0.25">
      <c r="A278" s="458" t="s">
        <v>349</v>
      </c>
      <c r="B278" s="481">
        <v>3.2839999999999998</v>
      </c>
      <c r="C278" s="482" t="s">
        <v>350</v>
      </c>
    </row>
    <row r="280" spans="1:4" x14ac:dyDescent="0.25">
      <c r="A280" s="458" t="s">
        <v>363</v>
      </c>
      <c r="B280" s="481">
        <v>15</v>
      </c>
    </row>
    <row r="283" spans="1:4" x14ac:dyDescent="0.25">
      <c r="A283" s="458" t="s">
        <v>803</v>
      </c>
      <c r="B283" s="483">
        <v>330000</v>
      </c>
      <c r="C283" s="482" t="s">
        <v>366</v>
      </c>
      <c r="D283" s="458" t="s">
        <v>368</v>
      </c>
    </row>
    <row r="284" spans="1:4" x14ac:dyDescent="0.25">
      <c r="A284" s="458" t="s">
        <v>804</v>
      </c>
      <c r="B284" s="483">
        <f>B283/3</f>
        <v>110000</v>
      </c>
      <c r="D284" s="458"/>
    </row>
    <row r="285" spans="1:4" x14ac:dyDescent="0.25">
      <c r="A285" s="458" t="s">
        <v>367</v>
      </c>
      <c r="B285" s="483">
        <v>226</v>
      </c>
      <c r="D285" s="458"/>
    </row>
    <row r="286" spans="1:4" x14ac:dyDescent="0.25">
      <c r="A286" s="458" t="s">
        <v>805</v>
      </c>
      <c r="B286" s="481">
        <f>B284/B285</f>
        <v>486.72566371681415</v>
      </c>
      <c r="D286" s="458"/>
    </row>
    <row r="287" spans="1:4" x14ac:dyDescent="0.25">
      <c r="A287" s="458" t="s">
        <v>482</v>
      </c>
      <c r="B287" s="458">
        <v>134000</v>
      </c>
      <c r="C287" s="482" t="s">
        <v>369</v>
      </c>
      <c r="D287" s="458"/>
    </row>
    <row r="288" spans="1:4" x14ac:dyDescent="0.25">
      <c r="A288" s="458" t="s">
        <v>370</v>
      </c>
      <c r="B288" s="458">
        <f>ROUND(B287/B285,0)</f>
        <v>593</v>
      </c>
      <c r="C288" s="482"/>
      <c r="D288" s="458"/>
    </row>
    <row r="289" spans="1:4" x14ac:dyDescent="0.25">
      <c r="D289" s="458"/>
    </row>
    <row r="290" spans="1:4" x14ac:dyDescent="0.25">
      <c r="A290" s="458" t="s">
        <v>806</v>
      </c>
      <c r="B290" s="458">
        <v>67</v>
      </c>
      <c r="C290" s="482" t="s">
        <v>366</v>
      </c>
      <c r="D290" s="458" t="s">
        <v>368</v>
      </c>
    </row>
    <row r="291" spans="1:4" x14ac:dyDescent="0.25">
      <c r="D291" s="458"/>
    </row>
    <row r="292" spans="1:4" x14ac:dyDescent="0.25">
      <c r="D292" s="458"/>
    </row>
    <row r="293" spans="1:4" x14ac:dyDescent="0.25">
      <c r="A293" s="458" t="s">
        <v>376</v>
      </c>
      <c r="B293" s="458">
        <v>40.020000000000003</v>
      </c>
      <c r="C293" s="482" t="s">
        <v>375</v>
      </c>
    </row>
    <row r="294" spans="1:4" x14ac:dyDescent="0.25">
      <c r="A294" s="458" t="s">
        <v>807</v>
      </c>
      <c r="B294" s="481">
        <f>B293</f>
        <v>40.020000000000003</v>
      </c>
    </row>
    <row r="295" spans="1:4" x14ac:dyDescent="0.25">
      <c r="A295" s="458" t="s">
        <v>377</v>
      </c>
      <c r="B295" s="458">
        <v>0.8</v>
      </c>
      <c r="C295" s="482" t="s">
        <v>375</v>
      </c>
    </row>
    <row r="296" spans="1:4" x14ac:dyDescent="0.25">
      <c r="A296" s="458" t="s">
        <v>808</v>
      </c>
      <c r="B296" s="458">
        <v>0.8</v>
      </c>
      <c r="C296" s="484"/>
    </row>
    <row r="298" spans="1:4" x14ac:dyDescent="0.25">
      <c r="A298" s="458" t="s">
        <v>372</v>
      </c>
      <c r="B298" s="458">
        <v>8</v>
      </c>
      <c r="C298" s="482" t="s">
        <v>374</v>
      </c>
    </row>
    <row r="299" spans="1:4" x14ac:dyDescent="0.25">
      <c r="A299" s="458" t="s">
        <v>373</v>
      </c>
      <c r="B299" s="458">
        <f>B298/5</f>
        <v>1.6</v>
      </c>
    </row>
    <row r="300" spans="1:4" x14ac:dyDescent="0.25">
      <c r="A300" s="458" t="s">
        <v>809</v>
      </c>
      <c r="B300" s="458">
        <f>B299/B11</f>
        <v>0.1</v>
      </c>
    </row>
    <row r="303" spans="1:4" x14ac:dyDescent="0.25">
      <c r="A303" s="458" t="s">
        <v>379</v>
      </c>
      <c r="B303" s="458">
        <v>3.8119999999999998</v>
      </c>
      <c r="C303" s="482" t="s">
        <v>378</v>
      </c>
    </row>
    <row r="304" spans="1:4" x14ac:dyDescent="0.25">
      <c r="A304" s="458" t="s">
        <v>380</v>
      </c>
      <c r="B304" s="458">
        <v>1.3160000000000001</v>
      </c>
      <c r="C304" s="482" t="s">
        <v>378</v>
      </c>
    </row>
    <row r="314" spans="1:7" x14ac:dyDescent="0.25">
      <c r="A314" s="69" t="s">
        <v>524</v>
      </c>
      <c r="B314" s="69"/>
      <c r="C314" s="69"/>
      <c r="D314" s="69"/>
      <c r="E314" s="69"/>
      <c r="F314" s="69"/>
      <c r="G314" s="69"/>
    </row>
    <row r="317" spans="1:7" x14ac:dyDescent="0.25">
      <c r="A317" s="458" t="s">
        <v>383</v>
      </c>
      <c r="B317" s="481">
        <v>30000</v>
      </c>
      <c r="C317" s="476" t="s">
        <v>382</v>
      </c>
      <c r="D317" s="482" t="s">
        <v>381</v>
      </c>
    </row>
    <row r="318" spans="1:7" x14ac:dyDescent="0.25">
      <c r="A318" s="458" t="s">
        <v>384</v>
      </c>
      <c r="B318" s="481">
        <f>B317/120</f>
        <v>250</v>
      </c>
    </row>
    <row r="319" spans="1:7" x14ac:dyDescent="0.25">
      <c r="A319" s="458" t="s">
        <v>396</v>
      </c>
      <c r="B319" s="481">
        <v>30000</v>
      </c>
      <c r="C319" s="482" t="s">
        <v>381</v>
      </c>
      <c r="D319" s="482" t="s">
        <v>385</v>
      </c>
    </row>
    <row r="320" spans="1:7" x14ac:dyDescent="0.25">
      <c r="A320" s="458" t="s">
        <v>395</v>
      </c>
      <c r="B320" s="481">
        <f>B319/60</f>
        <v>500</v>
      </c>
    </row>
    <row r="323" spans="1:3" x14ac:dyDescent="0.25">
      <c r="A323" s="458" t="s">
        <v>391</v>
      </c>
      <c r="B323" s="525">
        <v>0.9</v>
      </c>
      <c r="C323" s="482" t="s">
        <v>386</v>
      </c>
    </row>
    <row r="324" spans="1:3" x14ac:dyDescent="0.25">
      <c r="A324" s="458" t="s">
        <v>387</v>
      </c>
      <c r="B324" s="525">
        <v>0.9</v>
      </c>
      <c r="C324" s="482" t="s">
        <v>386</v>
      </c>
    </row>
    <row r="325" spans="1:3" x14ac:dyDescent="0.25">
      <c r="A325" s="458" t="s">
        <v>388</v>
      </c>
      <c r="B325" s="525">
        <v>0.9</v>
      </c>
      <c r="C325" s="482" t="s">
        <v>386</v>
      </c>
    </row>
    <row r="326" spans="1:3" x14ac:dyDescent="0.25">
      <c r="A326" s="458" t="s">
        <v>389</v>
      </c>
      <c r="B326" s="525">
        <v>0.5</v>
      </c>
      <c r="C326" s="482" t="s">
        <v>386</v>
      </c>
    </row>
    <row r="327" spans="1:3" x14ac:dyDescent="0.25">
      <c r="A327" s="458" t="s">
        <v>390</v>
      </c>
      <c r="B327" s="525">
        <v>0.65</v>
      </c>
      <c r="C327" s="482" t="s">
        <v>386</v>
      </c>
    </row>
    <row r="330" spans="1:3" x14ac:dyDescent="0.25">
      <c r="A330" s="458" t="s">
        <v>400</v>
      </c>
      <c r="B330" s="481">
        <v>1.5</v>
      </c>
      <c r="C330" s="482" t="s">
        <v>399</v>
      </c>
    </row>
    <row r="331" spans="1:3" x14ac:dyDescent="0.25">
      <c r="A331" s="458" t="s">
        <v>401</v>
      </c>
      <c r="B331" s="481">
        <v>2.2000000000000002</v>
      </c>
      <c r="C331" s="482" t="s">
        <v>399</v>
      </c>
    </row>
    <row r="333" spans="1:3" x14ac:dyDescent="0.25">
      <c r="A333" s="485" t="s">
        <v>668</v>
      </c>
      <c r="B333" s="480">
        <f>1/3</f>
        <v>0.33333333333333331</v>
      </c>
    </row>
    <row r="334" spans="1:3" ht="30" x14ac:dyDescent="0.25">
      <c r="A334" s="509" t="s">
        <v>669</v>
      </c>
      <c r="B334" s="485">
        <v>3</v>
      </c>
      <c r="C334" s="482" t="s">
        <v>420</v>
      </c>
    </row>
    <row r="338" spans="1:4" x14ac:dyDescent="0.25">
      <c r="A338" s="458" t="s">
        <v>405</v>
      </c>
      <c r="B338" s="481">
        <v>600</v>
      </c>
      <c r="D338" s="482" t="s">
        <v>404</v>
      </c>
    </row>
    <row r="339" spans="1:4" x14ac:dyDescent="0.25">
      <c r="A339" s="458" t="s">
        <v>407</v>
      </c>
      <c r="B339" s="481">
        <v>3000</v>
      </c>
      <c r="C339" s="476" t="s">
        <v>413</v>
      </c>
      <c r="D339" s="482" t="s">
        <v>406</v>
      </c>
    </row>
    <row r="340" spans="1:4" x14ac:dyDescent="0.25">
      <c r="A340" s="458" t="s">
        <v>408</v>
      </c>
      <c r="B340" s="481">
        <v>500</v>
      </c>
      <c r="C340" s="476" t="s">
        <v>412</v>
      </c>
      <c r="D340" s="482" t="s">
        <v>406</v>
      </c>
    </row>
    <row r="341" spans="1:4" x14ac:dyDescent="0.25">
      <c r="A341" s="458" t="s">
        <v>410</v>
      </c>
      <c r="B341" s="481">
        <v>6300</v>
      </c>
      <c r="C341" s="476" t="s">
        <v>411</v>
      </c>
      <c r="D341" s="482" t="s">
        <v>409</v>
      </c>
    </row>
    <row r="343" spans="1:4" x14ac:dyDescent="0.25">
      <c r="A343" s="458" t="s">
        <v>414</v>
      </c>
      <c r="B343" s="481">
        <f>B338/30</f>
        <v>20</v>
      </c>
    </row>
    <row r="344" spans="1:4" x14ac:dyDescent="0.25">
      <c r="A344" s="458" t="s">
        <v>415</v>
      </c>
      <c r="B344" s="481">
        <f>B339/365</f>
        <v>8.2191780821917817</v>
      </c>
    </row>
    <row r="345" spans="1:4" x14ac:dyDescent="0.25">
      <c r="A345" s="458" t="s">
        <v>416</v>
      </c>
      <c r="B345" s="481">
        <f>B340/365</f>
        <v>1.3698630136986301</v>
      </c>
    </row>
    <row r="346" spans="1:4" x14ac:dyDescent="0.25">
      <c r="A346" s="458" t="s">
        <v>417</v>
      </c>
      <c r="B346" s="481">
        <f>B341/30</f>
        <v>210</v>
      </c>
    </row>
    <row r="349" spans="1:4" x14ac:dyDescent="0.25">
      <c r="A349" s="458" t="s">
        <v>419</v>
      </c>
      <c r="B349" s="481">
        <v>0.5</v>
      </c>
      <c r="C349" s="482" t="s">
        <v>420</v>
      </c>
    </row>
    <row r="350" spans="1:4" x14ac:dyDescent="0.25">
      <c r="A350" s="458" t="s">
        <v>418</v>
      </c>
      <c r="B350" s="481">
        <v>0.8</v>
      </c>
      <c r="C350" s="482" t="s">
        <v>420</v>
      </c>
    </row>
    <row r="352" spans="1:4" x14ac:dyDescent="0.25">
      <c r="A352" s="458" t="s">
        <v>555</v>
      </c>
      <c r="B352" s="458">
        <v>3</v>
      </c>
      <c r="C352" s="482" t="s">
        <v>420</v>
      </c>
    </row>
    <row r="355" spans="1:4" x14ac:dyDescent="0.25">
      <c r="C355" s="482" t="s">
        <v>422</v>
      </c>
    </row>
    <row r="356" spans="1:4" x14ac:dyDescent="0.25">
      <c r="A356" s="70" t="s">
        <v>424</v>
      </c>
      <c r="B356" s="70" t="s">
        <v>423</v>
      </c>
      <c r="C356" s="70" t="s">
        <v>425</v>
      </c>
      <c r="D356" s="70" t="s">
        <v>464</v>
      </c>
    </row>
    <row r="357" spans="1:4" x14ac:dyDescent="0.25">
      <c r="A357" s="218" t="s">
        <v>28</v>
      </c>
      <c r="B357" s="218"/>
      <c r="C357" s="218"/>
      <c r="D357" s="218"/>
    </row>
    <row r="358" spans="1:4" x14ac:dyDescent="0.25">
      <c r="A358" s="458" t="s">
        <v>456</v>
      </c>
      <c r="B358" s="458">
        <v>192</v>
      </c>
      <c r="C358" s="458">
        <v>84.5</v>
      </c>
      <c r="D358" s="481">
        <f>C358/B358</f>
        <v>0.44010416666666669</v>
      </c>
    </row>
    <row r="359" spans="1:4" x14ac:dyDescent="0.25">
      <c r="A359" s="458" t="s">
        <v>445</v>
      </c>
      <c r="B359" s="458">
        <v>148</v>
      </c>
      <c r="C359" s="458">
        <v>27.8</v>
      </c>
      <c r="D359" s="481">
        <f t="shared" ref="D359:D394" si="2">C359/B359</f>
        <v>0.18783783783783783</v>
      </c>
    </row>
    <row r="360" spans="1:4" x14ac:dyDescent="0.25">
      <c r="A360" s="458" t="s">
        <v>437</v>
      </c>
      <c r="B360" s="458">
        <v>187</v>
      </c>
      <c r="C360" s="458">
        <v>97.9</v>
      </c>
      <c r="D360" s="481">
        <f t="shared" si="2"/>
        <v>0.52352941176470591</v>
      </c>
    </row>
    <row r="361" spans="1:4" x14ac:dyDescent="0.25">
      <c r="A361" s="458" t="s">
        <v>438</v>
      </c>
      <c r="B361" s="458">
        <v>186</v>
      </c>
      <c r="C361" s="458">
        <v>106.7</v>
      </c>
      <c r="D361" s="481">
        <f t="shared" si="2"/>
        <v>0.57365591397849469</v>
      </c>
    </row>
    <row r="362" spans="1:4" x14ac:dyDescent="0.25">
      <c r="A362" s="458" t="s">
        <v>446</v>
      </c>
      <c r="B362" s="458">
        <v>163</v>
      </c>
      <c r="C362" s="458">
        <v>35.799999999999997</v>
      </c>
      <c r="D362" s="481">
        <f t="shared" si="2"/>
        <v>0.21963190184049078</v>
      </c>
    </row>
    <row r="363" spans="1:4" x14ac:dyDescent="0.25">
      <c r="A363" s="458" t="s">
        <v>426</v>
      </c>
      <c r="B363" s="458">
        <v>142</v>
      </c>
      <c r="C363" s="458">
        <v>28.1</v>
      </c>
      <c r="D363" s="481">
        <f t="shared" si="2"/>
        <v>0.19788732394366199</v>
      </c>
    </row>
    <row r="364" spans="1:4" x14ac:dyDescent="0.25">
      <c r="A364" s="458" t="s">
        <v>447</v>
      </c>
      <c r="B364" s="458">
        <v>165</v>
      </c>
      <c r="C364" s="458">
        <v>56.4</v>
      </c>
      <c r="D364" s="481">
        <f t="shared" si="2"/>
        <v>0.3418181818181818</v>
      </c>
    </row>
    <row r="365" spans="1:4" x14ac:dyDescent="0.25">
      <c r="A365" s="458" t="s">
        <v>427</v>
      </c>
      <c r="B365" s="458">
        <v>72</v>
      </c>
      <c r="C365" s="458">
        <v>11.4</v>
      </c>
      <c r="D365" s="481">
        <f t="shared" si="2"/>
        <v>0.15833333333333333</v>
      </c>
    </row>
    <row r="366" spans="1:4" x14ac:dyDescent="0.25">
      <c r="A366" s="458" t="s">
        <v>457</v>
      </c>
      <c r="B366" s="458">
        <v>198</v>
      </c>
      <c r="C366" s="458">
        <v>108.9</v>
      </c>
      <c r="D366" s="481">
        <f t="shared" si="2"/>
        <v>0.55000000000000004</v>
      </c>
    </row>
    <row r="367" spans="1:4" x14ac:dyDescent="0.25">
      <c r="A367" s="458" t="s">
        <v>428</v>
      </c>
      <c r="B367" s="458">
        <v>103</v>
      </c>
      <c r="C367" s="458">
        <v>10.8</v>
      </c>
      <c r="D367" s="481">
        <f t="shared" si="2"/>
        <v>0.10485436893203884</v>
      </c>
    </row>
    <row r="368" spans="1:4" x14ac:dyDescent="0.25">
      <c r="A368" s="458" t="s">
        <v>439</v>
      </c>
      <c r="B368" s="526">
        <f>AVERAGE(B358:B367,B369:B370,B372:B394)</f>
        <v>148.53809523809525</v>
      </c>
      <c r="C368" s="458">
        <v>81.3</v>
      </c>
      <c r="D368" s="481">
        <f t="shared" si="2"/>
        <v>0.54733433783220586</v>
      </c>
    </row>
    <row r="369" spans="1:4" x14ac:dyDescent="0.25">
      <c r="A369" s="458" t="s">
        <v>448</v>
      </c>
      <c r="B369" s="458">
        <v>166</v>
      </c>
      <c r="C369" s="458">
        <v>38.4</v>
      </c>
      <c r="D369" s="481">
        <f t="shared" si="2"/>
        <v>0.23132530120481926</v>
      </c>
    </row>
    <row r="370" spans="1:4" x14ac:dyDescent="0.25">
      <c r="A370" s="458" t="s">
        <v>458</v>
      </c>
      <c r="B370" s="458">
        <v>210</v>
      </c>
      <c r="C370" s="458">
        <v>119.7</v>
      </c>
      <c r="D370" s="481">
        <f t="shared" si="2"/>
        <v>0.57000000000000006</v>
      </c>
    </row>
    <row r="371" spans="1:4" x14ac:dyDescent="0.25">
      <c r="A371" s="458" t="s">
        <v>459</v>
      </c>
      <c r="B371" s="526">
        <f>AVERAGE(B358:B367,B369:B370,B372:B394)</f>
        <v>148.53809523809525</v>
      </c>
      <c r="C371" s="458">
        <v>24.9</v>
      </c>
      <c r="D371" s="481">
        <f t="shared" si="2"/>
        <v>0.16763376398550955</v>
      </c>
    </row>
    <row r="372" spans="1:4" x14ac:dyDescent="0.25">
      <c r="A372" s="458" t="s">
        <v>460</v>
      </c>
      <c r="B372" s="458">
        <v>198</v>
      </c>
      <c r="C372" s="458">
        <v>75</v>
      </c>
      <c r="D372" s="481">
        <f t="shared" si="2"/>
        <v>0.37878787878787878</v>
      </c>
    </row>
    <row r="373" spans="1:4" x14ac:dyDescent="0.25">
      <c r="A373" s="458" t="s">
        <v>429</v>
      </c>
      <c r="B373" s="458">
        <v>75</v>
      </c>
      <c r="C373" s="458">
        <v>7.7</v>
      </c>
      <c r="D373" s="481">
        <f t="shared" si="2"/>
        <v>0.10266666666666667</v>
      </c>
    </row>
    <row r="374" spans="1:4" x14ac:dyDescent="0.25">
      <c r="A374" s="458" t="s">
        <v>430</v>
      </c>
      <c r="B374" s="458">
        <v>97</v>
      </c>
      <c r="C374" s="458">
        <v>25</v>
      </c>
      <c r="D374" s="481">
        <f t="shared" si="2"/>
        <v>0.25773195876288657</v>
      </c>
    </row>
    <row r="375" spans="1:4" x14ac:dyDescent="0.25">
      <c r="A375" s="458" t="s">
        <v>461</v>
      </c>
      <c r="B375" s="458">
        <v>213</v>
      </c>
      <c r="C375" s="458">
        <v>78.7</v>
      </c>
      <c r="D375" s="481">
        <f t="shared" si="2"/>
        <v>0.3694835680751174</v>
      </c>
    </row>
    <row r="376" spans="1:4" x14ac:dyDescent="0.25">
      <c r="A376" s="458" t="s">
        <v>449</v>
      </c>
      <c r="B376" s="458">
        <v>186</v>
      </c>
      <c r="C376" s="458">
        <v>48</v>
      </c>
      <c r="D376" s="481">
        <f t="shared" si="2"/>
        <v>0.25806451612903225</v>
      </c>
    </row>
    <row r="377" spans="1:4" x14ac:dyDescent="0.25">
      <c r="A377" s="458" t="s">
        <v>440</v>
      </c>
      <c r="B377" s="526">
        <f>AVERAGE(B374:B375,B378:B381)</f>
        <v>160.83333333333334</v>
      </c>
      <c r="C377" s="458">
        <v>45.9</v>
      </c>
      <c r="D377" s="481">
        <f t="shared" si="2"/>
        <v>0.2853886010362694</v>
      </c>
    </row>
    <row r="378" spans="1:4" x14ac:dyDescent="0.25">
      <c r="A378" s="458" t="s">
        <v>441</v>
      </c>
      <c r="B378" s="458">
        <v>189</v>
      </c>
      <c r="C378" s="458">
        <v>118.3</v>
      </c>
      <c r="D378" s="481">
        <f t="shared" si="2"/>
        <v>0.62592592592592589</v>
      </c>
    </row>
    <row r="379" spans="1:4" x14ac:dyDescent="0.25">
      <c r="A379" s="458" t="s">
        <v>442</v>
      </c>
      <c r="B379" s="458">
        <v>184</v>
      </c>
      <c r="C379" s="458">
        <v>57.8</v>
      </c>
      <c r="D379" s="481">
        <f t="shared" si="2"/>
        <v>0.31413043478260866</v>
      </c>
    </row>
    <row r="380" spans="1:4" x14ac:dyDescent="0.25">
      <c r="A380" s="458" t="s">
        <v>450</v>
      </c>
      <c r="B380" s="458">
        <v>119</v>
      </c>
      <c r="C380" s="458">
        <v>28.2</v>
      </c>
      <c r="D380" s="481">
        <f t="shared" si="2"/>
        <v>0.23697478991596638</v>
      </c>
    </row>
    <row r="381" spans="1:4" x14ac:dyDescent="0.25">
      <c r="A381" s="458" t="s">
        <v>451</v>
      </c>
      <c r="B381" s="458">
        <v>163</v>
      </c>
      <c r="C381" s="458">
        <v>50</v>
      </c>
      <c r="D381" s="481">
        <f t="shared" si="2"/>
        <v>0.30674846625766872</v>
      </c>
    </row>
    <row r="382" spans="1:4" x14ac:dyDescent="0.25">
      <c r="A382" s="458" t="s">
        <v>462</v>
      </c>
      <c r="B382" s="458">
        <v>144</v>
      </c>
      <c r="C382" s="458">
        <v>25.3</v>
      </c>
      <c r="D382" s="481">
        <f t="shared" si="2"/>
        <v>0.17569444444444446</v>
      </c>
    </row>
    <row r="383" spans="1:4" x14ac:dyDescent="0.25">
      <c r="A383" s="458" t="s">
        <v>452</v>
      </c>
      <c r="B383" s="458">
        <v>141</v>
      </c>
      <c r="C383" s="458">
        <v>19</v>
      </c>
      <c r="D383" s="481">
        <f t="shared" si="2"/>
        <v>0.13475177304964539</v>
      </c>
    </row>
    <row r="384" spans="1:4" x14ac:dyDescent="0.25">
      <c r="A384" s="458" t="s">
        <v>431</v>
      </c>
      <c r="B384" s="458">
        <v>114</v>
      </c>
      <c r="C384" s="458">
        <v>20.399999999999999</v>
      </c>
      <c r="D384" s="481">
        <f t="shared" si="2"/>
        <v>0.17894736842105263</v>
      </c>
    </row>
    <row r="385" spans="1:4" x14ac:dyDescent="0.25">
      <c r="A385" s="458" t="s">
        <v>443</v>
      </c>
      <c r="B385" s="458">
        <v>162</v>
      </c>
      <c r="C385" s="458">
        <v>57.6</v>
      </c>
      <c r="D385" s="481">
        <f t="shared" si="2"/>
        <v>0.35555555555555557</v>
      </c>
    </row>
    <row r="386" spans="1:4" x14ac:dyDescent="0.25">
      <c r="A386" s="458" t="s">
        <v>453</v>
      </c>
      <c r="B386" s="458">
        <v>149</v>
      </c>
      <c r="C386" s="458">
        <v>37.700000000000003</v>
      </c>
      <c r="D386" s="481">
        <f t="shared" si="2"/>
        <v>0.25302013422818792</v>
      </c>
    </row>
    <row r="387" spans="1:4" x14ac:dyDescent="0.25">
      <c r="A387" s="458" t="s">
        <v>432</v>
      </c>
      <c r="B387" s="458">
        <v>112</v>
      </c>
      <c r="C387" s="458">
        <v>16.600000000000001</v>
      </c>
      <c r="D387" s="481">
        <f t="shared" si="2"/>
        <v>0.14821428571428572</v>
      </c>
    </row>
    <row r="388" spans="1:4" x14ac:dyDescent="0.25">
      <c r="A388" s="458" t="s">
        <v>444</v>
      </c>
      <c r="B388" s="458">
        <v>188</v>
      </c>
      <c r="C388" s="458">
        <v>81.2</v>
      </c>
      <c r="D388" s="481">
        <f t="shared" si="2"/>
        <v>0.43191489361702129</v>
      </c>
    </row>
    <row r="389" spans="1:4" x14ac:dyDescent="0.25">
      <c r="A389" s="458" t="s">
        <v>454</v>
      </c>
      <c r="B389" s="458">
        <v>149</v>
      </c>
      <c r="C389" s="458">
        <v>39.200000000000003</v>
      </c>
      <c r="D389" s="481">
        <f t="shared" si="2"/>
        <v>0.26308724832214769</v>
      </c>
    </row>
    <row r="390" spans="1:4" x14ac:dyDescent="0.25">
      <c r="A390" s="458" t="s">
        <v>455</v>
      </c>
      <c r="B390" s="458">
        <v>168</v>
      </c>
      <c r="C390" s="458">
        <v>41.6</v>
      </c>
      <c r="D390" s="481">
        <f t="shared" si="2"/>
        <v>0.24761904761904763</v>
      </c>
    </row>
    <row r="391" spans="1:4" x14ac:dyDescent="0.25">
      <c r="A391" s="458" t="s">
        <v>433</v>
      </c>
      <c r="B391" s="458">
        <v>109</v>
      </c>
      <c r="C391" s="458">
        <v>20.9</v>
      </c>
      <c r="D391" s="481">
        <f t="shared" si="2"/>
        <v>0.19174311926605503</v>
      </c>
    </row>
    <row r="392" spans="1:4" x14ac:dyDescent="0.25">
      <c r="A392" s="458" t="s">
        <v>434</v>
      </c>
      <c r="B392" s="458">
        <v>80</v>
      </c>
      <c r="C392" s="458">
        <v>9.6</v>
      </c>
      <c r="D392" s="481">
        <f t="shared" si="2"/>
        <v>0.12</v>
      </c>
    </row>
    <row r="393" spans="1:4" x14ac:dyDescent="0.25">
      <c r="A393" s="458" t="s">
        <v>435</v>
      </c>
      <c r="B393" s="458">
        <v>94</v>
      </c>
      <c r="C393" s="458">
        <v>14.8</v>
      </c>
      <c r="D393" s="481">
        <f t="shared" si="2"/>
        <v>0.1574468085106383</v>
      </c>
    </row>
    <row r="394" spans="1:4" x14ac:dyDescent="0.25">
      <c r="A394" s="458" t="s">
        <v>436</v>
      </c>
      <c r="B394" s="458">
        <v>72</v>
      </c>
      <c r="C394" s="458">
        <v>8.3000000000000007</v>
      </c>
      <c r="D394" s="481">
        <f t="shared" si="2"/>
        <v>0.11527777777777778</v>
      </c>
    </row>
    <row r="398" spans="1:4" x14ac:dyDescent="0.25">
      <c r="A398" s="458" t="s">
        <v>463</v>
      </c>
      <c r="B398" s="458">
        <v>0.5</v>
      </c>
    </row>
    <row r="399" spans="1:4" x14ac:dyDescent="0.25">
      <c r="A399" s="458" t="s">
        <v>467</v>
      </c>
      <c r="B399" s="458">
        <f>55/0.5*1</f>
        <v>110</v>
      </c>
    </row>
    <row r="403" spans="1:7" x14ac:dyDescent="0.25">
      <c r="A403" s="458" t="s">
        <v>470</v>
      </c>
      <c r="B403" s="458">
        <v>80</v>
      </c>
      <c r="C403" s="482" t="s">
        <v>471</v>
      </c>
    </row>
    <row r="407" spans="1:7" x14ac:dyDescent="0.25">
      <c r="A407" s="69" t="s">
        <v>525</v>
      </c>
      <c r="B407" s="69"/>
      <c r="C407" s="69"/>
      <c r="D407" s="69"/>
      <c r="E407" s="69"/>
      <c r="F407" s="69"/>
      <c r="G407" s="69"/>
    </row>
    <row r="409" spans="1:7" x14ac:dyDescent="0.25">
      <c r="A409" s="458" t="s">
        <v>491</v>
      </c>
      <c r="B409" s="458" t="s">
        <v>492</v>
      </c>
      <c r="C409" s="458" t="s">
        <v>493</v>
      </c>
      <c r="D409" s="458" t="s">
        <v>494</v>
      </c>
      <c r="E409" s="458" t="s">
        <v>495</v>
      </c>
      <c r="F409" s="482" t="s">
        <v>496</v>
      </c>
    </row>
    <row r="410" spans="1:7" x14ac:dyDescent="0.25">
      <c r="A410" s="458"/>
      <c r="B410" s="525">
        <v>0.34799999999999998</v>
      </c>
      <c r="C410" s="525">
        <v>0.20100000000000001</v>
      </c>
      <c r="D410" s="525">
        <v>0.27100000000000002</v>
      </c>
      <c r="E410" s="525">
        <v>0.18099999999999999</v>
      </c>
    </row>
    <row r="412" spans="1:7" x14ac:dyDescent="0.25">
      <c r="A412" s="481" t="s">
        <v>497</v>
      </c>
      <c r="B412" s="481">
        <f>B410*0.5+C410*1.5+D410*3.5+E410*5.5</f>
        <v>2.4195000000000002</v>
      </c>
    </row>
    <row r="413" spans="1:7" x14ac:dyDescent="0.25">
      <c r="A413" s="458" t="s">
        <v>515</v>
      </c>
      <c r="B413" s="481">
        <v>3.2519999999999998</v>
      </c>
      <c r="C413" s="482" t="s">
        <v>350</v>
      </c>
    </row>
    <row r="414" spans="1:7" x14ac:dyDescent="0.25">
      <c r="A414" s="458" t="s">
        <v>516</v>
      </c>
      <c r="B414" s="481">
        <v>3.2690000000000001</v>
      </c>
      <c r="C414" s="482" t="s">
        <v>350</v>
      </c>
    </row>
    <row r="416" spans="1:7" x14ac:dyDescent="0.25">
      <c r="A416" s="481" t="s">
        <v>483</v>
      </c>
      <c r="B416" s="481">
        <f>B268</f>
        <v>25.29</v>
      </c>
      <c r="C416" s="482" t="s">
        <v>484</v>
      </c>
    </row>
    <row r="417" spans="1:5" x14ac:dyDescent="0.25">
      <c r="A417" s="480" t="s">
        <v>801</v>
      </c>
      <c r="B417" s="480">
        <f>(B422+(B416*C422*C421)+(B416*D422*D421))*B10</f>
        <v>19.439560254526274</v>
      </c>
    </row>
    <row r="418" spans="1:5" x14ac:dyDescent="0.25">
      <c r="A418" s="489"/>
      <c r="B418" s="489"/>
    </row>
    <row r="419" spans="1:5" x14ac:dyDescent="0.25">
      <c r="A419" s="484"/>
      <c r="B419" s="70" t="s">
        <v>361</v>
      </c>
      <c r="C419" s="70"/>
      <c r="D419" s="70"/>
      <c r="E419" s="482" t="s">
        <v>362</v>
      </c>
    </row>
    <row r="420" spans="1:5" x14ac:dyDescent="0.25">
      <c r="A420" s="70" t="s">
        <v>487</v>
      </c>
      <c r="B420" s="219" t="s">
        <v>346</v>
      </c>
      <c r="C420" s="70" t="s">
        <v>485</v>
      </c>
      <c r="D420" s="70" t="s">
        <v>486</v>
      </c>
    </row>
    <row r="421" spans="1:5" x14ac:dyDescent="0.25">
      <c r="A421" s="481" t="s">
        <v>15</v>
      </c>
      <c r="B421" s="527">
        <v>1</v>
      </c>
      <c r="C421" s="480">
        <v>265</v>
      </c>
      <c r="D421" s="480">
        <v>28</v>
      </c>
    </row>
    <row r="422" spans="1:5" x14ac:dyDescent="0.25">
      <c r="A422" s="481" t="s">
        <v>488</v>
      </c>
      <c r="B422" s="527">
        <v>8.7799999999999994</v>
      </c>
      <c r="C422" s="480">
        <f>0.0038/1000</f>
        <v>3.8E-6</v>
      </c>
      <c r="D422" s="480">
        <f>0.0172/1000</f>
        <v>1.7200000000000001E-5</v>
      </c>
    </row>
    <row r="424" spans="1:5" x14ac:dyDescent="0.25">
      <c r="A424" s="162" t="s">
        <v>511</v>
      </c>
      <c r="B424" s="162"/>
    </row>
    <row r="425" spans="1:5" x14ac:dyDescent="0.25">
      <c r="A425" s="455" t="s">
        <v>499</v>
      </c>
      <c r="B425" s="113">
        <v>12000</v>
      </c>
      <c r="C425" s="482" t="s">
        <v>498</v>
      </c>
    </row>
    <row r="426" spans="1:5" x14ac:dyDescent="0.25">
      <c r="A426" s="455" t="s">
        <v>500</v>
      </c>
      <c r="B426" s="460">
        <v>6.33</v>
      </c>
      <c r="C426" s="482" t="s">
        <v>501</v>
      </c>
    </row>
    <row r="427" spans="1:5" x14ac:dyDescent="0.25">
      <c r="A427" s="456" t="s">
        <v>502</v>
      </c>
      <c r="B427" s="113">
        <f>B425/B426</f>
        <v>1895.7345971563982</v>
      </c>
    </row>
    <row r="428" spans="1:5" x14ac:dyDescent="0.25">
      <c r="A428" s="447" t="s">
        <v>810</v>
      </c>
      <c r="B428" s="447">
        <f>(B441+(B426*C441*C440)+(B426*D441*D440))*B10</f>
        <v>22.52891408006008</v>
      </c>
    </row>
    <row r="429" spans="1:5" x14ac:dyDescent="0.25">
      <c r="A429" s="343"/>
      <c r="B429" s="343"/>
    </row>
    <row r="430" spans="1:5" x14ac:dyDescent="0.25">
      <c r="A430" s="162" t="s">
        <v>512</v>
      </c>
      <c r="B430" s="162"/>
    </row>
    <row r="431" spans="1:5" x14ac:dyDescent="0.25">
      <c r="A431" s="455" t="s">
        <v>504</v>
      </c>
      <c r="B431" s="461">
        <v>0.3</v>
      </c>
      <c r="C431" s="482" t="s">
        <v>503</v>
      </c>
    </row>
    <row r="432" spans="1:5" x14ac:dyDescent="0.25">
      <c r="A432" s="455" t="s">
        <v>505</v>
      </c>
      <c r="B432" s="460">
        <f>B426*(1+B431)</f>
        <v>8.229000000000001</v>
      </c>
    </row>
    <row r="433" spans="1:4" x14ac:dyDescent="0.25">
      <c r="A433" s="456" t="s">
        <v>502</v>
      </c>
      <c r="B433" s="113">
        <f>B425/B432</f>
        <v>1458.2573824279984</v>
      </c>
    </row>
    <row r="434" spans="1:4" x14ac:dyDescent="0.25">
      <c r="A434" s="459" t="s">
        <v>811</v>
      </c>
      <c r="B434" s="459">
        <f>(B441+(B432*C441*C440)+(B432*D441*D440))*B10</f>
        <v>22.534837244078101</v>
      </c>
      <c r="D434" s="479"/>
    </row>
    <row r="435" spans="1:4" x14ac:dyDescent="0.25">
      <c r="A435" s="343"/>
      <c r="B435" s="343"/>
    </row>
    <row r="436" spans="1:4" x14ac:dyDescent="0.25">
      <c r="A436" s="481" t="s">
        <v>812</v>
      </c>
      <c r="B436" s="460">
        <f>IFERROR((B441+(Transportation!D59*C441*C440)+(Transportation!D59*D441*D440))*B10,0)</f>
        <v>22.5091702</v>
      </c>
    </row>
    <row r="437" spans="1:4" x14ac:dyDescent="0.25">
      <c r="B437" s="343"/>
    </row>
    <row r="438" spans="1:4" x14ac:dyDescent="0.25">
      <c r="A438" s="484"/>
      <c r="B438" s="70" t="s">
        <v>506</v>
      </c>
      <c r="C438" s="70"/>
      <c r="D438" s="70"/>
    </row>
    <row r="439" spans="1:4" x14ac:dyDescent="0.25">
      <c r="A439" s="70" t="s">
        <v>487</v>
      </c>
      <c r="B439" s="70" t="s">
        <v>346</v>
      </c>
      <c r="C439" s="70" t="s">
        <v>485</v>
      </c>
      <c r="D439" s="70" t="s">
        <v>486</v>
      </c>
    </row>
    <row r="440" spans="1:4" x14ac:dyDescent="0.25">
      <c r="A440" s="481" t="s">
        <v>15</v>
      </c>
      <c r="B440" s="480">
        <v>1</v>
      </c>
      <c r="C440" s="480">
        <v>265</v>
      </c>
      <c r="D440" s="480">
        <v>28</v>
      </c>
    </row>
    <row r="441" spans="1:4" x14ac:dyDescent="0.25">
      <c r="A441" s="481" t="s">
        <v>488</v>
      </c>
      <c r="B441" s="480">
        <v>10.210000000000001</v>
      </c>
      <c r="C441" s="480">
        <f>0.0048/1000</f>
        <v>4.7999999999999998E-6</v>
      </c>
      <c r="D441" s="480">
        <f>0.0051/1000</f>
        <v>5.1000000000000003E-6</v>
      </c>
    </row>
    <row r="445" spans="1:4" x14ac:dyDescent="0.25">
      <c r="A445" s="162" t="s">
        <v>513</v>
      </c>
      <c r="B445" s="162"/>
    </row>
    <row r="446" spans="1:4" x14ac:dyDescent="0.25">
      <c r="A446" s="433" t="s">
        <v>508</v>
      </c>
      <c r="B446" s="161">
        <v>11244</v>
      </c>
      <c r="C446" s="482" t="s">
        <v>507</v>
      </c>
    </row>
    <row r="447" spans="1:4" x14ac:dyDescent="0.25">
      <c r="A447" s="462" t="s">
        <v>483</v>
      </c>
      <c r="B447" s="462">
        <f>B416</f>
        <v>25.29</v>
      </c>
      <c r="C447" s="482" t="s">
        <v>484</v>
      </c>
    </row>
    <row r="448" spans="1:4" x14ac:dyDescent="0.25">
      <c r="A448" s="456" t="s">
        <v>502</v>
      </c>
      <c r="B448" s="113">
        <f>B446/B447</f>
        <v>444.60260972716492</v>
      </c>
    </row>
    <row r="449" spans="1:3" x14ac:dyDescent="0.25">
      <c r="A449" s="447" t="s">
        <v>801</v>
      </c>
      <c r="B449" s="447">
        <f>(B422+(B447*C422*C421)+(B447*D422*D421))*B10</f>
        <v>19.439560254526274</v>
      </c>
    </row>
    <row r="450" spans="1:3" x14ac:dyDescent="0.25">
      <c r="A450" s="343"/>
      <c r="B450" s="343"/>
    </row>
    <row r="451" spans="1:3" x14ac:dyDescent="0.25">
      <c r="A451" s="343"/>
      <c r="B451" s="343"/>
    </row>
    <row r="452" spans="1:3" x14ac:dyDescent="0.25">
      <c r="A452" s="162" t="s">
        <v>514</v>
      </c>
      <c r="B452" s="162"/>
    </row>
    <row r="453" spans="1:3" x14ac:dyDescent="0.25">
      <c r="A453" s="485" t="s">
        <v>509</v>
      </c>
      <c r="B453" s="485">
        <v>50</v>
      </c>
      <c r="C453" s="482" t="s">
        <v>510</v>
      </c>
    </row>
    <row r="454" spans="1:3" x14ac:dyDescent="0.25">
      <c r="A454" s="528" t="s">
        <v>502</v>
      </c>
      <c r="B454" s="529">
        <f>B446/B453</f>
        <v>224.88</v>
      </c>
    </row>
    <row r="455" spans="1:3" x14ac:dyDescent="0.25">
      <c r="A455" s="480" t="s">
        <v>813</v>
      </c>
      <c r="B455" s="480">
        <f>(B422+(B453*C422*C421)+(B453*D422*D421))*B10</f>
        <v>19.520653466599995</v>
      </c>
    </row>
    <row r="458" spans="1:3" x14ac:dyDescent="0.25">
      <c r="A458" s="481" t="s">
        <v>812</v>
      </c>
      <c r="B458" s="530">
        <f>IFERROR((B422+(Transportation!D61*C422*C421)+(Transportation!D61*D422*D421))*B10,0)</f>
        <v>19.356563599999998</v>
      </c>
    </row>
  </sheetData>
  <sortState ref="A358:D394">
    <sortCondition ref="B358"/>
  </sortState>
  <mergeCells count="1">
    <mergeCell ref="A69:A79"/>
  </mergeCells>
  <dataValidations count="2">
    <dataValidation allowBlank="1" showInputMessage="1" showErrorMessage="1" prompt="Users can compare ENERGY STAR bulbs to incandescent bulbs or to a new type of halogen bulbs that have similar light output to incandescents but slightly lower wattage due to new Federal standards. _x000a__x000a_Learn more using the link below about EISA." sqref="A68:A79"/>
    <dataValidation allowBlank="1" showInputMessage="1" showErrorMessage="1" prompt="This section contains the options available in the pull-down menus on the INPUTS tab.  You can modify the options here, or modify the selection on the INPUTS tab." sqref="B68:J79"/>
  </dataValidations>
  <hyperlinks>
    <hyperlink ref="C35" r:id="rId1" location="/topic/7?agg=0,1&amp;geo=g00000000001&amp;endsec=vg&amp;linechart=ELEC.PRICE.US-ALL.A&amp;columnchart=ELEC.PRICE.US-ALL.A&amp;map=ELEC.PRICE.US-ALL.A&amp;freq=A&amp;ctype=linechart&amp;ltype=pin&amp;rtype=s&amp;pin=&amp;rse=0&amp;maptype=0"/>
    <hyperlink ref="C41" r:id="rId2"/>
    <hyperlink ref="A59" r:id="rId3"/>
    <hyperlink ref="A60" r:id="rId4"/>
    <hyperlink ref="F97" r:id="rId5"/>
    <hyperlink ref="C43" r:id="rId6"/>
    <hyperlink ref="C38" r:id="rId7"/>
    <hyperlink ref="C62" r:id="rId8"/>
    <hyperlink ref="C63" r:id="rId9"/>
    <hyperlink ref="C64" r:id="rId10"/>
    <hyperlink ref="C119" r:id="rId11"/>
    <hyperlink ref="C122" r:id="rId12"/>
    <hyperlink ref="C131" r:id="rId13"/>
    <hyperlink ref="D144" r:id="rId14"/>
    <hyperlink ref="D142" r:id="rId15"/>
    <hyperlink ref="D141" r:id="rId16"/>
    <hyperlink ref="D139" r:id="rId17"/>
    <hyperlink ref="G139" r:id="rId18"/>
    <hyperlink ref="D143" r:id="rId19"/>
    <hyperlink ref="D137" r:id="rId20"/>
    <hyperlink ref="D158" r:id="rId21"/>
    <hyperlink ref="D159" r:id="rId22"/>
    <hyperlink ref="D160" r:id="rId23"/>
    <hyperlink ref="C168" r:id="rId24"/>
    <hyperlink ref="C179" r:id="rId25"/>
    <hyperlink ref="D192" r:id="rId26"/>
    <hyperlink ref="F199" r:id="rId27"/>
    <hyperlink ref="F207" r:id="rId28"/>
    <hyperlink ref="C210" r:id="rId29"/>
    <hyperlink ref="C216" r:id="rId30"/>
    <hyperlink ref="C215" r:id="rId31"/>
    <hyperlink ref="D218" r:id="rId32"/>
    <hyperlink ref="D219" r:id="rId33"/>
    <hyperlink ref="C222" r:id="rId34"/>
    <hyperlink ref="C227" r:id="rId35"/>
    <hyperlink ref="C132" r:id="rId36"/>
    <hyperlink ref="C231" r:id="rId37"/>
    <hyperlink ref="C232" r:id="rId38"/>
    <hyperlink ref="C235" r:id="rId39"/>
    <hyperlink ref="C238" r:id="rId40"/>
    <hyperlink ref="C237" r:id="rId41"/>
    <hyperlink ref="C236" r:id="rId42"/>
    <hyperlink ref="C240" r:id="rId43"/>
    <hyperlink ref="C244" r:id="rId44" location=".XRvuOOhKjcs"/>
    <hyperlink ref="H253" r:id="rId45"/>
    <hyperlink ref="C254" r:id="rId46"/>
    <hyperlink ref="C256" r:id="rId47"/>
    <hyperlink ref="C267" r:id="rId48"/>
    <hyperlink ref="C278" r:id="rId49"/>
    <hyperlink ref="C253" r:id="rId50"/>
    <hyperlink ref="D271" r:id="rId51"/>
    <hyperlink ref="C283" r:id="rId52"/>
    <hyperlink ref="C290" r:id="rId53"/>
    <hyperlink ref="C287" r:id="rId54"/>
    <hyperlink ref="C298" r:id="rId55"/>
    <hyperlink ref="C293" r:id="rId56"/>
    <hyperlink ref="C295" r:id="rId57"/>
    <hyperlink ref="C303" r:id="rId58"/>
    <hyperlink ref="C304" r:id="rId59"/>
    <hyperlink ref="C319" r:id="rId60"/>
    <hyperlink ref="C323" r:id="rId61"/>
    <hyperlink ref="C324:C327" r:id="rId62" display="https://www.asla.org/raingardens.aspx"/>
    <hyperlink ref="D319" r:id="rId63"/>
    <hyperlink ref="D317" r:id="rId64"/>
    <hyperlink ref="C330" r:id="rId65"/>
    <hyperlink ref="C331" r:id="rId66"/>
    <hyperlink ref="D338" r:id="rId67"/>
    <hyperlink ref="D339" r:id="rId68"/>
    <hyperlink ref="D341" r:id="rId69"/>
    <hyperlink ref="D340" r:id="rId70"/>
    <hyperlink ref="C349" r:id="rId71"/>
    <hyperlink ref="C350" r:id="rId72"/>
    <hyperlink ref="C355" r:id="rId73"/>
    <hyperlink ref="C403" r:id="rId74"/>
    <hyperlink ref="C416" r:id="rId75"/>
    <hyperlink ref="C268" r:id="rId76"/>
    <hyperlink ref="C413" r:id="rId77"/>
    <hyperlink ref="E419" r:id="rId78"/>
    <hyperlink ref="F409" r:id="rId79"/>
    <hyperlink ref="C425" r:id="rId80"/>
    <hyperlink ref="C426" r:id="rId81"/>
    <hyperlink ref="C431" r:id="rId82"/>
    <hyperlink ref="C446" r:id="rId83"/>
    <hyperlink ref="C447" r:id="rId84"/>
    <hyperlink ref="C453" r:id="rId85"/>
    <hyperlink ref="C352" r:id="rId86"/>
    <hyperlink ref="C414" r:id="rId87"/>
    <hyperlink ref="C262" r:id="rId88"/>
    <hyperlink ref="C334" r:id="rId89"/>
    <hyperlink ref="C182" r:id="rId90"/>
    <hyperlink ref="C185" r:id="rId91"/>
    <hyperlink ref="C186" r:id="rId92" display="https://www.webstaurantstore.com/genpak-10500-10-3-8-x-8-3-8-x-1-3-16-5-compartment-white-foam-school-tray-case/37410500    WHITE.html"/>
    <hyperlink ref="C187" r:id="rId93"/>
    <hyperlink ref="C190" r:id="rId94"/>
    <hyperlink ref="C246" r:id="rId95"/>
    <hyperlink ref="C247" r:id="rId96"/>
  </hyperlinks>
  <pageMargins left="0.7" right="0.7" top="0.75" bottom="0.75" header="0.3" footer="0.3"/>
  <pageSetup orientation="portrait" horizontalDpi="360" verticalDpi="360" r:id="rId97"/>
  <drawing r:id="rId98"/>
  <legacyDrawing r:id="rId9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zoomScaleNormal="100" workbookViewId="0">
      <selection activeCell="B18" sqref="B18"/>
    </sheetView>
  </sheetViews>
  <sheetFormatPr defaultColWidth="8.85546875" defaultRowHeight="15" x14ac:dyDescent="0.25"/>
  <cols>
    <col min="1" max="1" width="21" style="473" bestFit="1" customWidth="1"/>
    <col min="2" max="2" width="154.42578125" style="473" customWidth="1"/>
    <col min="3" max="16384" width="8.85546875" style="473"/>
  </cols>
  <sheetData>
    <row r="1" spans="1:2" ht="51" customHeight="1" x14ac:dyDescent="0.35">
      <c r="A1" s="464" t="s">
        <v>147</v>
      </c>
      <c r="B1" s="47"/>
    </row>
    <row r="2" spans="1:2" ht="15.75" thickBot="1" x14ac:dyDescent="0.3">
      <c r="A2" s="312" t="s">
        <v>148</v>
      </c>
      <c r="B2" s="312" t="s">
        <v>149</v>
      </c>
    </row>
    <row r="3" spans="1:2" ht="15.75" thickBot="1" x14ac:dyDescent="0.3">
      <c r="A3" s="313" t="s">
        <v>686</v>
      </c>
      <c r="B3" s="314"/>
    </row>
    <row r="4" spans="1:2" ht="30" x14ac:dyDescent="0.25">
      <c r="A4" s="531" t="s">
        <v>673</v>
      </c>
      <c r="B4" s="532" t="s">
        <v>764</v>
      </c>
    </row>
    <row r="5" spans="1:2" x14ac:dyDescent="0.25">
      <c r="A5" s="531" t="s">
        <v>674</v>
      </c>
      <c r="B5" s="532" t="s">
        <v>765</v>
      </c>
    </row>
    <row r="6" spans="1:2" ht="30" x14ac:dyDescent="0.25">
      <c r="A6" s="531" t="s">
        <v>581</v>
      </c>
      <c r="B6" s="533" t="s">
        <v>742</v>
      </c>
    </row>
    <row r="7" spans="1:2" ht="15.75" thickBot="1" x14ac:dyDescent="0.3">
      <c r="A7" s="531" t="s">
        <v>737</v>
      </c>
      <c r="B7" s="533" t="s">
        <v>738</v>
      </c>
    </row>
    <row r="8" spans="1:2" ht="15.75" thickBot="1" x14ac:dyDescent="0.3">
      <c r="A8" s="313" t="s">
        <v>687</v>
      </c>
      <c r="B8" s="235"/>
    </row>
    <row r="9" spans="1:2" x14ac:dyDescent="0.25">
      <c r="A9" s="531" t="s">
        <v>692</v>
      </c>
      <c r="B9" s="532" t="s">
        <v>760</v>
      </c>
    </row>
    <row r="10" spans="1:2" x14ac:dyDescent="0.25">
      <c r="A10" s="531" t="s">
        <v>693</v>
      </c>
      <c r="B10" s="532" t="s">
        <v>761</v>
      </c>
    </row>
    <row r="11" spans="1:2" ht="30" x14ac:dyDescent="0.25">
      <c r="A11" s="531" t="s">
        <v>694</v>
      </c>
      <c r="B11" s="532" t="s">
        <v>762</v>
      </c>
    </row>
    <row r="12" spans="1:2" ht="15.75" thickBot="1" x14ac:dyDescent="0.3">
      <c r="A12" s="531" t="s">
        <v>145</v>
      </c>
      <c r="B12" s="532" t="s">
        <v>146</v>
      </c>
    </row>
    <row r="13" spans="1:2" ht="15.75" thickBot="1" x14ac:dyDescent="0.3">
      <c r="A13" s="313" t="s">
        <v>688</v>
      </c>
      <c r="B13" s="235"/>
    </row>
    <row r="14" spans="1:2" ht="45" x14ac:dyDescent="0.25">
      <c r="A14" s="531" t="s">
        <v>579</v>
      </c>
      <c r="B14" s="533" t="s">
        <v>766</v>
      </c>
    </row>
    <row r="15" spans="1:2" x14ac:dyDescent="0.25">
      <c r="A15" s="531" t="s">
        <v>582</v>
      </c>
      <c r="B15" s="473" t="s">
        <v>767</v>
      </c>
    </row>
    <row r="16" spans="1:2" x14ac:dyDescent="0.25">
      <c r="A16" s="531" t="s">
        <v>685</v>
      </c>
      <c r="B16" s="532" t="s">
        <v>684</v>
      </c>
    </row>
    <row r="17" spans="1:2" ht="30" x14ac:dyDescent="0.25">
      <c r="A17" s="531" t="s">
        <v>578</v>
      </c>
      <c r="B17" s="533" t="s">
        <v>666</v>
      </c>
    </row>
    <row r="18" spans="1:2" ht="99.75" customHeight="1" x14ac:dyDescent="0.25">
      <c r="A18" s="531" t="s">
        <v>580</v>
      </c>
      <c r="B18" s="532" t="s">
        <v>667</v>
      </c>
    </row>
    <row r="19" spans="1:2" ht="15.75" thickBot="1" x14ac:dyDescent="0.3">
      <c r="A19" s="531" t="s">
        <v>583</v>
      </c>
      <c r="B19" s="533" t="s">
        <v>768</v>
      </c>
    </row>
    <row r="20" spans="1:2" ht="15.75" thickBot="1" x14ac:dyDescent="0.3">
      <c r="A20" s="313" t="s">
        <v>689</v>
      </c>
      <c r="B20" s="235"/>
    </row>
    <row r="21" spans="1:2" ht="30.75" thickBot="1" x14ac:dyDescent="0.3">
      <c r="A21" s="531" t="s">
        <v>577</v>
      </c>
      <c r="B21" s="533" t="s">
        <v>769</v>
      </c>
    </row>
    <row r="22" spans="1:2" ht="15.75" thickBot="1" x14ac:dyDescent="0.3">
      <c r="A22" s="313" t="s">
        <v>690</v>
      </c>
      <c r="B22" s="235"/>
    </row>
    <row r="23" spans="1:2" ht="15.75" thickBot="1" x14ac:dyDescent="0.3">
      <c r="A23" s="531" t="s">
        <v>575</v>
      </c>
      <c r="B23" s="532" t="s">
        <v>763</v>
      </c>
    </row>
    <row r="24" spans="1:2" ht="15.75" thickBot="1" x14ac:dyDescent="0.3">
      <c r="A24" s="313" t="s">
        <v>691</v>
      </c>
      <c r="B24" s="235"/>
    </row>
    <row r="25" spans="1:2" x14ac:dyDescent="0.25">
      <c r="A25" s="531" t="s">
        <v>573</v>
      </c>
      <c r="B25" s="532" t="s">
        <v>664</v>
      </c>
    </row>
    <row r="26" spans="1:2" ht="15.75" thickBot="1" x14ac:dyDescent="0.3">
      <c r="A26" s="531" t="s">
        <v>563</v>
      </c>
      <c r="B26" s="532" t="s">
        <v>665</v>
      </c>
    </row>
    <row r="27" spans="1:2" ht="15.75" thickBot="1" x14ac:dyDescent="0.3">
      <c r="A27" s="313" t="s">
        <v>705</v>
      </c>
      <c r="B27" s="235"/>
    </row>
    <row r="28" spans="1:2" x14ac:dyDescent="0.25">
      <c r="A28" s="534" t="s">
        <v>707</v>
      </c>
      <c r="B28" s="473" t="s">
        <v>706</v>
      </c>
    </row>
    <row r="29" spans="1:2" x14ac:dyDescent="0.25">
      <c r="A29" s="531" t="s">
        <v>710</v>
      </c>
      <c r="B29" s="473" t="s">
        <v>709</v>
      </c>
    </row>
    <row r="30" spans="1:2" x14ac:dyDescent="0.25">
      <c r="A30" s="531"/>
    </row>
    <row r="31" spans="1:2" x14ac:dyDescent="0.25">
      <c r="A31" s="531"/>
    </row>
    <row r="32" spans="1:2" x14ac:dyDescent="0.25">
      <c r="A32" s="531"/>
    </row>
    <row r="33" spans="1:1" x14ac:dyDescent="0.25">
      <c r="A33" s="531"/>
    </row>
    <row r="34" spans="1:1" x14ac:dyDescent="0.25">
      <c r="A34" s="53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DDE65C8B00B3429C75CC114B86823C" ma:contentTypeVersion="13" ma:contentTypeDescription="Create a new document." ma:contentTypeScope="" ma:versionID="b44a6d0917a33df5254c6ce91458a62c">
  <xsd:schema xmlns:xsd="http://www.w3.org/2001/XMLSchema" xmlns:xs="http://www.w3.org/2001/XMLSchema" xmlns:p="http://schemas.microsoft.com/office/2006/metadata/properties" xmlns:ns3="9fe3a2b7-9914-41d0-9d70-37ec3303423b" xmlns:ns4="6e0fc790-2f0b-4093-80ff-7e6cca427b75" targetNamespace="http://schemas.microsoft.com/office/2006/metadata/properties" ma:root="true" ma:fieldsID="0178ff48b5251f90c03fce9f6c4431f0" ns3:_="" ns4:_="">
    <xsd:import namespace="9fe3a2b7-9914-41d0-9d70-37ec3303423b"/>
    <xsd:import namespace="6e0fc790-2f0b-4093-80ff-7e6cca427b7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3a2b7-9914-41d0-9d70-37ec330342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0fc790-2f0b-4093-80ff-7e6cca427b7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7BB5F3-716C-4290-B2E8-9D7103C50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3a2b7-9914-41d0-9d70-37ec3303423b"/>
    <ds:schemaRef ds:uri="6e0fc790-2f0b-4093-80ff-7e6cca427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8EA8C6-1470-4F6B-88CE-00CE6E9B5A69}">
  <ds:schemaRefs>
    <ds:schemaRef ds:uri="http://schemas.microsoft.com/sharepoint/v3/contenttype/forms"/>
  </ds:schemaRefs>
</ds:datastoreItem>
</file>

<file path=customXml/itemProps3.xml><?xml version="1.0" encoding="utf-8"?>
<ds:datastoreItem xmlns:ds="http://schemas.openxmlformats.org/officeDocument/2006/customXml" ds:itemID="{412E79AB-75D2-4047-99C9-5ABA7C93F4B1}">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e0fc790-2f0b-4093-80ff-7e6cca427b75"/>
    <ds:schemaRef ds:uri="9fe3a2b7-9914-41d0-9d70-37ec3303423b"/>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30</vt:i4>
      </vt:variant>
    </vt:vector>
  </HeadingPairs>
  <TitlesOfParts>
    <vt:vector size="40" baseType="lpstr">
      <vt:lpstr>Introduction</vt:lpstr>
      <vt:lpstr>Energy</vt:lpstr>
      <vt:lpstr>Water</vt:lpstr>
      <vt:lpstr>Healthy School Buildings</vt:lpstr>
      <vt:lpstr>Waste and Recycling</vt:lpstr>
      <vt:lpstr>Transportation</vt:lpstr>
      <vt:lpstr>School Grounds &amp; Gardens</vt:lpstr>
      <vt:lpstr>Results Summary</vt:lpstr>
      <vt:lpstr>Conversion factors</vt:lpstr>
      <vt:lpstr>Glossary</vt:lpstr>
      <vt:lpstr>'Waste and Recycling'!_edn3</vt:lpstr>
      <vt:lpstr>'Waste and Recycling'!_edn4</vt:lpstr>
      <vt:lpstr>'Waste and Recycling'!_edn5</vt:lpstr>
      <vt:lpstr>'Waste and Recycling'!_edn6</vt:lpstr>
      <vt:lpstr>'Waste and Recycling'!_edn7</vt:lpstr>
      <vt:lpstr>'School Grounds &amp; Gardens'!_ednref1</vt:lpstr>
      <vt:lpstr>'School Grounds &amp; Gardens'!_ednref10</vt:lpstr>
      <vt:lpstr>'School Grounds &amp; Gardens'!_ednref11</vt:lpstr>
      <vt:lpstr>'School Grounds &amp; Gardens'!_ednref12</vt:lpstr>
      <vt:lpstr>'School Grounds &amp; Gardens'!_ednref13</vt:lpstr>
      <vt:lpstr>'Waste and Recycling'!_ednref2</vt:lpstr>
      <vt:lpstr>'Waste and Recycling'!_ednref3</vt:lpstr>
      <vt:lpstr>'Waste and Recycling'!_ednref4</vt:lpstr>
      <vt:lpstr>'Waste and Recycling'!_ednref6</vt:lpstr>
      <vt:lpstr>'Waste and Recycling'!_ednref7</vt:lpstr>
      <vt:lpstr>'School Grounds &amp; Gardens'!_ednref8</vt:lpstr>
      <vt:lpstr>'School Grounds &amp; Gardens'!_ednref9</vt:lpstr>
      <vt:lpstr>'Healthy School Buildings'!_Hlk13060454</vt:lpstr>
      <vt:lpstr>Water!_Hlk13060473</vt:lpstr>
      <vt:lpstr>'Waste and Recycling'!_Hlk13669401</vt:lpstr>
      <vt:lpstr>'Waste and Recycling'!_Hlk13669419</vt:lpstr>
      <vt:lpstr>'Waste and Recycling'!_Hlk13669427</vt:lpstr>
      <vt:lpstr>'Waste and Recycling'!_Hlk13669450</vt:lpstr>
      <vt:lpstr>CFL_Lighting</vt:lpstr>
      <vt:lpstr>Halogen_Lighting</vt:lpstr>
      <vt:lpstr>Incandescent_Lighting</vt:lpstr>
      <vt:lpstr>Not_sure</vt:lpstr>
      <vt:lpstr>'Results Summary'!Print_Area</vt:lpstr>
      <vt:lpstr>Transportation!ProOne</vt:lpstr>
      <vt:lpstr>Select_from_the_list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Aniko</dc:creator>
  <cp:lastModifiedBy>Logsdon, Tresine</cp:lastModifiedBy>
  <cp:lastPrinted>2020-01-21T19:25:30Z</cp:lastPrinted>
  <dcterms:created xsi:type="dcterms:W3CDTF">2019-07-03T17:08:56Z</dcterms:created>
  <dcterms:modified xsi:type="dcterms:W3CDTF">2020-03-02T19:57:25Z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0x01010098DDE65C8B00B3429C75CC114B86823C</vt:lpwstr>
  </property>
</Properties>
</file>