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192.168.12.15/32202 - Yellow Springs Schools Facilities Committee/Budget Estimate/"/>
    </mc:Choice>
  </mc:AlternateContent>
  <xr:revisionPtr revIDLastSave="0" documentId="13_ncr:1_{99D3509D-EA96-F24B-836B-6E08808E6DA9}" xr6:coauthVersionLast="47" xr6:coauthVersionMax="47" xr10:uidLastSave="{00000000-0000-0000-0000-000000000000}"/>
  <bookViews>
    <workbookView xWindow="47100" yWindow="-260" windowWidth="38280" windowHeight="26820" xr2:uid="{25052BAC-05ED-584D-BDD7-B5A311881D33}"/>
  </bookViews>
  <sheets>
    <sheet name="Option A" sheetId="9" r:id="rId1"/>
    <sheet name="Option A (X and C Options)" sheetId="16" r:id="rId2"/>
    <sheet name="Option B2" sheetId="11" r:id="rId3"/>
    <sheet name="Option X2" sheetId="22" r:id="rId4"/>
    <sheet name="Option C6" sheetId="19" r:id="rId5"/>
    <sheet name="LFI sf totals" sheetId="14" r:id="rId6"/>
  </sheets>
  <definedNames>
    <definedName name="_xlnm.Print_Area" localSheetId="5">'LFI sf totals'!$A$1:$N$19</definedName>
    <definedName name="_xlnm.Print_Area" localSheetId="0">'Option A'!$A$1:$M$46</definedName>
    <definedName name="_xlnm.Print_Area" localSheetId="1">'Option A (X and C Options)'!$A$1:$M$22</definedName>
    <definedName name="_xlnm.Print_Area" localSheetId="2">'Option B2'!$A$1:$F$24</definedName>
    <definedName name="_xlnm.Print_Area" localSheetId="4">'Option C6'!$A$1:$F$40</definedName>
    <definedName name="_xlnm.Print_Area" localSheetId="3">'Option X2'!$A$1:$F$26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4" i="9" l="1"/>
  <c r="E46" i="9"/>
  <c r="E27" i="9"/>
  <c r="D8" i="9"/>
  <c r="B16" i="19"/>
  <c r="B16" i="22"/>
  <c r="B4" i="22"/>
  <c r="B16" i="11"/>
  <c r="B6" i="11"/>
  <c r="D14" i="22"/>
  <c r="D17" i="14"/>
  <c r="D15" i="14"/>
  <c r="D14" i="14"/>
  <c r="D13" i="14"/>
  <c r="D11" i="14"/>
  <c r="B15" i="22" l="1"/>
  <c r="B6" i="22"/>
  <c r="D25" i="22" s="1"/>
  <c r="D26" i="22" s="1"/>
  <c r="D6" i="22"/>
  <c r="D17" i="19"/>
  <c r="B4" i="19"/>
  <c r="B15" i="19"/>
  <c r="D6" i="19"/>
  <c r="D17" i="11"/>
  <c r="C15" i="11"/>
  <c r="D12" i="11"/>
  <c r="D11" i="11"/>
  <c r="C6" i="11"/>
  <c r="C6" i="22" l="1"/>
  <c r="C15" i="22" s="1"/>
  <c r="B7" i="22"/>
  <c r="C7" i="22" s="1"/>
  <c r="D17" i="22"/>
  <c r="C14" i="22"/>
  <c r="B14" i="22"/>
  <c r="D24" i="22" s="1"/>
  <c r="C9" i="22"/>
  <c r="B8" i="22"/>
  <c r="C8" i="22" s="1"/>
  <c r="C5" i="22"/>
  <c r="D4" i="22"/>
  <c r="D10" i="22" s="1"/>
  <c r="B6" i="19"/>
  <c r="C6" i="19" s="1"/>
  <c r="D4" i="19"/>
  <c r="D12" i="22" l="1"/>
  <c r="D11" i="22"/>
  <c r="D21" i="22" s="1"/>
  <c r="D15" i="22"/>
  <c r="D16" i="22"/>
  <c r="D24" i="11"/>
  <c r="D16" i="11"/>
  <c r="D21" i="11"/>
  <c r="D6" i="11"/>
  <c r="C4" i="11"/>
  <c r="E22" i="16"/>
  <c r="D10" i="14"/>
  <c r="D9" i="14"/>
  <c r="D8" i="14"/>
  <c r="D7" i="14"/>
  <c r="D6" i="14"/>
  <c r="D5" i="14"/>
  <c r="D4" i="14"/>
  <c r="D3" i="14"/>
  <c r="D2" i="14"/>
  <c r="N12" i="14"/>
  <c r="N11" i="14"/>
  <c r="N10" i="14"/>
  <c r="N9" i="14"/>
  <c r="N8" i="14"/>
  <c r="N7" i="14"/>
  <c r="N6" i="14"/>
  <c r="N5" i="14"/>
  <c r="N4" i="14"/>
  <c r="N3" i="14"/>
  <c r="N2" i="14"/>
  <c r="D25" i="19"/>
  <c r="D24" i="19"/>
  <c r="D16" i="19"/>
  <c r="D14" i="19"/>
  <c r="C14" i="19" s="1"/>
  <c r="D10" i="19"/>
  <c r="C9" i="19"/>
  <c r="B8" i="19"/>
  <c r="C8" i="19" s="1"/>
  <c r="B7" i="19"/>
  <c r="C7" i="19" s="1"/>
  <c r="C5" i="19"/>
  <c r="C5" i="11"/>
  <c r="D18" i="22" l="1"/>
  <c r="D20" i="22" s="1"/>
  <c r="C21" i="22" s="1"/>
  <c r="C15" i="19"/>
  <c r="D15" i="19" s="1"/>
  <c r="D12" i="19"/>
  <c r="N13" i="14"/>
  <c r="N16" i="14" s="1"/>
  <c r="D26" i="19"/>
  <c r="D18" i="19"/>
  <c r="D11" i="19"/>
  <c r="D22" i="22" l="1"/>
  <c r="C22" i="22" s="1"/>
  <c r="D22" i="19"/>
  <c r="N15" i="14"/>
  <c r="N17" i="14" s="1"/>
  <c r="N19" i="14" s="1"/>
  <c r="D20" i="19"/>
  <c r="C22" i="19" s="1"/>
  <c r="D21" i="19"/>
  <c r="C21" i="19" l="1"/>
  <c r="B7" i="11"/>
  <c r="I10" i="14" l="1"/>
  <c r="G22" i="9" l="1"/>
  <c r="G46" i="9"/>
  <c r="C46" i="9"/>
  <c r="C22" i="9"/>
  <c r="G22" i="16"/>
  <c r="K22" i="16" s="1"/>
  <c r="C22" i="16"/>
  <c r="M21" i="16"/>
  <c r="M20" i="16"/>
  <c r="M19" i="16"/>
  <c r="L18" i="16"/>
  <c r="G18" i="16"/>
  <c r="I18" i="16" s="1"/>
  <c r="M18" i="16" s="1"/>
  <c r="L17" i="16"/>
  <c r="G17" i="16"/>
  <c r="K17" i="16" s="1"/>
  <c r="E17" i="16"/>
  <c r="M16" i="16"/>
  <c r="I16" i="16"/>
  <c r="L15" i="16"/>
  <c r="K15" i="16"/>
  <c r="I15" i="16"/>
  <c r="L14" i="16"/>
  <c r="K14" i="16"/>
  <c r="M14" i="16"/>
  <c r="L12" i="16"/>
  <c r="K12" i="16"/>
  <c r="M12" i="16"/>
  <c r="L11" i="16"/>
  <c r="K11" i="16"/>
  <c r="M11" i="16"/>
  <c r="L10" i="16"/>
  <c r="K10" i="16"/>
  <c r="M10" i="16"/>
  <c r="K9" i="16"/>
  <c r="I9" i="16"/>
  <c r="M9" i="16" s="1"/>
  <c r="L9" i="16" s="1"/>
  <c r="D9" i="16"/>
  <c r="K8" i="16"/>
  <c r="I8" i="16"/>
  <c r="M8" i="16" s="1"/>
  <c r="L8" i="16" s="1"/>
  <c r="D8" i="16"/>
  <c r="K7" i="16"/>
  <c r="I7" i="16"/>
  <c r="H7" i="16"/>
  <c r="E7" i="16"/>
  <c r="M7" i="16" s="1"/>
  <c r="D7" i="16"/>
  <c r="L7" i="16" s="1"/>
  <c r="M9" i="9"/>
  <c r="I9" i="9"/>
  <c r="M8" i="9"/>
  <c r="I7" i="9"/>
  <c r="M7" i="9"/>
  <c r="K28" i="9"/>
  <c r="L28" i="9" s="1"/>
  <c r="I28" i="9"/>
  <c r="H28" i="9"/>
  <c r="D28" i="9"/>
  <c r="K27" i="9"/>
  <c r="L27" i="9" s="1"/>
  <c r="I27" i="9"/>
  <c r="H27" i="9"/>
  <c r="D27" i="9"/>
  <c r="L15" i="9"/>
  <c r="K15" i="9"/>
  <c r="I15" i="9"/>
  <c r="K9" i="9"/>
  <c r="D9" i="9"/>
  <c r="K8" i="9"/>
  <c r="K18" i="16" l="1"/>
  <c r="I17" i="16"/>
  <c r="M17" i="16" s="1"/>
  <c r="I22" i="16" l="1"/>
  <c r="H22" i="16" s="1"/>
  <c r="D22" i="16"/>
  <c r="M22" i="16" l="1"/>
  <c r="L22" i="16"/>
  <c r="I3" i="14" l="1"/>
  <c r="I4" i="14"/>
  <c r="I5" i="14"/>
  <c r="I6" i="14"/>
  <c r="I7" i="14"/>
  <c r="I8" i="14"/>
  <c r="I9" i="14"/>
  <c r="I2" i="14"/>
  <c r="G44" i="9"/>
  <c r="C44" i="9"/>
  <c r="M38" i="9"/>
  <c r="E38" i="9"/>
  <c r="M30" i="9"/>
  <c r="M29" i="9"/>
  <c r="M19" i="9"/>
  <c r="L10" i="9"/>
  <c r="K10" i="9"/>
  <c r="K14" i="9"/>
  <c r="E10" i="9"/>
  <c r="M10" i="9" s="1"/>
  <c r="I11" i="14" l="1"/>
  <c r="I13" i="14" s="1"/>
  <c r="I14" i="14"/>
  <c r="M43" i="9"/>
  <c r="L11" i="9"/>
  <c r="K11" i="9"/>
  <c r="M21" i="9"/>
  <c r="M20" i="9"/>
  <c r="E7" i="9"/>
  <c r="I15" i="14" l="1"/>
  <c r="I17" i="14" s="1"/>
  <c r="B15" i="11"/>
  <c r="E25" i="9"/>
  <c r="L39" i="9"/>
  <c r="I39" i="9"/>
  <c r="E39" i="9"/>
  <c r="E41" i="9"/>
  <c r="E17" i="9"/>
  <c r="E22" i="9" s="1"/>
  <c r="D22" i="9" l="1"/>
  <c r="M39" i="9"/>
  <c r="B8" i="11"/>
  <c r="C10" i="11"/>
  <c r="C9" i="11"/>
  <c r="K44" i="9"/>
  <c r="M42" i="9"/>
  <c r="L41" i="9"/>
  <c r="I41" i="9"/>
  <c r="M41" i="9" s="1"/>
  <c r="L40" i="9"/>
  <c r="I40" i="9"/>
  <c r="E40" i="9"/>
  <c r="L37" i="9"/>
  <c r="G37" i="9"/>
  <c r="I37" i="9" s="1"/>
  <c r="C37" i="9"/>
  <c r="K37" i="9" s="1"/>
  <c r="L36" i="9"/>
  <c r="K36" i="9"/>
  <c r="E36" i="9"/>
  <c r="M36" i="9" s="1"/>
  <c r="L34" i="9"/>
  <c r="K34" i="9"/>
  <c r="I34" i="9"/>
  <c r="M34" i="9" s="1"/>
  <c r="L33" i="9"/>
  <c r="K33" i="9"/>
  <c r="E33" i="9"/>
  <c r="M33" i="9" s="1"/>
  <c r="L32" i="9"/>
  <c r="K32" i="9"/>
  <c r="I32" i="9"/>
  <c r="M32" i="9" s="1"/>
  <c r="L31" i="9"/>
  <c r="K31" i="9"/>
  <c r="E31" i="9"/>
  <c r="M31" i="9" s="1"/>
  <c r="L26" i="9"/>
  <c r="K26" i="9"/>
  <c r="E26" i="9"/>
  <c r="M26" i="9" s="1"/>
  <c r="L25" i="9"/>
  <c r="K25" i="9"/>
  <c r="K24" i="9"/>
  <c r="I24" i="9"/>
  <c r="E24" i="9"/>
  <c r="K22" i="9"/>
  <c r="L18" i="9"/>
  <c r="G18" i="9"/>
  <c r="K18" i="9" s="1"/>
  <c r="L17" i="9"/>
  <c r="G17" i="9"/>
  <c r="K17" i="9" s="1"/>
  <c r="M16" i="9"/>
  <c r="I16" i="9"/>
  <c r="L14" i="9"/>
  <c r="I14" i="9"/>
  <c r="M14" i="9" s="1"/>
  <c r="L12" i="9"/>
  <c r="K12" i="9"/>
  <c r="I12" i="9"/>
  <c r="M12" i="9" s="1"/>
  <c r="I11" i="9"/>
  <c r="K7" i="9"/>
  <c r="H7" i="9"/>
  <c r="M11" i="9" l="1"/>
  <c r="H24" i="9"/>
  <c r="D7" i="9"/>
  <c r="L7" i="9" s="1"/>
  <c r="K46" i="9"/>
  <c r="M40" i="9"/>
  <c r="D24" i="9"/>
  <c r="L24" i="9" s="1"/>
  <c r="M24" i="9"/>
  <c r="C7" i="11"/>
  <c r="C8" i="11"/>
  <c r="D13" i="11"/>
  <c r="I18" i="9"/>
  <c r="M18" i="9" s="1"/>
  <c r="M25" i="9"/>
  <c r="E37" i="9"/>
  <c r="M37" i="9" s="1"/>
  <c r="I17" i="9"/>
  <c r="M17" i="9" s="1"/>
  <c r="D15" i="11" l="1"/>
  <c r="D18" i="11" s="1"/>
  <c r="D22" i="11" l="1"/>
  <c r="D20" i="11"/>
  <c r="C21" i="11" s="1"/>
  <c r="D44" i="9"/>
  <c r="C22" i="11" l="1"/>
  <c r="D46" i="9" l="1"/>
  <c r="I44" i="9" l="1"/>
  <c r="M44" i="9" s="1"/>
  <c r="L44" i="9" l="1"/>
  <c r="H44" i="9"/>
  <c r="I8" i="9"/>
  <c r="L8" i="9" l="1"/>
  <c r="I22" i="9"/>
  <c r="L9" i="9"/>
  <c r="H22" i="9" l="1"/>
  <c r="I46" i="9"/>
  <c r="H46" i="9" s="1"/>
  <c r="M22" i="9"/>
  <c r="L22" i="9" l="1"/>
  <c r="M46" i="9"/>
  <c r="L46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Mike Ruetschle</author>
  </authors>
  <commentList>
    <comment ref="B13" authorId="0" shapeId="0" xr:uid="{76222A18-0147-5B47-ADE0-F1D1700E9D05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350 student enrollment
</t>
        </r>
        <r>
          <rPr>
            <sz val="10"/>
            <color rgb="FF000000"/>
            <rFont val="Tahoma"/>
            <family val="2"/>
          </rPr>
          <t xml:space="preserve">Staff = 25 (guess)
</t>
        </r>
        <r>
          <rPr>
            <sz val="10"/>
            <color rgb="FF000000"/>
            <rFont val="Tahoma"/>
            <family val="2"/>
          </rPr>
          <t xml:space="preserve">total occupants = 375
</t>
        </r>
        <r>
          <rPr>
            <sz val="10"/>
            <color rgb="FF000000"/>
            <rFont val="Tahoma"/>
            <family val="2"/>
          </rPr>
          <t xml:space="preserve">sf per occupant = 5sf
</t>
        </r>
        <r>
          <rPr>
            <sz val="10"/>
            <color rgb="FF000000"/>
            <rFont val="Tahoma"/>
            <family val="2"/>
          </rPr>
          <t xml:space="preserve">sf required for occupants = 1,875
</t>
        </r>
        <r>
          <rPr>
            <sz val="10"/>
            <color rgb="FF000000"/>
            <rFont val="Tahoma"/>
            <family val="2"/>
          </rPr>
          <t xml:space="preserve">Wheelchair occupants 1 per 200 occupants
</t>
        </r>
        <r>
          <rPr>
            <sz val="10"/>
            <color rgb="FF000000"/>
            <rFont val="Tahoma"/>
            <family val="2"/>
          </rPr>
          <t xml:space="preserve">Additional sf required for wheelchair occupants at 10 sf / wheelchair occupant = 20
</t>
        </r>
        <r>
          <rPr>
            <sz val="10"/>
            <color rgb="FF000000"/>
            <rFont val="Tahoma"/>
            <family val="2"/>
          </rPr>
          <t xml:space="preserve">water closets required (1 wc / 250 occupants for first 500, 1 wc / 500 occupants for the rest)
</t>
        </r>
        <r>
          <rPr>
            <sz val="10"/>
            <color rgb="FF000000"/>
            <rFont val="Tahoma"/>
            <family val="2"/>
          </rPr>
          <t xml:space="preserve">sf required for water closets at 15 sf / wc = 30 sf
</t>
        </r>
        <r>
          <rPr>
            <sz val="10"/>
            <color rgb="FF000000"/>
            <rFont val="Tahoma"/>
            <family val="2"/>
          </rPr>
          <t xml:space="preserve">lavatories required (1 lavatory / 1000 occupants) 1
</t>
        </r>
        <r>
          <rPr>
            <sz val="10"/>
            <color rgb="FF000000"/>
            <rFont val="Tahoma"/>
            <family val="2"/>
          </rPr>
          <t xml:space="preserve">sf required for lavatories at 9 sf / lavatory = 9
</t>
        </r>
        <r>
          <rPr>
            <sz val="10"/>
            <color rgb="FF000000"/>
            <rFont val="Tahoma"/>
            <family val="2"/>
          </rPr>
          <t xml:space="preserve">required shelter sf = 1,934
</t>
        </r>
        <r>
          <rPr>
            <sz val="10"/>
            <color rgb="FF000000"/>
            <rFont val="Tahoma"/>
            <family val="2"/>
          </rPr>
          <t xml:space="preserve">usable space = 83%
</t>
        </r>
        <r>
          <rPr>
            <sz val="10"/>
            <color rgb="FF000000"/>
            <rFont val="Tahoma"/>
            <family val="2"/>
          </rPr>
          <t xml:space="preserve">required sf to allow for useless space (1 / 83% = 120%)
</t>
        </r>
        <r>
          <rPr>
            <sz val="10"/>
            <color rgb="FF000000"/>
            <rFont val="Tahoma"/>
            <family val="2"/>
          </rPr>
          <t xml:space="preserve">total required sf = 2,320.80 sf
</t>
        </r>
        <r>
          <rPr>
            <sz val="10"/>
            <color rgb="FF000000"/>
            <rFont val="Tahoma"/>
            <family val="2"/>
          </rPr>
          <t xml:space="preserve">sf cost @ $62.88 / sf hardened = $145,932
</t>
        </r>
        <r>
          <rPr>
            <sz val="10"/>
            <color rgb="FF000000"/>
            <rFont val="Tahoma"/>
            <family val="2"/>
          </rPr>
          <t xml:space="preserve">per review fees = $15,000
</t>
        </r>
        <r>
          <rPr>
            <sz val="10"/>
            <color rgb="FF000000"/>
            <rFont val="Tahoma"/>
            <family val="2"/>
          </rPr>
          <t xml:space="preserve">testing agency fees = $25,000
</t>
        </r>
        <r>
          <rPr>
            <sz val="10"/>
            <color rgb="FF000000"/>
            <rFont val="Tahoma"/>
            <family val="2"/>
          </rPr>
          <t xml:space="preserve">Storm shelter construction cost = $180,000 
</t>
        </r>
        <r>
          <rPr>
            <sz val="10"/>
            <color rgb="FF000000"/>
            <rFont val="Tahoma"/>
            <family val="2"/>
          </rPr>
          <t xml:space="preserve">x regional cost factor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E21" authorId="0" shapeId="0" xr:uid="{645B6487-EFB8-F546-8BCC-D50CB678972D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 classroom unit with restrooms
</t>
        </r>
        <r>
          <rPr>
            <sz val="10"/>
            <color rgb="FF000000"/>
            <rFont val="Tahoma"/>
            <family val="2"/>
          </rPr>
          <t xml:space="preserve">building = $23,269 per month for 12 months
</t>
        </r>
        <r>
          <rPr>
            <sz val="10"/>
            <color rgb="FF000000"/>
            <rFont val="Tahoma"/>
            <family val="2"/>
          </rPr>
          <t xml:space="preserve">ALuminum deck system = $650 per month for 12 months
</t>
        </r>
        <r>
          <rPr>
            <sz val="10"/>
            <color rgb="FF000000"/>
            <rFont val="Tahoma"/>
            <family val="2"/>
          </rPr>
          <t xml:space="preserve">Design delivery and installation = $379,068
</t>
        </r>
        <r>
          <rPr>
            <sz val="10"/>
            <color rgb="FF000000"/>
            <rFont val="Tahoma"/>
            <family val="2"/>
          </rPr>
          <t xml:space="preserve">Dismantle and Return = $126,472
</t>
        </r>
        <r>
          <rPr>
            <sz val="10"/>
            <color rgb="FF000000"/>
            <rFont val="Tahoma"/>
            <family val="2"/>
          </rPr>
          <t xml:space="preserve">Total = $792,568 
</t>
        </r>
        <r>
          <rPr>
            <sz val="10"/>
            <color rgb="FF000000"/>
            <rFont val="Tahoma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Tahoma"/>
            <family val="2"/>
          </rPr>
          <t xml:space="preserve">and add $250K for power, fire alarm, technology
</t>
        </r>
        <r>
          <rPr>
            <sz val="10"/>
            <color rgb="FF000000"/>
            <rFont val="Tahoma"/>
            <family val="2"/>
          </rPr>
          <t xml:space="preserve">$1,142,568
</t>
        </r>
        <r>
          <rPr>
            <sz val="10"/>
            <color rgb="FF000000"/>
            <rFont val="Tahoma"/>
            <family val="2"/>
          </rPr>
          <t xml:space="preserve">Add 10% supplemental fees and contingency = $1,256,825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8 classroom unit with restrooms
</t>
        </r>
        <r>
          <rPr>
            <sz val="10"/>
            <color rgb="FF000000"/>
            <rFont val="Calibri"/>
            <family val="2"/>
          </rPr>
          <t xml:space="preserve">building = $29,917 per month for 12 months
</t>
        </r>
        <r>
          <rPr>
            <sz val="10"/>
            <color rgb="FF000000"/>
            <rFont val="Calibri"/>
            <family val="2"/>
          </rPr>
          <t xml:space="preserve">ALuminum deck system = $650 per month for 12 months
</t>
        </r>
        <r>
          <rPr>
            <sz val="10"/>
            <color rgb="FF000000"/>
            <rFont val="Calibri"/>
            <family val="2"/>
          </rPr>
          <t xml:space="preserve">Design delivery and installation = $533,025
</t>
        </r>
        <r>
          <rPr>
            <sz val="10"/>
            <color rgb="FF000000"/>
            <rFont val="Calibri"/>
            <family val="2"/>
          </rPr>
          <t xml:space="preserve">Dismantle and Return = $162,606
</t>
        </r>
        <r>
          <rPr>
            <sz val="10"/>
            <color rgb="FF000000"/>
            <rFont val="Calibri"/>
            <family val="2"/>
          </rPr>
          <t xml:space="preserve">Total = 1,062,435
</t>
        </r>
        <r>
          <rPr>
            <sz val="10"/>
            <color rgb="FF000000"/>
            <rFont val="Calibri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Calibri"/>
            <family val="2"/>
          </rPr>
          <t xml:space="preserve">and add $250K for power, fire alarm, technology
</t>
        </r>
        <r>
          <rPr>
            <sz val="10"/>
            <color rgb="FF000000"/>
            <rFont val="Calibri"/>
            <family val="2"/>
          </rPr>
          <t xml:space="preserve">$1,412,435
</t>
        </r>
        <r>
          <rPr>
            <sz val="10"/>
            <color rgb="FF000000"/>
            <rFont val="Calibri"/>
            <family val="2"/>
          </rPr>
          <t xml:space="preserve">Add 10% supplemental fees and contingency = $1,553,678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I21" authorId="0" shapeId="0" xr:uid="{9BA0DC1E-3309-994E-BE16-8B2B57384FB8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 classroom unit with restrooms
</t>
        </r>
        <r>
          <rPr>
            <sz val="10"/>
            <color rgb="FF000000"/>
            <rFont val="Tahoma"/>
            <family val="2"/>
          </rPr>
          <t xml:space="preserve">building = $23,269 per month for 12 months
</t>
        </r>
        <r>
          <rPr>
            <sz val="10"/>
            <color rgb="FF000000"/>
            <rFont val="Tahoma"/>
            <family val="2"/>
          </rPr>
          <t xml:space="preserve">ALuminum deck system = $650 per month for 12 months
</t>
        </r>
        <r>
          <rPr>
            <sz val="10"/>
            <color rgb="FF000000"/>
            <rFont val="Tahoma"/>
            <family val="2"/>
          </rPr>
          <t xml:space="preserve">Design delivery and installation = $379,068
</t>
        </r>
        <r>
          <rPr>
            <sz val="10"/>
            <color rgb="FF000000"/>
            <rFont val="Tahoma"/>
            <family val="2"/>
          </rPr>
          <t xml:space="preserve">Dismantle and Return = $126,472
</t>
        </r>
        <r>
          <rPr>
            <sz val="10"/>
            <color rgb="FF000000"/>
            <rFont val="Tahoma"/>
            <family val="2"/>
          </rPr>
          <t xml:space="preserve">Total = $792,568 
</t>
        </r>
        <r>
          <rPr>
            <sz val="10"/>
            <color rgb="FF000000"/>
            <rFont val="Tahoma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Tahoma"/>
            <family val="2"/>
          </rPr>
          <t xml:space="preserve">and add $250K for power, fire alarm, technology
</t>
        </r>
        <r>
          <rPr>
            <sz val="10"/>
            <color rgb="FF000000"/>
            <rFont val="Tahoma"/>
            <family val="2"/>
          </rPr>
          <t xml:space="preserve">$1,142,568
</t>
        </r>
        <r>
          <rPr>
            <sz val="10"/>
            <color rgb="FF000000"/>
            <rFont val="Tahoma"/>
            <family val="2"/>
          </rPr>
          <t xml:space="preserve">Add 10% supplemental fees and contingency = $1,256,825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8 classroom unit with restrooms
</t>
        </r>
        <r>
          <rPr>
            <sz val="10"/>
            <color rgb="FF000000"/>
            <rFont val="Calibri"/>
            <family val="2"/>
          </rPr>
          <t xml:space="preserve">building = $29,917 per month for 12 months
</t>
        </r>
        <r>
          <rPr>
            <sz val="10"/>
            <color rgb="FF000000"/>
            <rFont val="Calibri"/>
            <family val="2"/>
          </rPr>
          <t xml:space="preserve">ALuminum deck system = $650 per month for 12 months
</t>
        </r>
        <r>
          <rPr>
            <sz val="10"/>
            <color rgb="FF000000"/>
            <rFont val="Calibri"/>
            <family val="2"/>
          </rPr>
          <t xml:space="preserve">Design delivery and installation = $533,025
</t>
        </r>
        <r>
          <rPr>
            <sz val="10"/>
            <color rgb="FF000000"/>
            <rFont val="Calibri"/>
            <family val="2"/>
          </rPr>
          <t xml:space="preserve">Dismantle and Return = $162,606
</t>
        </r>
        <r>
          <rPr>
            <sz val="10"/>
            <color rgb="FF000000"/>
            <rFont val="Calibri"/>
            <family val="2"/>
          </rPr>
          <t xml:space="preserve">Total = 1,062,435
</t>
        </r>
        <r>
          <rPr>
            <sz val="10"/>
            <color rgb="FF000000"/>
            <rFont val="Calibri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Calibri"/>
            <family val="2"/>
          </rPr>
          <t xml:space="preserve">and add $250K for power, fire alarm, technology
</t>
        </r>
        <r>
          <rPr>
            <sz val="10"/>
            <color rgb="FF000000"/>
            <rFont val="Calibri"/>
            <family val="2"/>
          </rPr>
          <t xml:space="preserve">$1,412,435
</t>
        </r>
        <r>
          <rPr>
            <sz val="10"/>
            <color rgb="FF000000"/>
            <rFont val="Calibri"/>
            <family val="2"/>
          </rPr>
          <t xml:space="preserve">Add 10% supplemental fees and contingency = $1,553,678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M21" authorId="0" shapeId="0" xr:uid="{718419AB-865D-CC43-AB02-115CB566BD3D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 classroom unit with restrooms
</t>
        </r>
        <r>
          <rPr>
            <sz val="10"/>
            <color rgb="FF000000"/>
            <rFont val="Tahoma"/>
            <family val="2"/>
          </rPr>
          <t xml:space="preserve">building = $23,269 per month for 12 months
</t>
        </r>
        <r>
          <rPr>
            <sz val="10"/>
            <color rgb="FF000000"/>
            <rFont val="Tahoma"/>
            <family val="2"/>
          </rPr>
          <t xml:space="preserve">ALuminum deck system = $650 per month for 12 months
</t>
        </r>
        <r>
          <rPr>
            <sz val="10"/>
            <color rgb="FF000000"/>
            <rFont val="Tahoma"/>
            <family val="2"/>
          </rPr>
          <t xml:space="preserve">Design delivery and installation = $379,068
</t>
        </r>
        <r>
          <rPr>
            <sz val="10"/>
            <color rgb="FF000000"/>
            <rFont val="Tahoma"/>
            <family val="2"/>
          </rPr>
          <t xml:space="preserve">Dismantle and Return = $126,472
</t>
        </r>
        <r>
          <rPr>
            <sz val="10"/>
            <color rgb="FF000000"/>
            <rFont val="Tahoma"/>
            <family val="2"/>
          </rPr>
          <t xml:space="preserve">Total = $792,568 
</t>
        </r>
        <r>
          <rPr>
            <sz val="10"/>
            <color rgb="FF000000"/>
            <rFont val="Tahoma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Tahoma"/>
            <family val="2"/>
          </rPr>
          <t xml:space="preserve">and add $250K for power, fire alarm, technology
</t>
        </r>
        <r>
          <rPr>
            <sz val="10"/>
            <color rgb="FF000000"/>
            <rFont val="Tahoma"/>
            <family val="2"/>
          </rPr>
          <t xml:space="preserve">$1,142,568
</t>
        </r>
        <r>
          <rPr>
            <sz val="10"/>
            <color rgb="FF000000"/>
            <rFont val="Tahoma"/>
            <family val="2"/>
          </rPr>
          <t xml:space="preserve">Add 10% supplemental fees and contingency = $1,256,825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8 classroom unit with restrooms
</t>
        </r>
        <r>
          <rPr>
            <sz val="10"/>
            <color rgb="FF000000"/>
            <rFont val="Calibri"/>
            <family val="2"/>
          </rPr>
          <t xml:space="preserve">building = $29,917 per month for 12 months
</t>
        </r>
        <r>
          <rPr>
            <sz val="10"/>
            <color rgb="FF000000"/>
            <rFont val="Calibri"/>
            <family val="2"/>
          </rPr>
          <t xml:space="preserve">ALuminum deck system = $650 per month for 12 months
</t>
        </r>
        <r>
          <rPr>
            <sz val="10"/>
            <color rgb="FF000000"/>
            <rFont val="Calibri"/>
            <family val="2"/>
          </rPr>
          <t xml:space="preserve">Design delivery and installation = $533,025
</t>
        </r>
        <r>
          <rPr>
            <sz val="10"/>
            <color rgb="FF000000"/>
            <rFont val="Calibri"/>
            <family val="2"/>
          </rPr>
          <t xml:space="preserve">Dismantle and Return = $162,606
</t>
        </r>
        <r>
          <rPr>
            <sz val="10"/>
            <color rgb="FF000000"/>
            <rFont val="Calibri"/>
            <family val="2"/>
          </rPr>
          <t xml:space="preserve">Total = 1,062,435
</t>
        </r>
        <r>
          <rPr>
            <sz val="10"/>
            <color rgb="FF000000"/>
            <rFont val="Calibri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Calibri"/>
            <family val="2"/>
          </rPr>
          <t xml:space="preserve">and add $250K for power, fire alarm, technology
</t>
        </r>
        <r>
          <rPr>
            <sz val="10"/>
            <color rgb="FF000000"/>
            <rFont val="Calibri"/>
            <family val="2"/>
          </rPr>
          <t xml:space="preserve">$1,412,435
</t>
        </r>
        <r>
          <rPr>
            <sz val="10"/>
            <color rgb="FF000000"/>
            <rFont val="Calibri"/>
            <family val="2"/>
          </rPr>
          <t xml:space="preserve">Add 10% supplemental fees and contingency = $1,553,678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E24" authorId="0" shapeId="0" xr:uid="{876B7998-02AB-8749-B5F3-9D5DD4E01A56}">
      <text>
        <r>
          <rPr>
            <sz val="10"/>
            <color rgb="FF000000"/>
            <rFont val="Calibri"/>
            <family val="2"/>
          </rPr>
          <t xml:space="preserve">20% increase to OFCC 2021 Assessment Report
</t>
        </r>
      </text>
    </comment>
    <comment ref="I24" authorId="0" shapeId="0" xr:uid="{0AA65896-DBD6-3444-B097-C559127032AA}">
      <text>
        <r>
          <rPr>
            <sz val="10"/>
            <color rgb="FF000000"/>
            <rFont val="Calibri"/>
            <family val="2"/>
          </rPr>
          <t xml:space="preserve">20% increase to OFCC 2021 Assessment Report
</t>
        </r>
      </text>
    </comment>
    <comment ref="M24" authorId="0" shapeId="0" xr:uid="{6A0F00E8-61A6-0C4A-9921-C502C9595747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20% increase to OFCC 2021 Assessment Report</t>
        </r>
      </text>
    </comment>
    <comment ref="E27" authorId="0" shapeId="0" xr:uid="{28962EA6-4C79-A544-B276-415BAFDD6844}">
      <text>
        <r>
          <rPr>
            <sz val="18"/>
            <color rgb="FF000000"/>
            <rFont val="Calibri"/>
            <family val="2"/>
            <scheme val="minor"/>
          </rPr>
          <t>Gym Roof. $1.16M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8"/>
            <color rgb="FF000000"/>
            <rFont val="Calibri"/>
            <family val="2"/>
            <scheme val="minor"/>
          </rPr>
          <t>Facade. $66K, $106K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8"/>
            <color rgb="FF000000"/>
            <rFont val="Calibri"/>
            <family val="2"/>
            <scheme val="minor"/>
          </rPr>
          <t>Delete $1.332M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M28" authorId="0" shapeId="0" xr:uid="{17A052CA-55A5-6F40-A778-4E160A5443CD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8,011,594 is the revised number with teh area reduction from not applying MEP upgrades to shoebox and band room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726,792 deduction is for reducing the electrical cost from $36/sf to $12/sf for the 2002 addition</t>
        </r>
      </text>
    </comment>
    <comment ref="B35" authorId="0" shapeId="0" xr:uid="{A77134A3-256F-3D4F-A667-A737A8E49F7B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350 student enrollment
</t>
        </r>
        <r>
          <rPr>
            <sz val="10"/>
            <color rgb="FF000000"/>
            <rFont val="Tahoma"/>
            <family val="2"/>
          </rPr>
          <t xml:space="preserve">Staff = 25 (guess)
</t>
        </r>
        <r>
          <rPr>
            <sz val="10"/>
            <color rgb="FF000000"/>
            <rFont val="Tahoma"/>
            <family val="2"/>
          </rPr>
          <t xml:space="preserve">total occupants = 375
</t>
        </r>
        <r>
          <rPr>
            <sz val="10"/>
            <color rgb="FF000000"/>
            <rFont val="Tahoma"/>
            <family val="2"/>
          </rPr>
          <t xml:space="preserve">sf per occupant = 5sf
</t>
        </r>
        <r>
          <rPr>
            <sz val="10"/>
            <color rgb="FF000000"/>
            <rFont val="Tahoma"/>
            <family val="2"/>
          </rPr>
          <t xml:space="preserve">sf required for occupants = 1,875
</t>
        </r>
        <r>
          <rPr>
            <sz val="10"/>
            <color rgb="FF000000"/>
            <rFont val="Tahoma"/>
            <family val="2"/>
          </rPr>
          <t xml:space="preserve">Wheelchair occupants 1 per 200 occupants
</t>
        </r>
        <r>
          <rPr>
            <sz val="10"/>
            <color rgb="FF000000"/>
            <rFont val="Tahoma"/>
            <family val="2"/>
          </rPr>
          <t xml:space="preserve">Additional sf required for wheelchair occupants at 10 sf / wheelchair occupant = 20
</t>
        </r>
        <r>
          <rPr>
            <sz val="10"/>
            <color rgb="FF000000"/>
            <rFont val="Tahoma"/>
            <family val="2"/>
          </rPr>
          <t xml:space="preserve">water closets required (1 wc / 250 occupants for first 500, 1 wc / 500 occupants for the rest)
</t>
        </r>
        <r>
          <rPr>
            <sz val="10"/>
            <color rgb="FF000000"/>
            <rFont val="Tahoma"/>
            <family val="2"/>
          </rPr>
          <t xml:space="preserve">sf required for water closets at 15 sf / wc = 30 sf
</t>
        </r>
        <r>
          <rPr>
            <sz val="10"/>
            <color rgb="FF000000"/>
            <rFont val="Tahoma"/>
            <family val="2"/>
          </rPr>
          <t xml:space="preserve">lavatories required (1 lavatory / 1000 occupants) 1
</t>
        </r>
        <r>
          <rPr>
            <sz val="10"/>
            <color rgb="FF000000"/>
            <rFont val="Tahoma"/>
            <family val="2"/>
          </rPr>
          <t xml:space="preserve">sf required for lavatories at 9 sf / lavatory = 9
</t>
        </r>
        <r>
          <rPr>
            <sz val="10"/>
            <color rgb="FF000000"/>
            <rFont val="Tahoma"/>
            <family val="2"/>
          </rPr>
          <t xml:space="preserve">required shelter sf = 1,934
</t>
        </r>
        <r>
          <rPr>
            <sz val="10"/>
            <color rgb="FF000000"/>
            <rFont val="Tahoma"/>
            <family val="2"/>
          </rPr>
          <t xml:space="preserve">usable space = 83%
</t>
        </r>
        <r>
          <rPr>
            <sz val="10"/>
            <color rgb="FF000000"/>
            <rFont val="Tahoma"/>
            <family val="2"/>
          </rPr>
          <t xml:space="preserve">required sf to allow for useless space (1 / 83% = 120%)
</t>
        </r>
        <r>
          <rPr>
            <sz val="10"/>
            <color rgb="FF000000"/>
            <rFont val="Tahoma"/>
            <family val="2"/>
          </rPr>
          <t xml:space="preserve">total required sf = 2,320.80 sf
</t>
        </r>
        <r>
          <rPr>
            <sz val="10"/>
            <color rgb="FF000000"/>
            <rFont val="Tahoma"/>
            <family val="2"/>
          </rPr>
          <t xml:space="preserve">sf cost @ $62.88 / sf hardened = $145,932
</t>
        </r>
        <r>
          <rPr>
            <sz val="10"/>
            <color rgb="FF000000"/>
            <rFont val="Tahoma"/>
            <family val="2"/>
          </rPr>
          <t xml:space="preserve">per review fees = $15,000
</t>
        </r>
        <r>
          <rPr>
            <sz val="10"/>
            <color rgb="FF000000"/>
            <rFont val="Tahoma"/>
            <family val="2"/>
          </rPr>
          <t xml:space="preserve">testing agency fees = $25,000
</t>
        </r>
        <r>
          <rPr>
            <sz val="10"/>
            <color rgb="FF000000"/>
            <rFont val="Tahoma"/>
            <family val="2"/>
          </rPr>
          <t xml:space="preserve">Storm shelter construction cost = $180,000 
</t>
        </r>
        <r>
          <rPr>
            <sz val="10"/>
            <color rgb="FF000000"/>
            <rFont val="Tahoma"/>
            <family val="2"/>
          </rPr>
          <t xml:space="preserve">x regional cost factor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D39" authorId="0" shapeId="0" xr:uid="{7E7583B2-ECD3-FD46-9BA9-CB035618B1EA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consider increasing to $75 to 
</t>
        </r>
        <r>
          <rPr>
            <sz val="10"/>
            <color rgb="FF000000"/>
            <rFont val="Tahoma"/>
            <family val="2"/>
          </rPr>
          <t>includes removal of the Kiva and expansion of serving into the classroom</t>
        </r>
      </text>
    </comment>
    <comment ref="E43" authorId="0" shapeId="0" xr:uid="{B12D28AA-DD20-C540-95B4-91D302F69C46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 classroom unit with restrooms
</t>
        </r>
        <r>
          <rPr>
            <sz val="10"/>
            <color rgb="FF000000"/>
            <rFont val="Tahoma"/>
            <family val="2"/>
          </rPr>
          <t xml:space="preserve">building = $23,269 per month for 12 months
</t>
        </r>
        <r>
          <rPr>
            <sz val="10"/>
            <color rgb="FF000000"/>
            <rFont val="Tahoma"/>
            <family val="2"/>
          </rPr>
          <t xml:space="preserve">ALuminum deck system = $650 per month for 12 months
</t>
        </r>
        <r>
          <rPr>
            <sz val="10"/>
            <color rgb="FF000000"/>
            <rFont val="Tahoma"/>
            <family val="2"/>
          </rPr>
          <t xml:space="preserve">Design delivery and installation = $379,068
</t>
        </r>
        <r>
          <rPr>
            <sz val="10"/>
            <color rgb="FF000000"/>
            <rFont val="Tahoma"/>
            <family val="2"/>
          </rPr>
          <t xml:space="preserve">Dismantle and Return = $126,472
</t>
        </r>
        <r>
          <rPr>
            <sz val="10"/>
            <color rgb="FF000000"/>
            <rFont val="Tahoma"/>
            <family val="2"/>
          </rPr>
          <t xml:space="preserve">Total = $792,568 
</t>
        </r>
        <r>
          <rPr>
            <sz val="10"/>
            <color rgb="FF000000"/>
            <rFont val="Tahoma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Tahoma"/>
            <family val="2"/>
          </rPr>
          <t xml:space="preserve">and add $250K for power, fire alarm, technology
</t>
        </r>
        <r>
          <rPr>
            <sz val="10"/>
            <color rgb="FF000000"/>
            <rFont val="Tahoma"/>
            <family val="2"/>
          </rPr>
          <t xml:space="preserve">$1,142,568
</t>
        </r>
        <r>
          <rPr>
            <sz val="10"/>
            <color rgb="FF000000"/>
            <rFont val="Tahoma"/>
            <family val="2"/>
          </rPr>
          <t xml:space="preserve">Add 10% supplemental fees and contingency = $1,256,825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8 classroom unit with restrooms
</t>
        </r>
        <r>
          <rPr>
            <sz val="10"/>
            <color rgb="FF000000"/>
            <rFont val="Calibri"/>
            <family val="2"/>
          </rPr>
          <t xml:space="preserve">building = $29,917 per month for 12 months
</t>
        </r>
        <r>
          <rPr>
            <sz val="10"/>
            <color rgb="FF000000"/>
            <rFont val="Calibri"/>
            <family val="2"/>
          </rPr>
          <t xml:space="preserve">ALuminum deck system = $650 per month for 12 months
</t>
        </r>
        <r>
          <rPr>
            <sz val="10"/>
            <color rgb="FF000000"/>
            <rFont val="Calibri"/>
            <family val="2"/>
          </rPr>
          <t xml:space="preserve">Design delivery and installation = $533,025
</t>
        </r>
        <r>
          <rPr>
            <sz val="10"/>
            <color rgb="FF000000"/>
            <rFont val="Calibri"/>
            <family val="2"/>
          </rPr>
          <t xml:space="preserve">Dismantle and Return = $162,606
</t>
        </r>
        <r>
          <rPr>
            <sz val="10"/>
            <color rgb="FF000000"/>
            <rFont val="Calibri"/>
            <family val="2"/>
          </rPr>
          <t xml:space="preserve">Total = 1,062,435
</t>
        </r>
        <r>
          <rPr>
            <sz val="10"/>
            <color rgb="FF000000"/>
            <rFont val="Calibri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Calibri"/>
            <family val="2"/>
          </rPr>
          <t xml:space="preserve">and add $250K for power, fire alarm, technology
</t>
        </r>
        <r>
          <rPr>
            <sz val="10"/>
            <color rgb="FF000000"/>
            <rFont val="Calibri"/>
            <family val="2"/>
          </rPr>
          <t xml:space="preserve">$1,412,435
</t>
        </r>
        <r>
          <rPr>
            <sz val="10"/>
            <color rgb="FF000000"/>
            <rFont val="Calibri"/>
            <family val="2"/>
          </rPr>
          <t xml:space="preserve">Add 10% supplemental fees and contingency = $1,553,678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I43" authorId="0" shapeId="0" xr:uid="{9A54DE56-C810-8A45-94D3-41B9092A9F7A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 classroom unit with restrooms
</t>
        </r>
        <r>
          <rPr>
            <sz val="10"/>
            <color rgb="FF000000"/>
            <rFont val="Tahoma"/>
            <family val="2"/>
          </rPr>
          <t xml:space="preserve">building = $23,269 per month for 12 months
</t>
        </r>
        <r>
          <rPr>
            <sz val="10"/>
            <color rgb="FF000000"/>
            <rFont val="Tahoma"/>
            <family val="2"/>
          </rPr>
          <t xml:space="preserve">ALuminum deck system = $650 per month for 12 months
</t>
        </r>
        <r>
          <rPr>
            <sz val="10"/>
            <color rgb="FF000000"/>
            <rFont val="Tahoma"/>
            <family val="2"/>
          </rPr>
          <t xml:space="preserve">Design delivery and installation = $379,068
</t>
        </r>
        <r>
          <rPr>
            <sz val="10"/>
            <color rgb="FF000000"/>
            <rFont val="Tahoma"/>
            <family val="2"/>
          </rPr>
          <t xml:space="preserve">Dismantle and Return = $126,472
</t>
        </r>
        <r>
          <rPr>
            <sz val="10"/>
            <color rgb="FF000000"/>
            <rFont val="Tahoma"/>
            <family val="2"/>
          </rPr>
          <t xml:space="preserve">Total = $792,568 
</t>
        </r>
        <r>
          <rPr>
            <sz val="10"/>
            <color rgb="FF000000"/>
            <rFont val="Tahoma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Tahoma"/>
            <family val="2"/>
          </rPr>
          <t xml:space="preserve">and add $250K for power, fire alarm, technology
</t>
        </r>
        <r>
          <rPr>
            <sz val="10"/>
            <color rgb="FF000000"/>
            <rFont val="Tahoma"/>
            <family val="2"/>
          </rPr>
          <t xml:space="preserve">$1,142,568
</t>
        </r>
        <r>
          <rPr>
            <sz val="10"/>
            <color rgb="FF000000"/>
            <rFont val="Tahoma"/>
            <family val="2"/>
          </rPr>
          <t xml:space="preserve">Add 10% supplemental fees and contingency = $1,256,825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8 classroom unit with restrooms
</t>
        </r>
        <r>
          <rPr>
            <sz val="10"/>
            <color rgb="FF000000"/>
            <rFont val="Calibri"/>
            <family val="2"/>
          </rPr>
          <t xml:space="preserve">building = $29,917 per month for 12 months
</t>
        </r>
        <r>
          <rPr>
            <sz val="10"/>
            <color rgb="FF000000"/>
            <rFont val="Calibri"/>
            <family val="2"/>
          </rPr>
          <t xml:space="preserve">ALuminum deck system = $650 per month for 12 months
</t>
        </r>
        <r>
          <rPr>
            <sz val="10"/>
            <color rgb="FF000000"/>
            <rFont val="Calibri"/>
            <family val="2"/>
          </rPr>
          <t xml:space="preserve">Design delivery and installation = $533,025
</t>
        </r>
        <r>
          <rPr>
            <sz val="10"/>
            <color rgb="FF000000"/>
            <rFont val="Calibri"/>
            <family val="2"/>
          </rPr>
          <t xml:space="preserve">Dismantle and Return = $162,606
</t>
        </r>
        <r>
          <rPr>
            <sz val="10"/>
            <color rgb="FF000000"/>
            <rFont val="Calibri"/>
            <family val="2"/>
          </rPr>
          <t xml:space="preserve">Total = 1,062,435
</t>
        </r>
        <r>
          <rPr>
            <sz val="10"/>
            <color rgb="FF000000"/>
            <rFont val="Calibri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Calibri"/>
            <family val="2"/>
          </rPr>
          <t xml:space="preserve">and add $250K for power, fire alarm, technology
</t>
        </r>
        <r>
          <rPr>
            <sz val="10"/>
            <color rgb="FF000000"/>
            <rFont val="Calibri"/>
            <family val="2"/>
          </rPr>
          <t xml:space="preserve">$1,412,435
</t>
        </r>
        <r>
          <rPr>
            <sz val="10"/>
            <color rgb="FF000000"/>
            <rFont val="Calibri"/>
            <family val="2"/>
          </rPr>
          <t xml:space="preserve">Add 10% supplemental fees and contingency = $1,553,678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M43" authorId="0" shapeId="0" xr:uid="{28F4CC32-7ED2-174D-9661-658EB7737114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 classroom unit with restrooms
</t>
        </r>
        <r>
          <rPr>
            <sz val="10"/>
            <color rgb="FF000000"/>
            <rFont val="Tahoma"/>
            <family val="2"/>
          </rPr>
          <t xml:space="preserve">building = $23,269 per month for 12 months
</t>
        </r>
        <r>
          <rPr>
            <sz val="10"/>
            <color rgb="FF000000"/>
            <rFont val="Tahoma"/>
            <family val="2"/>
          </rPr>
          <t xml:space="preserve">ALuminum deck system = $650 per month for 12 months
</t>
        </r>
        <r>
          <rPr>
            <sz val="10"/>
            <color rgb="FF000000"/>
            <rFont val="Tahoma"/>
            <family val="2"/>
          </rPr>
          <t xml:space="preserve">Design delivery and installation = $379,068
</t>
        </r>
        <r>
          <rPr>
            <sz val="10"/>
            <color rgb="FF000000"/>
            <rFont val="Tahoma"/>
            <family val="2"/>
          </rPr>
          <t xml:space="preserve">Dismantle and Return = $126,472
</t>
        </r>
        <r>
          <rPr>
            <sz val="10"/>
            <color rgb="FF000000"/>
            <rFont val="Tahoma"/>
            <family val="2"/>
          </rPr>
          <t xml:space="preserve">Total = $792,568 
</t>
        </r>
        <r>
          <rPr>
            <sz val="10"/>
            <color rgb="FF000000"/>
            <rFont val="Tahoma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Tahoma"/>
            <family val="2"/>
          </rPr>
          <t xml:space="preserve">and add $250K for power, fire alarm, technology
</t>
        </r>
        <r>
          <rPr>
            <sz val="10"/>
            <color rgb="FF000000"/>
            <rFont val="Tahoma"/>
            <family val="2"/>
          </rPr>
          <t xml:space="preserve">$1,142,568
</t>
        </r>
        <r>
          <rPr>
            <sz val="10"/>
            <color rgb="FF000000"/>
            <rFont val="Tahoma"/>
            <family val="2"/>
          </rPr>
          <t xml:space="preserve">Add 10% supplemental fees and contingency = $1,256,825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8 classroom unit with restrooms
</t>
        </r>
        <r>
          <rPr>
            <sz val="10"/>
            <color rgb="FF000000"/>
            <rFont val="Calibri"/>
            <family val="2"/>
          </rPr>
          <t xml:space="preserve">building = $29,917 per month for 12 months
</t>
        </r>
        <r>
          <rPr>
            <sz val="10"/>
            <color rgb="FF000000"/>
            <rFont val="Calibri"/>
            <family val="2"/>
          </rPr>
          <t xml:space="preserve">ALuminum deck system = $650 per month for 12 months
</t>
        </r>
        <r>
          <rPr>
            <sz val="10"/>
            <color rgb="FF000000"/>
            <rFont val="Calibri"/>
            <family val="2"/>
          </rPr>
          <t xml:space="preserve">Design delivery and installation = $533,025
</t>
        </r>
        <r>
          <rPr>
            <sz val="10"/>
            <color rgb="FF000000"/>
            <rFont val="Calibri"/>
            <family val="2"/>
          </rPr>
          <t xml:space="preserve">Dismantle and Return = $162,606
</t>
        </r>
        <r>
          <rPr>
            <sz val="10"/>
            <color rgb="FF000000"/>
            <rFont val="Calibri"/>
            <family val="2"/>
          </rPr>
          <t xml:space="preserve">Total = 1,062,435
</t>
        </r>
        <r>
          <rPr>
            <sz val="10"/>
            <color rgb="FF000000"/>
            <rFont val="Calibri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Calibri"/>
            <family val="2"/>
          </rPr>
          <t xml:space="preserve">and add $250K for power, fire alarm, technology
</t>
        </r>
        <r>
          <rPr>
            <sz val="10"/>
            <color rgb="FF000000"/>
            <rFont val="Calibri"/>
            <family val="2"/>
          </rPr>
          <t xml:space="preserve">$1,412,435
</t>
        </r>
        <r>
          <rPr>
            <sz val="10"/>
            <color rgb="FF000000"/>
            <rFont val="Calibri"/>
            <family val="2"/>
          </rPr>
          <t xml:space="preserve">Add 10% supplemental fees and contingency = $1,553,678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Mike Ruetschle</author>
  </authors>
  <commentList>
    <comment ref="B13" authorId="0" shapeId="0" xr:uid="{B0EFAFA9-0F15-D84D-AD9E-D0A5728A6141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350 student enrollment
</t>
        </r>
        <r>
          <rPr>
            <sz val="10"/>
            <color rgb="FF000000"/>
            <rFont val="Tahoma"/>
            <family val="2"/>
          </rPr>
          <t xml:space="preserve">Staff = 25 (guess)
</t>
        </r>
        <r>
          <rPr>
            <sz val="10"/>
            <color rgb="FF000000"/>
            <rFont val="Tahoma"/>
            <family val="2"/>
          </rPr>
          <t xml:space="preserve">total occupants = 375
</t>
        </r>
        <r>
          <rPr>
            <sz val="10"/>
            <color rgb="FF000000"/>
            <rFont val="Tahoma"/>
            <family val="2"/>
          </rPr>
          <t xml:space="preserve">sf per occupant = 5sf
</t>
        </r>
        <r>
          <rPr>
            <sz val="10"/>
            <color rgb="FF000000"/>
            <rFont val="Tahoma"/>
            <family val="2"/>
          </rPr>
          <t xml:space="preserve">sf required for occupants = 1,875
</t>
        </r>
        <r>
          <rPr>
            <sz val="10"/>
            <color rgb="FF000000"/>
            <rFont val="Tahoma"/>
            <family val="2"/>
          </rPr>
          <t xml:space="preserve">Wheelchair occupants 1 per 200 occupants
</t>
        </r>
        <r>
          <rPr>
            <sz val="10"/>
            <color rgb="FF000000"/>
            <rFont val="Tahoma"/>
            <family val="2"/>
          </rPr>
          <t xml:space="preserve">Additional sf required for wheelchair occupants at 10 sf / wheelchair occupant = 20
</t>
        </r>
        <r>
          <rPr>
            <sz val="10"/>
            <color rgb="FF000000"/>
            <rFont val="Tahoma"/>
            <family val="2"/>
          </rPr>
          <t xml:space="preserve">water closets required (1 wc / 250 occupants for first 500, 1 wc / 500 occupants for the rest)
</t>
        </r>
        <r>
          <rPr>
            <sz val="10"/>
            <color rgb="FF000000"/>
            <rFont val="Tahoma"/>
            <family val="2"/>
          </rPr>
          <t xml:space="preserve">sf required for water closets at 15 sf / wc = 30 sf
</t>
        </r>
        <r>
          <rPr>
            <sz val="10"/>
            <color rgb="FF000000"/>
            <rFont val="Tahoma"/>
            <family val="2"/>
          </rPr>
          <t xml:space="preserve">lavatories required (1 lavatory / 1000 occupants) 1
</t>
        </r>
        <r>
          <rPr>
            <sz val="10"/>
            <color rgb="FF000000"/>
            <rFont val="Tahoma"/>
            <family val="2"/>
          </rPr>
          <t xml:space="preserve">sf required for lavatories at 9 sf / lavatory = 9
</t>
        </r>
        <r>
          <rPr>
            <sz val="10"/>
            <color rgb="FF000000"/>
            <rFont val="Tahoma"/>
            <family val="2"/>
          </rPr>
          <t xml:space="preserve">required shelter sf = 1,934
</t>
        </r>
        <r>
          <rPr>
            <sz val="10"/>
            <color rgb="FF000000"/>
            <rFont val="Tahoma"/>
            <family val="2"/>
          </rPr>
          <t xml:space="preserve">usable space = 83%
</t>
        </r>
        <r>
          <rPr>
            <sz val="10"/>
            <color rgb="FF000000"/>
            <rFont val="Tahoma"/>
            <family val="2"/>
          </rPr>
          <t xml:space="preserve">required sf to allow for useless space (1 / 83% = 120%)
</t>
        </r>
        <r>
          <rPr>
            <sz val="10"/>
            <color rgb="FF000000"/>
            <rFont val="Tahoma"/>
            <family val="2"/>
          </rPr>
          <t xml:space="preserve">total required sf = 2,320.80 sf
</t>
        </r>
        <r>
          <rPr>
            <sz val="10"/>
            <color rgb="FF000000"/>
            <rFont val="Tahoma"/>
            <family val="2"/>
          </rPr>
          <t xml:space="preserve">sf cost @ $62.88 / sf hardened = $145,932
</t>
        </r>
        <r>
          <rPr>
            <sz val="10"/>
            <color rgb="FF000000"/>
            <rFont val="Tahoma"/>
            <family val="2"/>
          </rPr>
          <t xml:space="preserve">per review fees = $15,000
</t>
        </r>
        <r>
          <rPr>
            <sz val="10"/>
            <color rgb="FF000000"/>
            <rFont val="Tahoma"/>
            <family val="2"/>
          </rPr>
          <t xml:space="preserve">testing agency fees = $25,000
</t>
        </r>
        <r>
          <rPr>
            <sz val="10"/>
            <color rgb="FF000000"/>
            <rFont val="Tahoma"/>
            <family val="2"/>
          </rPr>
          <t xml:space="preserve">Storm shelter construction cost = $180,000 
</t>
        </r>
        <r>
          <rPr>
            <sz val="10"/>
            <color rgb="FF000000"/>
            <rFont val="Tahoma"/>
            <family val="2"/>
          </rPr>
          <t xml:space="preserve">x regional cost factor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E21" authorId="0" shapeId="0" xr:uid="{105240D6-6AE5-D543-ACA8-C4B87DFFC8C0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 classroom unit with restrooms
</t>
        </r>
        <r>
          <rPr>
            <sz val="10"/>
            <color rgb="FF000000"/>
            <rFont val="Tahoma"/>
            <family val="2"/>
          </rPr>
          <t xml:space="preserve">building = $23,269 per month for 12 months
</t>
        </r>
        <r>
          <rPr>
            <sz val="10"/>
            <color rgb="FF000000"/>
            <rFont val="Tahoma"/>
            <family val="2"/>
          </rPr>
          <t xml:space="preserve">ALuminum deck system = $650 per month for 12 months
</t>
        </r>
        <r>
          <rPr>
            <sz val="10"/>
            <color rgb="FF000000"/>
            <rFont val="Tahoma"/>
            <family val="2"/>
          </rPr>
          <t xml:space="preserve">Design delivery and installation = $379,068
</t>
        </r>
        <r>
          <rPr>
            <sz val="10"/>
            <color rgb="FF000000"/>
            <rFont val="Tahoma"/>
            <family val="2"/>
          </rPr>
          <t xml:space="preserve">Dismantle and Return = $126,472
</t>
        </r>
        <r>
          <rPr>
            <sz val="10"/>
            <color rgb="FF000000"/>
            <rFont val="Tahoma"/>
            <family val="2"/>
          </rPr>
          <t xml:space="preserve">Total = $792,568 
</t>
        </r>
        <r>
          <rPr>
            <sz val="10"/>
            <color rgb="FF000000"/>
            <rFont val="Tahoma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Tahoma"/>
            <family val="2"/>
          </rPr>
          <t xml:space="preserve">and add $250K for power, fire alarm, technology
</t>
        </r>
        <r>
          <rPr>
            <sz val="10"/>
            <color rgb="FF000000"/>
            <rFont val="Tahoma"/>
            <family val="2"/>
          </rPr>
          <t xml:space="preserve">$1,142,568
</t>
        </r>
        <r>
          <rPr>
            <sz val="10"/>
            <color rgb="FF000000"/>
            <rFont val="Tahoma"/>
            <family val="2"/>
          </rPr>
          <t xml:space="preserve">Add 10% supplemental fees and contingency = $1,256,825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8 classroom unit with restrooms
</t>
        </r>
        <r>
          <rPr>
            <sz val="10"/>
            <color rgb="FF000000"/>
            <rFont val="Calibri"/>
            <family val="2"/>
          </rPr>
          <t xml:space="preserve">building = $29,917 per month for 12 months
</t>
        </r>
        <r>
          <rPr>
            <sz val="10"/>
            <color rgb="FF000000"/>
            <rFont val="Calibri"/>
            <family val="2"/>
          </rPr>
          <t xml:space="preserve">ALuminum deck system = $650 per month for 12 months
</t>
        </r>
        <r>
          <rPr>
            <sz val="10"/>
            <color rgb="FF000000"/>
            <rFont val="Calibri"/>
            <family val="2"/>
          </rPr>
          <t xml:space="preserve">Design delivery and installation = $533,025
</t>
        </r>
        <r>
          <rPr>
            <sz val="10"/>
            <color rgb="FF000000"/>
            <rFont val="Calibri"/>
            <family val="2"/>
          </rPr>
          <t xml:space="preserve">Dismantle and Return = $162,606
</t>
        </r>
        <r>
          <rPr>
            <sz val="10"/>
            <color rgb="FF000000"/>
            <rFont val="Calibri"/>
            <family val="2"/>
          </rPr>
          <t xml:space="preserve">Total = 1,062,435
</t>
        </r>
        <r>
          <rPr>
            <sz val="10"/>
            <color rgb="FF000000"/>
            <rFont val="Calibri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Calibri"/>
            <family val="2"/>
          </rPr>
          <t xml:space="preserve">and add $250K for power, fire alarm, technology
</t>
        </r>
        <r>
          <rPr>
            <sz val="10"/>
            <color rgb="FF000000"/>
            <rFont val="Calibri"/>
            <family val="2"/>
          </rPr>
          <t xml:space="preserve">$1,412,435
</t>
        </r>
        <r>
          <rPr>
            <sz val="10"/>
            <color rgb="FF000000"/>
            <rFont val="Calibri"/>
            <family val="2"/>
          </rPr>
          <t xml:space="preserve">Add 10% supplemental fees and contingency = $1,553,678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I21" authorId="0" shapeId="0" xr:uid="{6D593884-1AB6-9C4A-986B-179DCC439D2D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 classroom unit with restrooms
</t>
        </r>
        <r>
          <rPr>
            <sz val="10"/>
            <color rgb="FF000000"/>
            <rFont val="Tahoma"/>
            <family val="2"/>
          </rPr>
          <t xml:space="preserve">building = $23,269 per month for 12 months
</t>
        </r>
        <r>
          <rPr>
            <sz val="10"/>
            <color rgb="FF000000"/>
            <rFont val="Tahoma"/>
            <family val="2"/>
          </rPr>
          <t xml:space="preserve">ALuminum deck system = $650 per month for 12 months
</t>
        </r>
        <r>
          <rPr>
            <sz val="10"/>
            <color rgb="FF000000"/>
            <rFont val="Tahoma"/>
            <family val="2"/>
          </rPr>
          <t xml:space="preserve">Design delivery and installation = $379,068
</t>
        </r>
        <r>
          <rPr>
            <sz val="10"/>
            <color rgb="FF000000"/>
            <rFont val="Tahoma"/>
            <family val="2"/>
          </rPr>
          <t xml:space="preserve">Dismantle and Return = $126,472
</t>
        </r>
        <r>
          <rPr>
            <sz val="10"/>
            <color rgb="FF000000"/>
            <rFont val="Tahoma"/>
            <family val="2"/>
          </rPr>
          <t xml:space="preserve">Total = $792,568 
</t>
        </r>
        <r>
          <rPr>
            <sz val="10"/>
            <color rgb="FF000000"/>
            <rFont val="Tahoma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Tahoma"/>
            <family val="2"/>
          </rPr>
          <t xml:space="preserve">and add $250K for power, fire alarm, technology
</t>
        </r>
        <r>
          <rPr>
            <sz val="10"/>
            <color rgb="FF000000"/>
            <rFont val="Tahoma"/>
            <family val="2"/>
          </rPr>
          <t xml:space="preserve">$1,142,568
</t>
        </r>
        <r>
          <rPr>
            <sz val="10"/>
            <color rgb="FF000000"/>
            <rFont val="Tahoma"/>
            <family val="2"/>
          </rPr>
          <t xml:space="preserve">Add 10% supplemental fees and contingency = $1,256,825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8 classroom unit with restrooms
</t>
        </r>
        <r>
          <rPr>
            <sz val="10"/>
            <color rgb="FF000000"/>
            <rFont val="Calibri"/>
            <family val="2"/>
          </rPr>
          <t xml:space="preserve">building = $29,917 per month for 12 months
</t>
        </r>
        <r>
          <rPr>
            <sz val="10"/>
            <color rgb="FF000000"/>
            <rFont val="Calibri"/>
            <family val="2"/>
          </rPr>
          <t xml:space="preserve">ALuminum deck system = $650 per month for 12 months
</t>
        </r>
        <r>
          <rPr>
            <sz val="10"/>
            <color rgb="FF000000"/>
            <rFont val="Calibri"/>
            <family val="2"/>
          </rPr>
          <t xml:space="preserve">Design delivery and installation = $533,025
</t>
        </r>
        <r>
          <rPr>
            <sz val="10"/>
            <color rgb="FF000000"/>
            <rFont val="Calibri"/>
            <family val="2"/>
          </rPr>
          <t xml:space="preserve">Dismantle and Return = $162,606
</t>
        </r>
        <r>
          <rPr>
            <sz val="10"/>
            <color rgb="FF000000"/>
            <rFont val="Calibri"/>
            <family val="2"/>
          </rPr>
          <t xml:space="preserve">Total = 1,062,435
</t>
        </r>
        <r>
          <rPr>
            <sz val="10"/>
            <color rgb="FF000000"/>
            <rFont val="Calibri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Calibri"/>
            <family val="2"/>
          </rPr>
          <t xml:space="preserve">and add $250K for power, fire alarm, technology
</t>
        </r>
        <r>
          <rPr>
            <sz val="10"/>
            <color rgb="FF000000"/>
            <rFont val="Calibri"/>
            <family val="2"/>
          </rPr>
          <t xml:space="preserve">$1,412,435
</t>
        </r>
        <r>
          <rPr>
            <sz val="10"/>
            <color rgb="FF000000"/>
            <rFont val="Calibri"/>
            <family val="2"/>
          </rPr>
          <t xml:space="preserve">Add 10% supplemental fees and contingency = $1,553,678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M21" authorId="0" shapeId="0" xr:uid="{D9ECAF39-0092-7744-8394-47CE35D035B7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 classroom unit with restrooms
</t>
        </r>
        <r>
          <rPr>
            <sz val="10"/>
            <color rgb="FF000000"/>
            <rFont val="Tahoma"/>
            <family val="2"/>
          </rPr>
          <t xml:space="preserve">building = $23,269 per month for 12 months
</t>
        </r>
        <r>
          <rPr>
            <sz val="10"/>
            <color rgb="FF000000"/>
            <rFont val="Tahoma"/>
            <family val="2"/>
          </rPr>
          <t xml:space="preserve">ALuminum deck system = $650 per month for 12 months
</t>
        </r>
        <r>
          <rPr>
            <sz val="10"/>
            <color rgb="FF000000"/>
            <rFont val="Tahoma"/>
            <family val="2"/>
          </rPr>
          <t xml:space="preserve">Design delivery and installation = $379,068
</t>
        </r>
        <r>
          <rPr>
            <sz val="10"/>
            <color rgb="FF000000"/>
            <rFont val="Tahoma"/>
            <family val="2"/>
          </rPr>
          <t xml:space="preserve">Dismantle and Return = $126,472
</t>
        </r>
        <r>
          <rPr>
            <sz val="10"/>
            <color rgb="FF000000"/>
            <rFont val="Tahoma"/>
            <family val="2"/>
          </rPr>
          <t xml:space="preserve">Total = $792,568 
</t>
        </r>
        <r>
          <rPr>
            <sz val="10"/>
            <color rgb="FF000000"/>
            <rFont val="Tahoma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Tahoma"/>
            <family val="2"/>
          </rPr>
          <t xml:space="preserve">and add $250K for power, fire alarm, technology
</t>
        </r>
        <r>
          <rPr>
            <sz val="10"/>
            <color rgb="FF000000"/>
            <rFont val="Tahoma"/>
            <family val="2"/>
          </rPr>
          <t xml:space="preserve">$1,142,568
</t>
        </r>
        <r>
          <rPr>
            <sz val="10"/>
            <color rgb="FF000000"/>
            <rFont val="Tahoma"/>
            <family val="2"/>
          </rPr>
          <t xml:space="preserve">Add 10% supplemental fees and contingency = $1,256,825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8 classroom unit with restrooms
</t>
        </r>
        <r>
          <rPr>
            <sz val="10"/>
            <color rgb="FF000000"/>
            <rFont val="Calibri"/>
            <family val="2"/>
          </rPr>
          <t xml:space="preserve">building = $29,917 per month for 12 months
</t>
        </r>
        <r>
          <rPr>
            <sz val="10"/>
            <color rgb="FF000000"/>
            <rFont val="Calibri"/>
            <family val="2"/>
          </rPr>
          <t xml:space="preserve">ALuminum deck system = $650 per month for 12 months
</t>
        </r>
        <r>
          <rPr>
            <sz val="10"/>
            <color rgb="FF000000"/>
            <rFont val="Calibri"/>
            <family val="2"/>
          </rPr>
          <t xml:space="preserve">Design delivery and installation = $533,025
</t>
        </r>
        <r>
          <rPr>
            <sz val="10"/>
            <color rgb="FF000000"/>
            <rFont val="Calibri"/>
            <family val="2"/>
          </rPr>
          <t xml:space="preserve">Dismantle and Return = $162,606
</t>
        </r>
        <r>
          <rPr>
            <sz val="10"/>
            <color rgb="FF000000"/>
            <rFont val="Calibri"/>
            <family val="2"/>
          </rPr>
          <t xml:space="preserve">Total = 1,062,435
</t>
        </r>
        <r>
          <rPr>
            <sz val="10"/>
            <color rgb="FF000000"/>
            <rFont val="Calibri"/>
            <family val="2"/>
          </rPr>
          <t xml:space="preserve">Per Brian at Mobile Lease add $100K for plumbing hook ups to restrooms
</t>
        </r>
        <r>
          <rPr>
            <sz val="10"/>
            <color rgb="FF000000"/>
            <rFont val="Calibri"/>
            <family val="2"/>
          </rPr>
          <t xml:space="preserve">and add $250K for power, fire alarm, technology
</t>
        </r>
        <r>
          <rPr>
            <sz val="10"/>
            <color rgb="FF000000"/>
            <rFont val="Calibri"/>
            <family val="2"/>
          </rPr>
          <t xml:space="preserve">$1,412,435
</t>
        </r>
        <r>
          <rPr>
            <sz val="10"/>
            <color rgb="FF000000"/>
            <rFont val="Calibri"/>
            <family val="2"/>
          </rPr>
          <t xml:space="preserve">Add 10% supplemental fees and contingency = $1,553,678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Mike Ruetschle</author>
  </authors>
  <commentList>
    <comment ref="A6" authorId="0" shapeId="0" xr:uid="{2D82766F-D88A-6D48-B1AE-3A11B2FBBC3E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site safety allowance
</t>
        </r>
        <r>
          <rPr>
            <sz val="10"/>
            <color rgb="FF000000"/>
            <rFont val="Tahoma"/>
            <family val="2"/>
          </rPr>
          <t xml:space="preserve">enhanced ADA playground surface
</t>
        </r>
        <r>
          <rPr>
            <sz val="10"/>
            <color rgb="FF000000"/>
            <rFont val="Tahoma"/>
            <family val="2"/>
          </rPr>
          <t xml:space="preserve">swing space
</t>
        </r>
        <r>
          <rPr>
            <sz val="10"/>
            <color rgb="FF000000"/>
            <rFont val="Tahoma"/>
            <family val="2"/>
          </rPr>
          <t xml:space="preserve">leed allowance for new
</t>
        </r>
        <r>
          <rPr>
            <sz val="10"/>
            <color rgb="FF000000"/>
            <rFont val="Tahoma"/>
            <family val="2"/>
          </rPr>
          <t xml:space="preserve">leed alloweance for renovation
</t>
        </r>
        <r>
          <rPr>
            <sz val="10"/>
            <color rgb="FF000000"/>
            <rFont val="Tahoma"/>
            <family val="2"/>
          </rPr>
          <t xml:space="preserve">emergency responder radio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Mike Ruetschle</author>
  </authors>
  <commentList>
    <comment ref="A6" authorId="0" shapeId="0" xr:uid="{4ED29925-4C53-E046-8182-2296FA6CC129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site safety allowance
</t>
        </r>
        <r>
          <rPr>
            <sz val="10"/>
            <color rgb="FF000000"/>
            <rFont val="Tahoma"/>
            <family val="2"/>
          </rPr>
          <t xml:space="preserve">enhanced ADA playground surface
</t>
        </r>
        <r>
          <rPr>
            <sz val="10"/>
            <color rgb="FF000000"/>
            <rFont val="Tahoma"/>
            <family val="2"/>
          </rPr>
          <t xml:space="preserve">swing space
</t>
        </r>
        <r>
          <rPr>
            <sz val="10"/>
            <color rgb="FF000000"/>
            <rFont val="Tahoma"/>
            <family val="2"/>
          </rPr>
          <t xml:space="preserve">leed allowance for new
</t>
        </r>
        <r>
          <rPr>
            <sz val="10"/>
            <color rgb="FF000000"/>
            <rFont val="Tahoma"/>
            <family val="2"/>
          </rPr>
          <t xml:space="preserve">leed alloweance for renovation
</t>
        </r>
        <r>
          <rPr>
            <sz val="10"/>
            <color rgb="FF000000"/>
            <rFont val="Tahoma"/>
            <family val="2"/>
          </rPr>
          <t xml:space="preserve">emergency responder radio </t>
        </r>
      </text>
    </comment>
    <comment ref="F11" authorId="0" shapeId="0" xr:uid="{6E435ED6-C827-1448-AD36-77BB08193B53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cofunded building cost less the k-2 carve out cost of $372.93 x 8,467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Mike Ruetschle</author>
  </authors>
  <commentList>
    <comment ref="A6" authorId="0" shapeId="0" xr:uid="{7A028DF5-B822-CD41-9EED-D98369F57DAC}">
      <text>
        <r>
          <rPr>
            <b/>
            <sz val="10"/>
            <color rgb="FF000000"/>
            <rFont val="Tahoma"/>
            <family val="2"/>
          </rPr>
          <t>Mike Ruetschle: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site safety allowance
</t>
        </r>
        <r>
          <rPr>
            <sz val="10"/>
            <color rgb="FF000000"/>
            <rFont val="Tahoma"/>
            <family val="2"/>
          </rPr>
          <t xml:space="preserve">swing space allowance
</t>
        </r>
        <r>
          <rPr>
            <sz val="10"/>
            <color rgb="FF000000"/>
            <rFont val="Tahoma"/>
            <family val="2"/>
          </rPr>
          <t xml:space="preserve">leed allowance for new
</t>
        </r>
        <r>
          <rPr>
            <sz val="10"/>
            <color rgb="FF000000"/>
            <rFont val="Tahoma"/>
            <family val="2"/>
          </rPr>
          <t xml:space="preserve">leed allowance for renovation
</t>
        </r>
        <r>
          <rPr>
            <sz val="10"/>
            <color rgb="FF000000"/>
            <rFont val="Tahoma"/>
            <family val="2"/>
          </rPr>
          <t xml:space="preserve">emergency responder radio </t>
        </r>
      </text>
    </comment>
  </commentList>
</comments>
</file>

<file path=xl/sharedStrings.xml><?xml version="1.0" encoding="utf-8"?>
<sst xmlns="http://schemas.openxmlformats.org/spreadsheetml/2006/main" count="194" uniqueCount="99">
  <si>
    <t>sf</t>
  </si>
  <si>
    <t>$/sf</t>
  </si>
  <si>
    <t>total</t>
  </si>
  <si>
    <t>Demo Shoebox</t>
  </si>
  <si>
    <t>Hazardous Material Abatement</t>
  </si>
  <si>
    <t>Demo Band Room</t>
  </si>
  <si>
    <t>Asbestos Abatement Mills Lawn</t>
  </si>
  <si>
    <t>Demolish Mills Lawn</t>
  </si>
  <si>
    <t>Kitchen Equipment</t>
  </si>
  <si>
    <t>Asbestos Abatement MS/HS</t>
  </si>
  <si>
    <t>Addition C (Corridor Extension)</t>
  </si>
  <si>
    <t>Addition B (Kitchen)</t>
  </si>
  <si>
    <t>Addition A (Arts):  Part 1 of 3 (Instrumental Rm + corridor)</t>
  </si>
  <si>
    <t>Addition A (Arts):  Part 2 of 3 (Choir Rm + corridor)</t>
  </si>
  <si>
    <t>Addition A (Arts):  Part 3 of 3 (Art Rm + corridor)</t>
  </si>
  <si>
    <t>Sitework Allowance (front drop off / pick up)</t>
  </si>
  <si>
    <t>Sitework Allowance (rear drop off / pick up, outdoor CR)</t>
  </si>
  <si>
    <t>Addition A: Part 1 of 4 (Office / Entry)</t>
  </si>
  <si>
    <t>Addition A: Part 2 of 4 (Choir / Theater Rehearsal)</t>
  </si>
  <si>
    <t>Addition A: Part 3 of 4 (Instrumental Room)</t>
  </si>
  <si>
    <t>Addition A: Part 4 of 4 (Second fl music storage)</t>
  </si>
  <si>
    <t>Addition B (5 Classrooms + small grp rms)</t>
  </si>
  <si>
    <t>Total Renovation / Addition Plan</t>
  </si>
  <si>
    <t>Renovation (Library, 3-5)</t>
  </si>
  <si>
    <t>Swing Space</t>
  </si>
  <si>
    <t>Renovation - First Floor</t>
  </si>
  <si>
    <t>Renovation - Tower Second Floor</t>
  </si>
  <si>
    <t>Renovation - Tower Third Floor</t>
  </si>
  <si>
    <r>
      <t xml:space="preserve">Mills Lawn Elementary  </t>
    </r>
    <r>
      <rPr>
        <sz val="12"/>
        <color theme="1"/>
        <rFont val="Calibri"/>
        <family val="2"/>
        <scheme val="minor"/>
      </rPr>
      <t xml:space="preserve">(K-6) 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</si>
  <si>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Middle School / High School  </t>
    </r>
    <r>
      <rPr>
        <sz val="12"/>
        <color theme="1"/>
        <rFont val="Calibri"/>
        <family val="2"/>
        <scheme val="minor"/>
      </rPr>
      <t>(7-8, 9-12)</t>
    </r>
    <r>
      <rPr>
        <b/>
        <sz val="12"/>
        <color theme="1"/>
        <rFont val="Calibri"/>
        <family val="2"/>
        <scheme val="minor"/>
      </rPr>
      <t xml:space="preserve">  </t>
    </r>
  </si>
  <si>
    <t>Motz - Full System Replacement</t>
  </si>
  <si>
    <t>Renovation (K-2 wing, secure vest, office, restrooms)</t>
  </si>
  <si>
    <t>Storm Shelter hardening at Addition A (Arts): Part 2 and 3</t>
  </si>
  <si>
    <t>Storm Shelter hardening at Addition A: Parts 2 and 3</t>
  </si>
  <si>
    <t xml:space="preserve">THP - Envelope </t>
  </si>
  <si>
    <t>Additional Work for Full Renovation / Addition Plan (Dec. 2 Master Plan)</t>
  </si>
  <si>
    <t>Locally Funded Initiatives</t>
  </si>
  <si>
    <t>State Share</t>
  </si>
  <si>
    <t>Local Share</t>
  </si>
  <si>
    <t>Total Project Cost</t>
  </si>
  <si>
    <t>Total State Share</t>
  </si>
  <si>
    <t>Total Local Share</t>
  </si>
  <si>
    <t>Project Size</t>
  </si>
  <si>
    <t>Partial Demolish MS/HS</t>
  </si>
  <si>
    <t xml:space="preserve">Addition K-12 </t>
  </si>
  <si>
    <t>Renovation K-12</t>
  </si>
  <si>
    <t>Total sf</t>
  </si>
  <si>
    <r>
      <t>Mills Lawn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(PK-4)</t>
    </r>
  </si>
  <si>
    <r>
      <t>MS/HS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(5-12)</t>
    </r>
  </si>
  <si>
    <t>Renovation - Tower First Floor</t>
  </si>
  <si>
    <t>"Foundation +" Renovation / Addition Plan</t>
  </si>
  <si>
    <t>Swing Space Allowance (MS/HS)</t>
  </si>
  <si>
    <t>Locally Funded Initiatives - Low Range</t>
  </si>
  <si>
    <t>A1</t>
  </si>
  <si>
    <t>A2</t>
  </si>
  <si>
    <t>.5% income tax plus 6.5 mills</t>
  </si>
  <si>
    <t>KG Patio work</t>
  </si>
  <si>
    <t>Elevator Cab Replacement</t>
  </si>
  <si>
    <t>Stairwell Improvements</t>
  </si>
  <si>
    <t xml:space="preserve">Kindergarten Classrooms </t>
  </si>
  <si>
    <t>Kindergarten Restrooms</t>
  </si>
  <si>
    <t>Elementary Classrooms (Grades 1-4)</t>
  </si>
  <si>
    <t>Teach Prep Area Workroom</t>
  </si>
  <si>
    <t>Individual Restroom</t>
  </si>
  <si>
    <t>Instruction Material Storage</t>
  </si>
  <si>
    <t>Small Group Room</t>
  </si>
  <si>
    <t>Kinesthetic Learning Studio</t>
  </si>
  <si>
    <t>Construction Factor</t>
  </si>
  <si>
    <t>Corridors</t>
  </si>
  <si>
    <t>Special Ed Rooms</t>
  </si>
  <si>
    <r>
      <t xml:space="preserve">Mills Lawn Elementary  </t>
    </r>
    <r>
      <rPr>
        <sz val="12"/>
        <color theme="1"/>
        <rFont val="Calibri"/>
        <family val="2"/>
        <scheme val="minor"/>
      </rPr>
      <t xml:space="preserve">(K-4) </t>
    </r>
    <r>
      <rPr>
        <b/>
        <sz val="12"/>
        <color theme="1"/>
        <rFont val="Calibri"/>
        <family val="2"/>
        <scheme val="minor"/>
      </rPr>
      <t xml:space="preserve"> </t>
    </r>
  </si>
  <si>
    <t>Elementary Art Room</t>
  </si>
  <si>
    <t>Elementary Art Material Storage</t>
  </si>
  <si>
    <t>Elementary Classrooms (Grades 1-5)</t>
  </si>
  <si>
    <t>Elementary Classrooms (Grades 1-2)</t>
  </si>
  <si>
    <t>Renovate Mills Lawn (Early Learning Center PK-2, Board Office)</t>
  </si>
  <si>
    <r>
      <t>MS/HS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(3-12)</t>
    </r>
  </si>
  <si>
    <t>Renovation of existing MS/HS 2002 addition and gym</t>
  </si>
  <si>
    <t>OFCC Specific Allowance</t>
  </si>
  <si>
    <t>Co-Funded</t>
  </si>
  <si>
    <t>Option B2:  K-12 Demo, Reno, Add</t>
  </si>
  <si>
    <t>Option C6:  6-12 Demo, Reno, Add</t>
  </si>
  <si>
    <t xml:space="preserve">3-12,  Spaces to remove from K-12 </t>
  </si>
  <si>
    <t xml:space="preserve">5-12,  Spaces to remove from K-12 </t>
  </si>
  <si>
    <t xml:space="preserve">6-12,  Spaces to remove from K-12 </t>
  </si>
  <si>
    <t>Addition K-12 (less "carve out" for K-5 of 20,777 sf)</t>
  </si>
  <si>
    <t>Co-funded sf budget supplemental for 6-12 addition</t>
  </si>
  <si>
    <t>Co-funded sf budget supplemental for K-12 addition</t>
  </si>
  <si>
    <t xml:space="preserve">Option X2: 3-12 - Demo, Reno, Add </t>
  </si>
  <si>
    <t>Co-funded sf budget supplemental for 3-12 addition</t>
  </si>
  <si>
    <t>Renovate Mills Lawn (K-5)</t>
  </si>
  <si>
    <t>Total K-2 sf to remove from 3-12</t>
  </si>
  <si>
    <t>Total K-4 sf to remove from 5-12</t>
  </si>
  <si>
    <t>Total K-5 sf to remove from 6-12</t>
  </si>
  <si>
    <t>Addition K-12 (less "carve out" for K-2 of 9,979 sf)</t>
  </si>
  <si>
    <t>66% of A1</t>
  </si>
  <si>
    <t>Additional square feet at 3-12 to meet POR of 113,234 sf</t>
  </si>
  <si>
    <t>Additional square feet at K-12 to meet POR of 122,310 sf</t>
  </si>
  <si>
    <t>Additional square feet at 6-12 to meet POR of 96,296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</si>
</sst>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</font>
    <font>
      <sz val="7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64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9" fontId="2" fillId="0" borderId="0" xfId="0" applyNumberFormat="1" applyFont="1"/>
    <xf numFmtId="0" fontId="2" fillId="0" borderId="0" xfId="0" applyFont="1"/>
    <xf numFmtId="0" fontId="0" fillId="2" borderId="1" xfId="0" applyFill="1" applyBorder="1"/>
    <xf numFmtId="3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/>
    <xf numFmtId="0" fontId="0" fillId="3" borderId="1" xfId="0" applyFill="1" applyBorder="1"/>
    <xf numFmtId="3" fontId="0" fillId="3" borderId="1" xfId="0" applyNumberFormat="1" applyFill="1" applyBorder="1"/>
    <xf numFmtId="165" fontId="0" fillId="3" borderId="1" xfId="0" applyNumberFormat="1" applyFill="1" applyBorder="1"/>
    <xf numFmtId="164" fontId="0" fillId="3" borderId="1" xfId="0" applyNumberFormat="1" applyFill="1" applyBorder="1"/>
    <xf numFmtId="0" fontId="3" fillId="0" borderId="0" xfId="0" applyFont="1"/>
    <xf numFmtId="0" fontId="0" fillId="4" borderId="1" xfId="0" applyFill="1" applyBorder="1"/>
    <xf numFmtId="3" fontId="0" fillId="4" borderId="1" xfId="0" applyNumberFormat="1" applyFill="1" applyBorder="1"/>
    <xf numFmtId="165" fontId="0" fillId="4" borderId="1" xfId="0" applyNumberFormat="1" applyFill="1" applyBorder="1"/>
    <xf numFmtId="164" fontId="0" fillId="4" borderId="1" xfId="0" applyNumberFormat="1" applyFill="1" applyBorder="1"/>
    <xf numFmtId="0" fontId="0" fillId="0" borderId="0" xfId="0" applyAlignment="1">
      <alignment horizontal="right"/>
    </xf>
    <xf numFmtId="3" fontId="1" fillId="0" borderId="0" xfId="0" applyNumberFormat="1" applyFont="1"/>
    <xf numFmtId="0" fontId="7" fillId="0" borderId="0" xfId="0" applyFont="1"/>
    <xf numFmtId="0" fontId="0" fillId="0" borderId="0" xfId="0" applyAlignment="1">
      <alignment horizontal="left"/>
    </xf>
    <xf numFmtId="9" fontId="0" fillId="0" borderId="0" xfId="0" applyNumberFormat="1"/>
    <xf numFmtId="164" fontId="8" fillId="5" borderId="0" xfId="0" applyNumberFormat="1" applyFont="1" applyFill="1"/>
    <xf numFmtId="165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9" fontId="11" fillId="0" borderId="0" xfId="0" applyNumberFormat="1" applyFont="1"/>
    <xf numFmtId="3" fontId="10" fillId="3" borderId="1" xfId="0" applyNumberFormat="1" applyFont="1" applyFill="1" applyBorder="1"/>
    <xf numFmtId="165" fontId="10" fillId="3" borderId="1" xfId="0" applyNumberFormat="1" applyFont="1" applyFill="1" applyBorder="1"/>
    <xf numFmtId="0" fontId="10" fillId="0" borderId="0" xfId="0" applyFont="1"/>
    <xf numFmtId="164" fontId="10" fillId="3" borderId="1" xfId="0" applyNumberFormat="1" applyFont="1" applyFill="1" applyBorder="1"/>
    <xf numFmtId="9" fontId="0" fillId="3" borderId="1" xfId="0" applyNumberFormat="1" applyFill="1" applyBorder="1"/>
    <xf numFmtId="9" fontId="0" fillId="2" borderId="1" xfId="0" applyNumberFormat="1" applyFill="1" applyBorder="1"/>
    <xf numFmtId="0" fontId="0" fillId="6" borderId="1" xfId="0" applyFill="1" applyBorder="1"/>
    <xf numFmtId="3" fontId="0" fillId="6" borderId="1" xfId="0" applyNumberFormat="1" applyFill="1" applyBorder="1"/>
    <xf numFmtId="9" fontId="0" fillId="6" borderId="1" xfId="0" applyNumberFormat="1" applyFill="1" applyBorder="1"/>
    <xf numFmtId="0" fontId="12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164" fontId="8" fillId="0" borderId="0" xfId="0" applyNumberFormat="1" applyFont="1"/>
    <xf numFmtId="3" fontId="0" fillId="0" borderId="1" xfId="0" applyNumberFormat="1" applyBorder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305D0-79DF-E446-B512-0D209EF280B1}">
  <dimension ref="A1:O52"/>
  <sheetViews>
    <sheetView tabSelected="1" zoomScale="120" zoomScaleNormal="120" workbookViewId="0">
      <selection activeCell="E27" sqref="E27"/>
    </sheetView>
  </sheetViews>
  <sheetFormatPr baseColWidth="10" defaultColWidth="11" defaultRowHeight="16" x14ac:dyDescent="0.2"/>
  <cols>
    <col min="1" max="1" width="2.83203125" style="17" bestFit="1" customWidth="1"/>
    <col min="2" max="2" width="49" customWidth="1"/>
    <col min="3" max="3" width="7.83203125" bestFit="1" customWidth="1"/>
    <col min="4" max="4" width="9.1640625" bestFit="1" customWidth="1"/>
    <col min="5" max="5" width="13.6640625" bestFit="1" customWidth="1"/>
    <col min="6" max="6" width="2.83203125" style="8" customWidth="1"/>
    <col min="7" max="7" width="7.83203125" bestFit="1" customWidth="1"/>
    <col min="8" max="8" width="9.1640625" bestFit="1" customWidth="1"/>
    <col min="9" max="9" width="11.5" bestFit="1" customWidth="1"/>
    <col min="10" max="10" width="2.33203125" customWidth="1"/>
    <col min="11" max="11" width="7.6640625" bestFit="1" customWidth="1"/>
    <col min="12" max="12" width="9.1640625" bestFit="1" customWidth="1"/>
    <col min="13" max="13" width="11.1640625" bestFit="1" customWidth="1"/>
    <col min="14" max="14" width="2.83203125" customWidth="1"/>
    <col min="15" max="15" width="2.1640625" customWidth="1"/>
  </cols>
  <sheetData>
    <row r="1" spans="1:15" ht="13" customHeight="1" x14ac:dyDescent="0.2">
      <c r="C1" s="47" t="s">
        <v>54</v>
      </c>
      <c r="D1" s="47"/>
      <c r="E1" s="47"/>
      <c r="F1" s="47"/>
      <c r="G1" s="47"/>
      <c r="H1" s="47"/>
      <c r="I1" s="47"/>
    </row>
    <row r="2" spans="1:15" ht="8" customHeight="1" x14ac:dyDescent="0.2"/>
    <row r="3" spans="1:15" ht="13" customHeight="1" x14ac:dyDescent="0.2">
      <c r="C3" s="47" t="s">
        <v>53</v>
      </c>
      <c r="D3" s="47"/>
      <c r="E3" s="47"/>
    </row>
    <row r="4" spans="1:15" ht="47" customHeight="1" x14ac:dyDescent="0.2">
      <c r="C4" s="46" t="s">
        <v>50</v>
      </c>
      <c r="D4" s="46"/>
      <c r="E4" s="46"/>
      <c r="G4" s="46" t="s">
        <v>35</v>
      </c>
      <c r="H4" s="46"/>
      <c r="I4" s="46"/>
      <c r="K4" s="46" t="s">
        <v>22</v>
      </c>
      <c r="L4" s="46"/>
      <c r="M4" s="46"/>
    </row>
    <row r="5" spans="1:15" x14ac:dyDescent="0.2">
      <c r="C5" s="3" t="s">
        <v>0</v>
      </c>
      <c r="D5" s="3" t="s">
        <v>1</v>
      </c>
      <c r="E5" s="3" t="s">
        <v>2</v>
      </c>
      <c r="G5" s="3" t="s">
        <v>0</v>
      </c>
      <c r="H5" s="3" t="s">
        <v>1</v>
      </c>
      <c r="I5" s="3" t="s">
        <v>2</v>
      </c>
      <c r="K5" s="3" t="s">
        <v>0</v>
      </c>
      <c r="L5" s="3" t="s">
        <v>1</v>
      </c>
      <c r="M5" s="3" t="s">
        <v>2</v>
      </c>
    </row>
    <row r="6" spans="1:15" x14ac:dyDescent="0.2">
      <c r="B6" s="4" t="s">
        <v>28</v>
      </c>
    </row>
    <row r="7" spans="1:15" x14ac:dyDescent="0.2">
      <c r="A7" s="17">
        <v>1</v>
      </c>
      <c r="B7" s="9" t="s">
        <v>4</v>
      </c>
      <c r="C7" s="10">
        <v>47470</v>
      </c>
      <c r="D7" s="11">
        <f>SUM(E7/C7)</f>
        <v>7.1002204234253217</v>
      </c>
      <c r="E7" s="12">
        <f>SUM(612813.57*1.1)/2</f>
        <v>337047.46350000001</v>
      </c>
      <c r="G7" s="10">
        <v>47470</v>
      </c>
      <c r="H7" s="11">
        <f>SUM(I7/G7)</f>
        <v>7.1002204234253217</v>
      </c>
      <c r="I7" s="12">
        <f>SUM(612813.57*1.1)/2</f>
        <v>337047.46350000001</v>
      </c>
      <c r="K7" s="10">
        <f t="shared" ref="K7" si="0">C7</f>
        <v>47470</v>
      </c>
      <c r="L7" s="11">
        <f>D7</f>
        <v>7.1002204234253217</v>
      </c>
      <c r="M7" s="12">
        <f>SUM(E7+I7)</f>
        <v>674094.92700000003</v>
      </c>
      <c r="O7" s="24"/>
    </row>
    <row r="8" spans="1:15" x14ac:dyDescent="0.2">
      <c r="A8" s="17">
        <v>2</v>
      </c>
      <c r="B8" s="9" t="s">
        <v>34</v>
      </c>
      <c r="C8" s="10">
        <v>47470</v>
      </c>
      <c r="D8" s="11">
        <f>SUM(E8/C8)</f>
        <v>91.627448915104281</v>
      </c>
      <c r="E8" s="12">
        <v>4349555</v>
      </c>
      <c r="G8" s="10">
        <v>47470</v>
      </c>
      <c r="H8" s="11">
        <v>0</v>
      </c>
      <c r="I8" s="12">
        <f>SUM(G8*H8)</f>
        <v>0</v>
      </c>
      <c r="K8" s="10">
        <f>C8</f>
        <v>47470</v>
      </c>
      <c r="L8" s="11">
        <f>SUM(M8/K8)</f>
        <v>91.627448915104281</v>
      </c>
      <c r="M8" s="12">
        <f>SUM(E8+I8)</f>
        <v>4349555</v>
      </c>
      <c r="O8" s="24"/>
    </row>
    <row r="9" spans="1:15" x14ac:dyDescent="0.2">
      <c r="A9" s="17">
        <v>3</v>
      </c>
      <c r="B9" s="9" t="s">
        <v>30</v>
      </c>
      <c r="C9" s="10">
        <v>47470</v>
      </c>
      <c r="D9" s="11">
        <f>SUM(E9/C9)</f>
        <v>122.24548135664631</v>
      </c>
      <c r="E9" s="12">
        <v>5802993</v>
      </c>
      <c r="G9" s="10">
        <v>47470</v>
      </c>
      <c r="H9" s="11">
        <v>0</v>
      </c>
      <c r="I9" s="12">
        <f>SUM(G9*H9)</f>
        <v>0</v>
      </c>
      <c r="K9" s="10">
        <f>C9</f>
        <v>47470</v>
      </c>
      <c r="L9" s="11">
        <f>SUM(M9/K9)</f>
        <v>122.24548135664631</v>
      </c>
      <c r="M9" s="12">
        <f>SUM(E9+I9)</f>
        <v>5802993</v>
      </c>
      <c r="O9" s="24"/>
    </row>
    <row r="10" spans="1:15" x14ac:dyDescent="0.2">
      <c r="A10" s="17">
        <v>4</v>
      </c>
      <c r="B10" s="9" t="s">
        <v>12</v>
      </c>
      <c r="C10" s="10">
        <v>1745</v>
      </c>
      <c r="D10" s="11">
        <v>450</v>
      </c>
      <c r="E10" s="12">
        <f>SUM(C10*D10)</f>
        <v>785250</v>
      </c>
      <c r="G10" s="10"/>
      <c r="H10" s="11"/>
      <c r="I10" s="12"/>
      <c r="K10" s="10">
        <f>C10</f>
        <v>1745</v>
      </c>
      <c r="L10" s="11">
        <f>D10</f>
        <v>450</v>
      </c>
      <c r="M10" s="12">
        <f>SUM(E10+I10)</f>
        <v>785250</v>
      </c>
      <c r="O10" s="24"/>
    </row>
    <row r="11" spans="1:15" x14ac:dyDescent="0.2">
      <c r="A11" s="17">
        <v>5</v>
      </c>
      <c r="B11" s="9" t="s">
        <v>13</v>
      </c>
      <c r="C11" s="10"/>
      <c r="D11" s="11"/>
      <c r="E11" s="12"/>
      <c r="G11" s="10">
        <v>1635</v>
      </c>
      <c r="H11" s="11">
        <v>450</v>
      </c>
      <c r="I11" s="12">
        <f t="shared" ref="I11:I12" si="1">SUM(G11*H11)</f>
        <v>735750</v>
      </c>
      <c r="K11" s="10">
        <f t="shared" ref="K11:M11" si="2">G11</f>
        <v>1635</v>
      </c>
      <c r="L11" s="11">
        <f t="shared" si="2"/>
        <v>450</v>
      </c>
      <c r="M11" s="12">
        <f t="shared" si="2"/>
        <v>735750</v>
      </c>
      <c r="O11" s="24"/>
    </row>
    <row r="12" spans="1:15" x14ac:dyDescent="0.2">
      <c r="A12" s="17">
        <v>6</v>
      </c>
      <c r="B12" s="9" t="s">
        <v>14</v>
      </c>
      <c r="C12" s="10"/>
      <c r="D12" s="11"/>
      <c r="E12" s="12"/>
      <c r="G12" s="10">
        <v>2100</v>
      </c>
      <c r="H12" s="11">
        <v>450</v>
      </c>
      <c r="I12" s="12">
        <f t="shared" si="1"/>
        <v>945000</v>
      </c>
      <c r="K12" s="10">
        <f t="shared" ref="K12:M14" si="3">G12</f>
        <v>2100</v>
      </c>
      <c r="L12" s="11">
        <f t="shared" si="3"/>
        <v>450</v>
      </c>
      <c r="M12" s="12">
        <f t="shared" si="3"/>
        <v>945000</v>
      </c>
      <c r="O12" s="24"/>
    </row>
    <row r="13" spans="1:15" x14ac:dyDescent="0.2">
      <c r="A13" s="17">
        <v>7</v>
      </c>
      <c r="B13" s="9" t="s">
        <v>32</v>
      </c>
      <c r="C13" s="10"/>
      <c r="D13" s="11"/>
      <c r="E13" s="12"/>
      <c r="F13" s="7"/>
      <c r="G13" s="10"/>
      <c r="H13" s="11"/>
      <c r="I13" s="12"/>
      <c r="K13" s="10"/>
      <c r="L13" s="11"/>
      <c r="M13" s="12"/>
      <c r="O13" s="24"/>
    </row>
    <row r="14" spans="1:15" x14ac:dyDescent="0.2">
      <c r="A14" s="17">
        <v>8</v>
      </c>
      <c r="B14" s="9" t="s">
        <v>11</v>
      </c>
      <c r="C14" s="10"/>
      <c r="D14" s="11"/>
      <c r="E14" s="12"/>
      <c r="G14" s="10">
        <v>1060</v>
      </c>
      <c r="H14" s="11">
        <v>450</v>
      </c>
      <c r="I14" s="12">
        <f>SUM(G14*H14)</f>
        <v>477000</v>
      </c>
      <c r="K14" s="10">
        <f>G14</f>
        <v>1060</v>
      </c>
      <c r="L14" s="11">
        <f t="shared" si="3"/>
        <v>450</v>
      </c>
      <c r="M14" s="12">
        <f t="shared" si="3"/>
        <v>477000</v>
      </c>
      <c r="O14" s="24"/>
    </row>
    <row r="15" spans="1:15" x14ac:dyDescent="0.2">
      <c r="A15" s="17">
        <v>9</v>
      </c>
      <c r="B15" s="9" t="s">
        <v>8</v>
      </c>
      <c r="C15" s="10">
        <v>1060</v>
      </c>
      <c r="D15" s="11">
        <v>190</v>
      </c>
      <c r="E15" s="12">
        <v>201400</v>
      </c>
      <c r="G15" s="10"/>
      <c r="H15" s="11"/>
      <c r="I15" s="12">
        <f>M15-E15</f>
        <v>0</v>
      </c>
      <c r="K15" s="10">
        <f>G15</f>
        <v>0</v>
      </c>
      <c r="L15" s="11">
        <f>H15</f>
        <v>0</v>
      </c>
      <c r="M15" s="12">
        <v>201400</v>
      </c>
      <c r="O15" s="24"/>
    </row>
    <row r="16" spans="1:15" x14ac:dyDescent="0.2">
      <c r="A16" s="17">
        <v>10</v>
      </c>
      <c r="B16" s="9" t="s">
        <v>10</v>
      </c>
      <c r="C16" s="10"/>
      <c r="D16" s="11"/>
      <c r="E16" s="12"/>
      <c r="G16" s="10">
        <v>185</v>
      </c>
      <c r="H16" s="11">
        <v>450</v>
      </c>
      <c r="I16" s="12">
        <f t="shared" ref="I16:I18" si="4">SUM(G16*H16)</f>
        <v>83250</v>
      </c>
      <c r="K16" s="10">
        <v>185</v>
      </c>
      <c r="L16" s="11">
        <v>450</v>
      </c>
      <c r="M16" s="12">
        <f t="shared" ref="M16" si="5">SUM(K16*L16)</f>
        <v>83250</v>
      </c>
      <c r="O16" s="24"/>
    </row>
    <row r="17" spans="1:15" x14ac:dyDescent="0.2">
      <c r="A17" s="17">
        <v>11</v>
      </c>
      <c r="B17" s="9" t="s">
        <v>31</v>
      </c>
      <c r="C17" s="10">
        <v>20864</v>
      </c>
      <c r="D17" s="11">
        <v>50</v>
      </c>
      <c r="E17" s="12">
        <f>SUM(C17*D17)</f>
        <v>1043200</v>
      </c>
      <c r="G17" s="10">
        <f>C17</f>
        <v>20864</v>
      </c>
      <c r="H17" s="11">
        <v>100</v>
      </c>
      <c r="I17" s="12">
        <f t="shared" si="4"/>
        <v>2086400</v>
      </c>
      <c r="K17" s="10">
        <f>G17</f>
        <v>20864</v>
      </c>
      <c r="L17" s="11">
        <f>SUM(D17+H17)</f>
        <v>150</v>
      </c>
      <c r="M17" s="12">
        <f>SUM(E17+I17)</f>
        <v>3129600</v>
      </c>
      <c r="O17" s="24"/>
    </row>
    <row r="18" spans="1:15" x14ac:dyDescent="0.2">
      <c r="A18" s="17">
        <v>12</v>
      </c>
      <c r="B18" s="9" t="s">
        <v>23</v>
      </c>
      <c r="C18" s="10"/>
      <c r="D18" s="11"/>
      <c r="E18" s="12">
        <v>1195800</v>
      </c>
      <c r="G18" s="10">
        <f>SUM(9538+451)</f>
        <v>9989</v>
      </c>
      <c r="H18" s="11">
        <v>100</v>
      </c>
      <c r="I18" s="12">
        <f t="shared" si="4"/>
        <v>998900</v>
      </c>
      <c r="K18" s="10">
        <f>G18</f>
        <v>9989</v>
      </c>
      <c r="L18" s="11">
        <f>SUM(D18+H18)</f>
        <v>100</v>
      </c>
      <c r="M18" s="12">
        <f>SUM(E18+I18)</f>
        <v>2194700</v>
      </c>
      <c r="O18" s="24"/>
    </row>
    <row r="19" spans="1:15" x14ac:dyDescent="0.2">
      <c r="A19" s="17">
        <v>13</v>
      </c>
      <c r="B19" s="9" t="s">
        <v>56</v>
      </c>
      <c r="C19" s="10"/>
      <c r="D19" s="11"/>
      <c r="E19" s="12">
        <v>20000</v>
      </c>
      <c r="G19" s="10"/>
      <c r="H19" s="11"/>
      <c r="I19" s="12"/>
      <c r="K19" s="10"/>
      <c r="L19" s="11"/>
      <c r="M19" s="12">
        <f>SUM(E19+I19)</f>
        <v>20000</v>
      </c>
      <c r="O19" s="24"/>
    </row>
    <row r="20" spans="1:15" ht="16" customHeight="1" x14ac:dyDescent="0.2">
      <c r="A20" s="17">
        <v>14</v>
      </c>
      <c r="B20" s="9" t="s">
        <v>16</v>
      </c>
      <c r="C20" s="10"/>
      <c r="D20" s="11"/>
      <c r="E20" s="12">
        <v>250000</v>
      </c>
      <c r="G20" s="10"/>
      <c r="H20" s="11"/>
      <c r="I20" s="12"/>
      <c r="K20" s="10"/>
      <c r="L20" s="11"/>
      <c r="M20" s="12">
        <f>SUM(E20+I20)</f>
        <v>250000</v>
      </c>
      <c r="O20" s="24"/>
    </row>
    <row r="21" spans="1:15" x14ac:dyDescent="0.2">
      <c r="A21" s="17">
        <v>15</v>
      </c>
      <c r="B21" s="9" t="s">
        <v>24</v>
      </c>
      <c r="C21" s="10"/>
      <c r="D21" s="11"/>
      <c r="E21" s="12">
        <v>800000</v>
      </c>
      <c r="G21" s="10"/>
      <c r="H21" s="11"/>
      <c r="I21" s="12"/>
      <c r="K21" s="10"/>
      <c r="L21" s="11"/>
      <c r="M21" s="12">
        <f>SUM(E21+I21)</f>
        <v>800000</v>
      </c>
      <c r="O21" s="24"/>
    </row>
    <row r="22" spans="1:15" x14ac:dyDescent="0.2">
      <c r="C22" s="2">
        <f>C9+C10</f>
        <v>49215</v>
      </c>
      <c r="D22" s="6">
        <f>SUM(E22/C22)</f>
        <v>300.42152724779032</v>
      </c>
      <c r="E22" s="5">
        <f>SUM(E7:E21)</f>
        <v>14785245.463500001</v>
      </c>
      <c r="F22" s="7"/>
      <c r="G22" s="2">
        <f>SUM(C7+C10+G11+G12+G14+G16)</f>
        <v>54195</v>
      </c>
      <c r="H22" s="6">
        <f>SUM(I22/G22)</f>
        <v>104.49944576990498</v>
      </c>
      <c r="I22" s="5">
        <f>SUM(I7:I21)</f>
        <v>5663347.4635000005</v>
      </c>
      <c r="K22" s="2">
        <f>G22</f>
        <v>54195</v>
      </c>
      <c r="L22" s="6">
        <f>SUM(M22/K22)</f>
        <v>377.31511997416737</v>
      </c>
      <c r="M22" s="5">
        <f>SUM(E22+I22)</f>
        <v>20448592.927000001</v>
      </c>
    </row>
    <row r="23" spans="1:15" x14ac:dyDescent="0.2">
      <c r="B23" s="4" t="s">
        <v>29</v>
      </c>
      <c r="C23" s="2"/>
      <c r="D23" s="6"/>
      <c r="E23" s="1"/>
      <c r="F23" s="7"/>
      <c r="G23" s="2"/>
      <c r="H23" s="6"/>
      <c r="I23" s="1"/>
      <c r="K23" s="2"/>
      <c r="L23" s="6"/>
      <c r="M23" s="1"/>
    </row>
    <row r="24" spans="1:15" x14ac:dyDescent="0.2">
      <c r="A24" s="17">
        <v>16</v>
      </c>
      <c r="B24" s="13" t="s">
        <v>4</v>
      </c>
      <c r="C24" s="14">
        <v>73109</v>
      </c>
      <c r="D24" s="15">
        <f>SUM(E24/C24)</f>
        <v>3.1749822867225648</v>
      </c>
      <c r="E24" s="16">
        <f>SUM(386866.3*1.2)/2</f>
        <v>232119.78</v>
      </c>
      <c r="F24" s="7"/>
      <c r="G24" s="14">
        <v>73109</v>
      </c>
      <c r="H24" s="15">
        <f>SUM(I24/G24)</f>
        <v>3.1749822867225648</v>
      </c>
      <c r="I24" s="16">
        <f>SUM(386866.3*1.2)/2</f>
        <v>232119.78</v>
      </c>
      <c r="K24" s="14">
        <f t="shared" ref="K24:L24" si="6">C24</f>
        <v>73109</v>
      </c>
      <c r="L24" s="15">
        <f t="shared" si="6"/>
        <v>3.1749822867225648</v>
      </c>
      <c r="M24" s="16">
        <f>SUM(E24+I24)</f>
        <v>464239.56</v>
      </c>
      <c r="O24" s="24"/>
    </row>
    <row r="25" spans="1:15" x14ac:dyDescent="0.2">
      <c r="A25" s="17">
        <v>17</v>
      </c>
      <c r="B25" s="13" t="s">
        <v>3</v>
      </c>
      <c r="C25" s="14">
        <v>7515</v>
      </c>
      <c r="D25" s="15">
        <v>15</v>
      </c>
      <c r="E25" s="16">
        <f>SUM(C25*D25)</f>
        <v>112725</v>
      </c>
      <c r="F25" s="7"/>
      <c r="G25" s="13"/>
      <c r="H25" s="13"/>
      <c r="I25" s="13"/>
      <c r="K25" s="14">
        <f t="shared" ref="K25:M26" si="7">C25</f>
        <v>7515</v>
      </c>
      <c r="L25" s="15">
        <f t="shared" si="7"/>
        <v>15</v>
      </c>
      <c r="M25" s="16">
        <f t="shared" si="7"/>
        <v>112725</v>
      </c>
    </row>
    <row r="26" spans="1:15" x14ac:dyDescent="0.2">
      <c r="A26" s="17">
        <v>18</v>
      </c>
      <c r="B26" s="13" t="s">
        <v>5</v>
      </c>
      <c r="C26" s="14">
        <v>2600</v>
      </c>
      <c r="D26" s="15">
        <v>10</v>
      </c>
      <c r="E26" s="16">
        <f>SUM(C26*D26)</f>
        <v>26000</v>
      </c>
      <c r="F26" s="7"/>
      <c r="G26" s="13"/>
      <c r="H26" s="13"/>
      <c r="I26" s="13"/>
      <c r="K26" s="14">
        <f t="shared" si="7"/>
        <v>2600</v>
      </c>
      <c r="L26" s="15">
        <f t="shared" si="7"/>
        <v>10</v>
      </c>
      <c r="M26" s="16">
        <f>E26</f>
        <v>26000</v>
      </c>
    </row>
    <row r="27" spans="1:15" x14ac:dyDescent="0.2">
      <c r="A27" s="17">
        <v>19</v>
      </c>
      <c r="B27" s="13" t="s">
        <v>34</v>
      </c>
      <c r="C27" s="14">
        <v>63009</v>
      </c>
      <c r="D27" s="15">
        <f>SUM(E27/C27)</f>
        <v>49.868717167388787</v>
      </c>
      <c r="E27" s="16">
        <f>SUM(4474178-1332000)</f>
        <v>3142178</v>
      </c>
      <c r="F27" s="7"/>
      <c r="G27" s="14">
        <v>63009</v>
      </c>
      <c r="H27" s="15">
        <f>SUM(I27/G27)</f>
        <v>21.139837166119126</v>
      </c>
      <c r="I27" s="16">
        <f>M27-E27</f>
        <v>1332000</v>
      </c>
      <c r="K27" s="14">
        <f>C27</f>
        <v>63009</v>
      </c>
      <c r="L27" s="15">
        <f>SUM(M27/K27)</f>
        <v>71.008554333507917</v>
      </c>
      <c r="M27" s="16">
        <v>4474178</v>
      </c>
      <c r="O27" s="24"/>
    </row>
    <row r="28" spans="1:15" ht="16" customHeight="1" x14ac:dyDescent="0.2">
      <c r="A28" s="17">
        <v>20</v>
      </c>
      <c r="B28" s="13" t="s">
        <v>30</v>
      </c>
      <c r="C28" s="14">
        <v>63009</v>
      </c>
      <c r="D28" s="15">
        <f>SUM(E28/C28)</f>
        <v>115.61526131187608</v>
      </c>
      <c r="E28" s="35">
        <v>7284802</v>
      </c>
      <c r="F28" s="31"/>
      <c r="G28" s="32">
        <v>63009</v>
      </c>
      <c r="H28" s="33">
        <f>SUM(I28/G28)</f>
        <v>0</v>
      </c>
      <c r="I28" s="35">
        <f>M28-E28</f>
        <v>0</v>
      </c>
      <c r="J28" s="34"/>
      <c r="K28" s="32">
        <f>C28</f>
        <v>63009</v>
      </c>
      <c r="L28" s="33">
        <f>SUM(M28/K28)</f>
        <v>115.61526131187608</v>
      </c>
      <c r="M28" s="35">
        <v>7284802</v>
      </c>
      <c r="O28" s="24"/>
    </row>
    <row r="29" spans="1:15" ht="16" customHeight="1" x14ac:dyDescent="0.2">
      <c r="B29" s="13" t="s">
        <v>57</v>
      </c>
      <c r="C29" s="14"/>
      <c r="D29" s="15"/>
      <c r="E29" s="16">
        <v>150000</v>
      </c>
      <c r="F29" s="7"/>
      <c r="G29" s="14"/>
      <c r="H29" s="15"/>
      <c r="I29" s="16"/>
      <c r="K29" s="14"/>
      <c r="L29" s="15"/>
      <c r="M29" s="16">
        <f>E29</f>
        <v>150000</v>
      </c>
      <c r="O29" s="24"/>
    </row>
    <row r="30" spans="1:15" ht="16" customHeight="1" x14ac:dyDescent="0.2">
      <c r="B30" s="13" t="s">
        <v>58</v>
      </c>
      <c r="C30" s="14"/>
      <c r="D30" s="15"/>
      <c r="E30" s="16">
        <v>150000</v>
      </c>
      <c r="F30" s="7"/>
      <c r="G30" s="14"/>
      <c r="H30" s="15"/>
      <c r="I30" s="16"/>
      <c r="K30" s="14"/>
      <c r="L30" s="15"/>
      <c r="M30" s="16">
        <f>E30</f>
        <v>150000</v>
      </c>
      <c r="O30" s="24"/>
    </row>
    <row r="31" spans="1:15" x14ac:dyDescent="0.2">
      <c r="A31" s="17">
        <v>21</v>
      </c>
      <c r="B31" s="13" t="s">
        <v>17</v>
      </c>
      <c r="C31" s="14">
        <v>2835</v>
      </c>
      <c r="D31" s="15">
        <v>450</v>
      </c>
      <c r="E31" s="16">
        <f t="shared" ref="E31:E40" si="8">SUM(C31*D31)</f>
        <v>1275750</v>
      </c>
      <c r="F31" s="7"/>
      <c r="G31" s="14"/>
      <c r="H31" s="15"/>
      <c r="I31" s="16"/>
      <c r="K31" s="14">
        <f>C31</f>
        <v>2835</v>
      </c>
      <c r="L31" s="15">
        <f>D31</f>
        <v>450</v>
      </c>
      <c r="M31" s="16">
        <f>E31</f>
        <v>1275750</v>
      </c>
    </row>
    <row r="32" spans="1:15" x14ac:dyDescent="0.2">
      <c r="A32" s="17">
        <v>22</v>
      </c>
      <c r="B32" s="13" t="s">
        <v>18</v>
      </c>
      <c r="C32" s="14"/>
      <c r="D32" s="15"/>
      <c r="E32" s="16"/>
      <c r="F32" s="7"/>
      <c r="G32" s="14">
        <v>2830</v>
      </c>
      <c r="H32" s="15">
        <v>450</v>
      </c>
      <c r="I32" s="16">
        <f t="shared" ref="I32:I41" si="9">SUM(G32*H32)</f>
        <v>1273500</v>
      </c>
      <c r="K32" s="14">
        <f t="shared" ref="K32:L34" si="10">G32</f>
        <v>2830</v>
      </c>
      <c r="L32" s="15">
        <f t="shared" si="10"/>
        <v>450</v>
      </c>
      <c r="M32" s="16">
        <f>I32</f>
        <v>1273500</v>
      </c>
    </row>
    <row r="33" spans="1:13" x14ac:dyDescent="0.2">
      <c r="A33" s="17">
        <v>23</v>
      </c>
      <c r="B33" s="13" t="s">
        <v>19</v>
      </c>
      <c r="C33" s="14">
        <v>3035</v>
      </c>
      <c r="D33" s="15">
        <v>450</v>
      </c>
      <c r="E33" s="16">
        <f>SUM(C33*D33)</f>
        <v>1365750</v>
      </c>
      <c r="F33" s="7"/>
      <c r="G33" s="13"/>
      <c r="H33" s="13"/>
      <c r="I33" s="13"/>
      <c r="K33" s="14">
        <f>C33</f>
        <v>3035</v>
      </c>
      <c r="L33" s="15">
        <f>D33</f>
        <v>450</v>
      </c>
      <c r="M33" s="16">
        <f>E33</f>
        <v>1365750</v>
      </c>
    </row>
    <row r="34" spans="1:13" x14ac:dyDescent="0.2">
      <c r="A34" s="17">
        <v>24</v>
      </c>
      <c r="B34" s="13" t="s">
        <v>20</v>
      </c>
      <c r="C34" s="14"/>
      <c r="D34" s="15"/>
      <c r="E34" s="16"/>
      <c r="F34" s="7"/>
      <c r="G34" s="14">
        <v>1515</v>
      </c>
      <c r="H34" s="15">
        <v>450</v>
      </c>
      <c r="I34" s="16">
        <f t="shared" si="9"/>
        <v>681750</v>
      </c>
      <c r="K34" s="14">
        <f t="shared" si="10"/>
        <v>1515</v>
      </c>
      <c r="L34" s="15">
        <f t="shared" si="10"/>
        <v>450</v>
      </c>
      <c r="M34" s="16">
        <f>I34</f>
        <v>681750</v>
      </c>
    </row>
    <row r="35" spans="1:13" x14ac:dyDescent="0.2">
      <c r="A35" s="17">
        <v>25</v>
      </c>
      <c r="B35" s="13" t="s">
        <v>33</v>
      </c>
      <c r="C35" s="14"/>
      <c r="D35" s="15"/>
      <c r="E35" s="16"/>
      <c r="F35" s="7"/>
      <c r="G35" s="14"/>
      <c r="H35" s="15"/>
      <c r="I35" s="16"/>
      <c r="K35" s="14"/>
      <c r="L35" s="15"/>
      <c r="M35" s="16"/>
    </row>
    <row r="36" spans="1:13" x14ac:dyDescent="0.2">
      <c r="A36" s="17">
        <v>26</v>
      </c>
      <c r="B36" s="13" t="s">
        <v>21</v>
      </c>
      <c r="C36" s="14">
        <v>6135</v>
      </c>
      <c r="D36" s="15">
        <v>450</v>
      </c>
      <c r="E36" s="16">
        <f>SUM(C36*D36)</f>
        <v>2760750</v>
      </c>
      <c r="F36" s="7"/>
      <c r="G36" s="13"/>
      <c r="H36" s="13"/>
      <c r="I36" s="13"/>
      <c r="K36" s="14">
        <f>C36</f>
        <v>6135</v>
      </c>
      <c r="L36" s="15">
        <f>D36</f>
        <v>450</v>
      </c>
      <c r="M36" s="16">
        <f>E36</f>
        <v>2760750</v>
      </c>
    </row>
    <row r="37" spans="1:13" ht="16" customHeight="1" x14ac:dyDescent="0.2">
      <c r="A37" s="17">
        <v>27</v>
      </c>
      <c r="B37" s="13" t="s">
        <v>25</v>
      </c>
      <c r="C37" s="14">
        <f>SUM(16600+650)</f>
        <v>17250</v>
      </c>
      <c r="D37" s="15">
        <v>50</v>
      </c>
      <c r="E37" s="16">
        <f t="shared" si="8"/>
        <v>862500</v>
      </c>
      <c r="F37" s="7"/>
      <c r="G37" s="14">
        <f>SUM(16600+650)</f>
        <v>17250</v>
      </c>
      <c r="H37" s="15">
        <v>100</v>
      </c>
      <c r="I37" s="16">
        <f t="shared" si="9"/>
        <v>1725000</v>
      </c>
      <c r="K37" s="14">
        <f>C37</f>
        <v>17250</v>
      </c>
      <c r="L37" s="15">
        <f>SUM(D37+H37)</f>
        <v>150</v>
      </c>
      <c r="M37" s="16">
        <f>SUM(E37+I37)</f>
        <v>2587500</v>
      </c>
    </row>
    <row r="38" spans="1:13" x14ac:dyDescent="0.2">
      <c r="A38" s="17">
        <v>28</v>
      </c>
      <c r="B38" s="13" t="s">
        <v>8</v>
      </c>
      <c r="C38" s="14">
        <v>1700</v>
      </c>
      <c r="D38" s="15">
        <v>190</v>
      </c>
      <c r="E38" s="16">
        <f t="shared" si="8"/>
        <v>323000</v>
      </c>
      <c r="F38" s="7"/>
      <c r="G38" s="14"/>
      <c r="H38" s="15"/>
      <c r="I38" s="16"/>
      <c r="K38" s="14">
        <v>1700</v>
      </c>
      <c r="L38" s="15">
        <v>190</v>
      </c>
      <c r="M38" s="16">
        <f>SUM(K38*L38)</f>
        <v>323000</v>
      </c>
    </row>
    <row r="39" spans="1:13" x14ac:dyDescent="0.2">
      <c r="A39" s="17">
        <v>29</v>
      </c>
      <c r="B39" s="13" t="s">
        <v>49</v>
      </c>
      <c r="C39" s="14">
        <v>7290</v>
      </c>
      <c r="D39" s="15">
        <v>50</v>
      </c>
      <c r="E39" s="16">
        <f t="shared" ref="E39" si="11">SUM(C39*D39)</f>
        <v>364500</v>
      </c>
      <c r="F39" s="7"/>
      <c r="G39" s="14">
        <v>7290</v>
      </c>
      <c r="H39" s="15">
        <v>100</v>
      </c>
      <c r="I39" s="16">
        <f t="shared" ref="I39" si="12">SUM(G39*H39)</f>
        <v>729000</v>
      </c>
      <c r="K39" s="14">
        <v>7290</v>
      </c>
      <c r="L39" s="15">
        <f t="shared" ref="L39:M41" si="13">SUM(D39+H39)</f>
        <v>150</v>
      </c>
      <c r="M39" s="16">
        <f t="shared" si="13"/>
        <v>1093500</v>
      </c>
    </row>
    <row r="40" spans="1:13" ht="16" customHeight="1" x14ac:dyDescent="0.2">
      <c r="A40" s="17">
        <v>30</v>
      </c>
      <c r="B40" s="13" t="s">
        <v>26</v>
      </c>
      <c r="C40" s="14">
        <v>7290</v>
      </c>
      <c r="D40" s="15">
        <v>100</v>
      </c>
      <c r="E40" s="16">
        <f t="shared" si="8"/>
        <v>729000</v>
      </c>
      <c r="F40" s="7"/>
      <c r="G40" s="14">
        <v>7290</v>
      </c>
      <c r="H40" s="15">
        <v>50</v>
      </c>
      <c r="I40" s="16">
        <f t="shared" si="9"/>
        <v>364500</v>
      </c>
      <c r="K40" s="14">
        <v>7290</v>
      </c>
      <c r="L40" s="15">
        <f t="shared" si="13"/>
        <v>150</v>
      </c>
      <c r="M40" s="16">
        <f t="shared" si="13"/>
        <v>1093500</v>
      </c>
    </row>
    <row r="41" spans="1:13" x14ac:dyDescent="0.2">
      <c r="A41" s="17">
        <v>31</v>
      </c>
      <c r="B41" s="13" t="s">
        <v>27</v>
      </c>
      <c r="C41" s="14">
        <v>7290</v>
      </c>
      <c r="D41" s="15">
        <v>50</v>
      </c>
      <c r="E41" s="16">
        <f t="shared" ref="E41" si="14">SUM(C41*D41)</f>
        <v>364500</v>
      </c>
      <c r="F41" s="7"/>
      <c r="G41" s="14">
        <v>7290</v>
      </c>
      <c r="H41" s="15">
        <v>100</v>
      </c>
      <c r="I41" s="16">
        <f t="shared" si="9"/>
        <v>729000</v>
      </c>
      <c r="K41" s="14">
        <v>7290</v>
      </c>
      <c r="L41" s="15">
        <f t="shared" si="13"/>
        <v>150</v>
      </c>
      <c r="M41" s="16">
        <f t="shared" si="13"/>
        <v>1093500</v>
      </c>
    </row>
    <row r="42" spans="1:13" x14ac:dyDescent="0.2">
      <c r="A42" s="17">
        <v>32</v>
      </c>
      <c r="B42" s="13" t="s">
        <v>15</v>
      </c>
      <c r="C42" s="14"/>
      <c r="D42" s="15"/>
      <c r="E42" s="16">
        <v>250000</v>
      </c>
      <c r="F42" s="7"/>
      <c r="G42" s="14"/>
      <c r="H42" s="15"/>
      <c r="I42" s="16"/>
      <c r="K42" s="14"/>
      <c r="L42" s="15"/>
      <c r="M42" s="16">
        <f>E42</f>
        <v>250000</v>
      </c>
    </row>
    <row r="43" spans="1:13" x14ac:dyDescent="0.2">
      <c r="A43" s="17">
        <v>33</v>
      </c>
      <c r="B43" s="13" t="s">
        <v>24</v>
      </c>
      <c r="C43" s="14"/>
      <c r="D43" s="15"/>
      <c r="E43" s="16">
        <v>800000</v>
      </c>
      <c r="F43" s="7"/>
      <c r="G43" s="14"/>
      <c r="H43" s="15"/>
      <c r="I43" s="16"/>
      <c r="K43" s="14"/>
      <c r="L43" s="15"/>
      <c r="M43" s="16">
        <f>E43</f>
        <v>800000</v>
      </c>
    </row>
    <row r="44" spans="1:13" x14ac:dyDescent="0.2">
      <c r="C44" s="2">
        <f>SUM(C24-C25-C26+C36+C33+C31)</f>
        <v>74999</v>
      </c>
      <c r="D44" s="6">
        <f>SUM(E44/C44)</f>
        <v>269.25125375005001</v>
      </c>
      <c r="E44" s="5">
        <f>SUM(E24:E43)</f>
        <v>20193574.780000001</v>
      </c>
      <c r="F44" s="7"/>
      <c r="G44" s="2">
        <f>SUM(C24-C25-C26+C31+G32+C33+G34+C36)</f>
        <v>79344</v>
      </c>
      <c r="H44" s="6">
        <f>SUM(I44/G44)</f>
        <v>89.066215214761044</v>
      </c>
      <c r="I44" s="5">
        <f>SUM(I24:I43)</f>
        <v>7066869.7800000003</v>
      </c>
      <c r="K44" s="2">
        <f>G44</f>
        <v>79344</v>
      </c>
      <c r="L44" s="6">
        <f>SUM(M44/K44)</f>
        <v>343.57285440613032</v>
      </c>
      <c r="M44" s="5">
        <f>SUM(E44+I44)</f>
        <v>27260444.560000002</v>
      </c>
    </row>
    <row r="45" spans="1:13" ht="7" customHeight="1" x14ac:dyDescent="0.2">
      <c r="C45" s="2"/>
      <c r="D45" s="6"/>
      <c r="E45" s="5"/>
      <c r="F45" s="7"/>
      <c r="G45" s="2"/>
      <c r="H45" s="6"/>
      <c r="I45" s="5"/>
      <c r="K45" s="2"/>
      <c r="L45" s="6"/>
      <c r="M45" s="5"/>
    </row>
    <row r="46" spans="1:13" x14ac:dyDescent="0.2">
      <c r="C46" s="2">
        <f>SUM(C22+C44)</f>
        <v>124214</v>
      </c>
      <c r="D46" s="6">
        <f>SUM(E46/C46)</f>
        <v>281.60127073840312</v>
      </c>
      <c r="E46" s="5">
        <f>SUM(E22+E44)</f>
        <v>34978820.243500002</v>
      </c>
      <c r="F46" s="7"/>
      <c r="G46" s="2">
        <f>SUM(G22+G44)</f>
        <v>133539</v>
      </c>
      <c r="H46" s="6">
        <f>SUM(I46/G46)</f>
        <v>95.329583443787968</v>
      </c>
      <c r="I46" s="5">
        <f>SUM(I22+I44)</f>
        <v>12730217.243500002</v>
      </c>
      <c r="K46" s="2">
        <f>SUM(K22+K44)</f>
        <v>133539</v>
      </c>
      <c r="L46" s="6">
        <f>SUM(M46/K46)</f>
        <v>357.26669727195804</v>
      </c>
      <c r="M46" s="5">
        <f>SUM(M22+M44)</f>
        <v>47709037.487000003</v>
      </c>
    </row>
    <row r="49" spans="2:2" x14ac:dyDescent="0.2">
      <c r="B49" s="25"/>
    </row>
    <row r="52" spans="2:2" x14ac:dyDescent="0.2">
      <c r="B52" t="s">
        <v>55</v>
      </c>
    </row>
  </sheetData>
  <mergeCells count="5">
    <mergeCell ref="C4:E4"/>
    <mergeCell ref="G4:I4"/>
    <mergeCell ref="K4:M4"/>
    <mergeCell ref="C3:E3"/>
    <mergeCell ref="C1:I1"/>
  </mergeCells>
  <pageMargins left="0.7" right="0.7" top="0.75" bottom="0.75" header="0.3" footer="0.3"/>
  <pageSetup scale="70" orientation="landscape" horizontalDpi="4294967293" verticalDpi="4294967293" r:id="rId1"/>
  <headerFooter>
    <oddHeader>&amp;L&amp;"Calibri,Regular"&amp;K000000Yellow Springs Schools&amp;C&amp;"Calibri,Regular"&amp;K000000Renovation and Addition Plan Draft Budget&amp;R&amp;"Calibri,Regular"&amp;K000000Facility Master Plan</oddHeader>
    <oddFooter>&amp;L&amp;"Calibri,Regular"&amp;K000000Ruetschle Architects, Motz Engineering&amp;R&amp;"Calibri,Regular"&amp;K000000&amp;D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5671-F5D6-D840-A925-F1E4C3EC50AD}">
  <dimension ref="A1:O22"/>
  <sheetViews>
    <sheetView zoomScale="120" zoomScaleNormal="120" workbookViewId="0">
      <selection activeCell="B40" sqref="B40"/>
    </sheetView>
  </sheetViews>
  <sheetFormatPr baseColWidth="10" defaultColWidth="11" defaultRowHeight="16" x14ac:dyDescent="0.2"/>
  <cols>
    <col min="1" max="1" width="2.83203125" style="17" bestFit="1" customWidth="1"/>
    <col min="2" max="2" width="49" customWidth="1"/>
    <col min="3" max="3" width="7.83203125" bestFit="1" customWidth="1"/>
    <col min="4" max="4" width="9.1640625" bestFit="1" customWidth="1"/>
    <col min="5" max="5" width="13.6640625" bestFit="1" customWidth="1"/>
    <col min="6" max="6" width="2.83203125" style="8" customWidth="1"/>
    <col min="7" max="7" width="7.83203125" bestFit="1" customWidth="1"/>
    <col min="8" max="8" width="9.1640625" bestFit="1" customWidth="1"/>
    <col min="9" max="9" width="11.5" bestFit="1" customWidth="1"/>
    <col min="10" max="10" width="2.33203125" customWidth="1"/>
    <col min="11" max="11" width="7.6640625" bestFit="1" customWidth="1"/>
    <col min="12" max="12" width="9.1640625" bestFit="1" customWidth="1"/>
    <col min="13" max="13" width="11.1640625" bestFit="1" customWidth="1"/>
    <col min="14" max="14" width="2.83203125" customWidth="1"/>
    <col min="15" max="15" width="2.1640625" customWidth="1"/>
  </cols>
  <sheetData>
    <row r="1" spans="1:15" x14ac:dyDescent="0.2">
      <c r="C1" s="47" t="s">
        <v>54</v>
      </c>
      <c r="D1" s="47"/>
      <c r="E1" s="47"/>
      <c r="F1" s="47"/>
      <c r="G1" s="47"/>
      <c r="H1" s="47"/>
      <c r="I1" s="47"/>
    </row>
    <row r="2" spans="1:15" ht="8" customHeight="1" x14ac:dyDescent="0.2"/>
    <row r="3" spans="1:15" x14ac:dyDescent="0.2">
      <c r="C3" s="47" t="s">
        <v>53</v>
      </c>
      <c r="D3" s="47"/>
      <c r="E3" s="47"/>
    </row>
    <row r="4" spans="1:15" ht="47" customHeight="1" x14ac:dyDescent="0.2">
      <c r="C4" s="46" t="s">
        <v>50</v>
      </c>
      <c r="D4" s="46"/>
      <c r="E4" s="46"/>
      <c r="G4" s="46" t="s">
        <v>35</v>
      </c>
      <c r="H4" s="46"/>
      <c r="I4" s="46"/>
      <c r="K4" s="46" t="s">
        <v>22</v>
      </c>
      <c r="L4" s="46"/>
      <c r="M4" s="46"/>
    </row>
    <row r="5" spans="1:15" x14ac:dyDescent="0.2">
      <c r="C5" s="3" t="s">
        <v>0</v>
      </c>
      <c r="D5" s="3" t="s">
        <v>1</v>
      </c>
      <c r="E5" s="3" t="s">
        <v>2</v>
      </c>
      <c r="G5" s="3" t="s">
        <v>0</v>
      </c>
      <c r="H5" s="3" t="s">
        <v>1</v>
      </c>
      <c r="I5" s="3" t="s">
        <v>2</v>
      </c>
      <c r="K5" s="3" t="s">
        <v>0</v>
      </c>
      <c r="L5" s="3" t="s">
        <v>1</v>
      </c>
      <c r="M5" s="3" t="s">
        <v>2</v>
      </c>
    </row>
    <row r="6" spans="1:15" x14ac:dyDescent="0.2">
      <c r="B6" s="4" t="s">
        <v>70</v>
      </c>
    </row>
    <row r="7" spans="1:15" x14ac:dyDescent="0.2">
      <c r="A7" s="17">
        <v>1</v>
      </c>
      <c r="B7" s="9" t="s">
        <v>4</v>
      </c>
      <c r="C7" s="10">
        <v>47470</v>
      </c>
      <c r="D7" s="11">
        <f>SUM(E7/C7)</f>
        <v>7.1002204234253217</v>
      </c>
      <c r="E7" s="12">
        <f>SUM(612813.57*1.1)/2</f>
        <v>337047.46350000001</v>
      </c>
      <c r="G7" s="10">
        <v>47470</v>
      </c>
      <c r="H7" s="11">
        <f>SUM(I7/G7)</f>
        <v>7.1002204234253217</v>
      </c>
      <c r="I7" s="12">
        <f>SUM(612813.57*1.1)/2</f>
        <v>337047.46350000001</v>
      </c>
      <c r="K7" s="10">
        <f t="shared" ref="K7" si="0">C7</f>
        <v>47470</v>
      </c>
      <c r="L7" s="11">
        <f>D7</f>
        <v>7.1002204234253217</v>
      </c>
      <c r="M7" s="12">
        <f>SUM(E7+I7)</f>
        <v>674094.92700000003</v>
      </c>
      <c r="O7" s="24"/>
    </row>
    <row r="8" spans="1:15" x14ac:dyDescent="0.2">
      <c r="A8" s="17">
        <v>2</v>
      </c>
      <c r="B8" s="9" t="s">
        <v>34</v>
      </c>
      <c r="C8" s="10">
        <v>47470</v>
      </c>
      <c r="D8" s="11">
        <f>SUM(E8/C8)</f>
        <v>91.627448915104281</v>
      </c>
      <c r="E8" s="12">
        <v>4349555</v>
      </c>
      <c r="G8" s="10">
        <v>47470</v>
      </c>
      <c r="H8" s="11">
        <v>0</v>
      </c>
      <c r="I8" s="12">
        <f>SUM(G8*H8)</f>
        <v>0</v>
      </c>
      <c r="K8" s="10">
        <f>C8</f>
        <v>47470</v>
      </c>
      <c r="L8" s="11">
        <f>SUM(M8/K8)</f>
        <v>91.627448915104281</v>
      </c>
      <c r="M8" s="12">
        <f>SUM(E8+I8)</f>
        <v>4349555</v>
      </c>
      <c r="O8" s="24"/>
    </row>
    <row r="9" spans="1:15" x14ac:dyDescent="0.2">
      <c r="A9" s="17">
        <v>3</v>
      </c>
      <c r="B9" s="9" t="s">
        <v>30</v>
      </c>
      <c r="C9" s="10">
        <v>47470</v>
      </c>
      <c r="D9" s="11">
        <f>SUM(E9/C9)</f>
        <v>122.24548135664631</v>
      </c>
      <c r="E9" s="12">
        <v>5802993</v>
      </c>
      <c r="G9" s="10">
        <v>47470</v>
      </c>
      <c r="H9" s="11">
        <v>0</v>
      </c>
      <c r="I9" s="12">
        <f>SUM(G9*H9)</f>
        <v>0</v>
      </c>
      <c r="K9" s="10">
        <f>C9</f>
        <v>47470</v>
      </c>
      <c r="L9" s="11">
        <f>SUM(M9/K9)</f>
        <v>122.24548135664631</v>
      </c>
      <c r="M9" s="12">
        <f>SUM(E9+I9)</f>
        <v>5802993</v>
      </c>
      <c r="O9" s="24"/>
    </row>
    <row r="10" spans="1:15" x14ac:dyDescent="0.2">
      <c r="A10" s="17">
        <v>4</v>
      </c>
      <c r="B10" s="9" t="s">
        <v>12</v>
      </c>
      <c r="C10" s="10"/>
      <c r="D10" s="11"/>
      <c r="E10" s="12"/>
      <c r="G10" s="10"/>
      <c r="H10" s="11"/>
      <c r="I10" s="12"/>
      <c r="K10" s="10">
        <f>C10</f>
        <v>0</v>
      </c>
      <c r="L10" s="11">
        <f>D10</f>
        <v>0</v>
      </c>
      <c r="M10" s="12">
        <f>SUM(E10+I10)</f>
        <v>0</v>
      </c>
      <c r="O10" s="24"/>
    </row>
    <row r="11" spans="1:15" x14ac:dyDescent="0.2">
      <c r="A11" s="17">
        <v>5</v>
      </c>
      <c r="B11" s="9" t="s">
        <v>13</v>
      </c>
      <c r="C11" s="10"/>
      <c r="D11" s="11"/>
      <c r="E11" s="12"/>
      <c r="G11" s="10"/>
      <c r="H11" s="11"/>
      <c r="I11" s="12"/>
      <c r="K11" s="10">
        <f t="shared" ref="K11:M14" si="1">G11</f>
        <v>0</v>
      </c>
      <c r="L11" s="11">
        <f t="shared" si="1"/>
        <v>0</v>
      </c>
      <c r="M11" s="12">
        <f t="shared" si="1"/>
        <v>0</v>
      </c>
      <c r="O11" s="24"/>
    </row>
    <row r="12" spans="1:15" x14ac:dyDescent="0.2">
      <c r="A12" s="17">
        <v>6</v>
      </c>
      <c r="B12" s="9" t="s">
        <v>14</v>
      </c>
      <c r="C12" s="10"/>
      <c r="D12" s="11"/>
      <c r="E12" s="12"/>
      <c r="G12" s="10"/>
      <c r="H12" s="11"/>
      <c r="I12" s="12"/>
      <c r="K12" s="10">
        <f t="shared" si="1"/>
        <v>0</v>
      </c>
      <c r="L12" s="11">
        <f t="shared" si="1"/>
        <v>0</v>
      </c>
      <c r="M12" s="12">
        <f t="shared" si="1"/>
        <v>0</v>
      </c>
      <c r="O12" s="24"/>
    </row>
    <row r="13" spans="1:15" x14ac:dyDescent="0.2">
      <c r="A13" s="17">
        <v>7</v>
      </c>
      <c r="B13" s="9" t="s">
        <v>32</v>
      </c>
      <c r="C13" s="10"/>
      <c r="D13" s="11"/>
      <c r="E13" s="12"/>
      <c r="F13" s="7"/>
      <c r="G13" s="10"/>
      <c r="H13" s="11"/>
      <c r="I13" s="12"/>
      <c r="K13" s="10"/>
      <c r="L13" s="11"/>
      <c r="M13" s="12"/>
      <c r="O13" s="24"/>
    </row>
    <row r="14" spans="1:15" x14ac:dyDescent="0.2">
      <c r="A14" s="17">
        <v>8</v>
      </c>
      <c r="B14" s="9" t="s">
        <v>11</v>
      </c>
      <c r="C14" s="10"/>
      <c r="D14" s="11"/>
      <c r="E14" s="12"/>
      <c r="G14" s="10"/>
      <c r="H14" s="11"/>
      <c r="I14" s="12"/>
      <c r="K14" s="10">
        <f>G14</f>
        <v>0</v>
      </c>
      <c r="L14" s="11">
        <f t="shared" si="1"/>
        <v>0</v>
      </c>
      <c r="M14" s="12">
        <f t="shared" si="1"/>
        <v>0</v>
      </c>
      <c r="O14" s="24"/>
    </row>
    <row r="15" spans="1:15" x14ac:dyDescent="0.2">
      <c r="A15" s="17">
        <v>9</v>
      </c>
      <c r="B15" s="9" t="s">
        <v>8</v>
      </c>
      <c r="C15" s="10">
        <v>1060</v>
      </c>
      <c r="D15" s="11">
        <v>190</v>
      </c>
      <c r="E15" s="12">
        <v>201400</v>
      </c>
      <c r="G15" s="10"/>
      <c r="H15" s="11"/>
      <c r="I15" s="12">
        <f>M15-E15</f>
        <v>0</v>
      </c>
      <c r="K15" s="10">
        <f>G15</f>
        <v>0</v>
      </c>
      <c r="L15" s="11">
        <f>H15</f>
        <v>0</v>
      </c>
      <c r="M15" s="12">
        <v>201400</v>
      </c>
      <c r="O15" s="24"/>
    </row>
    <row r="16" spans="1:15" x14ac:dyDescent="0.2">
      <c r="A16" s="17">
        <v>10</v>
      </c>
      <c r="B16" s="9" t="s">
        <v>10</v>
      </c>
      <c r="C16" s="10"/>
      <c r="D16" s="11"/>
      <c r="E16" s="12"/>
      <c r="G16" s="10">
        <v>185</v>
      </c>
      <c r="H16" s="11">
        <v>450</v>
      </c>
      <c r="I16" s="12">
        <f t="shared" ref="I16:I18" si="2">SUM(G16*H16)</f>
        <v>83250</v>
      </c>
      <c r="K16" s="10">
        <v>185</v>
      </c>
      <c r="L16" s="11">
        <v>450</v>
      </c>
      <c r="M16" s="12">
        <f t="shared" ref="M16" si="3">SUM(K16*L16)</f>
        <v>83250</v>
      </c>
      <c r="O16" s="24"/>
    </row>
    <row r="17" spans="1:15" x14ac:dyDescent="0.2">
      <c r="A17" s="17">
        <v>11</v>
      </c>
      <c r="B17" s="9" t="s">
        <v>31</v>
      </c>
      <c r="C17" s="10">
        <v>20864</v>
      </c>
      <c r="D17" s="11">
        <v>50</v>
      </c>
      <c r="E17" s="12">
        <f>SUM(C17*D17)</f>
        <v>1043200</v>
      </c>
      <c r="G17" s="10">
        <f>C17</f>
        <v>20864</v>
      </c>
      <c r="H17" s="11">
        <v>100</v>
      </c>
      <c r="I17" s="12">
        <f t="shared" si="2"/>
        <v>2086400</v>
      </c>
      <c r="K17" s="10">
        <f>G17</f>
        <v>20864</v>
      </c>
      <c r="L17" s="11">
        <f>SUM(D17+H17)</f>
        <v>150</v>
      </c>
      <c r="M17" s="12">
        <f>SUM(E17+I17)</f>
        <v>3129600</v>
      </c>
      <c r="O17" s="24"/>
    </row>
    <row r="18" spans="1:15" x14ac:dyDescent="0.2">
      <c r="A18" s="17">
        <v>12</v>
      </c>
      <c r="B18" s="9" t="s">
        <v>23</v>
      </c>
      <c r="C18" s="10"/>
      <c r="D18" s="11"/>
      <c r="E18" s="12">
        <v>1195800</v>
      </c>
      <c r="G18" s="10">
        <f>SUM(9538+451)</f>
        <v>9989</v>
      </c>
      <c r="H18" s="11">
        <v>100</v>
      </c>
      <c r="I18" s="12">
        <f t="shared" si="2"/>
        <v>998900</v>
      </c>
      <c r="K18" s="10">
        <f>G18</f>
        <v>9989</v>
      </c>
      <c r="L18" s="11">
        <f>SUM(D18+H18)</f>
        <v>100</v>
      </c>
      <c r="M18" s="12">
        <f>SUM(E18+I18)</f>
        <v>2194700</v>
      </c>
      <c r="O18" s="24"/>
    </row>
    <row r="19" spans="1:15" x14ac:dyDescent="0.2">
      <c r="A19" s="17">
        <v>13</v>
      </c>
      <c r="B19" s="9" t="s">
        <v>56</v>
      </c>
      <c r="C19" s="10"/>
      <c r="D19" s="11"/>
      <c r="E19" s="12">
        <v>20000</v>
      </c>
      <c r="G19" s="10"/>
      <c r="H19" s="11"/>
      <c r="I19" s="12"/>
      <c r="K19" s="10"/>
      <c r="L19" s="11"/>
      <c r="M19" s="12">
        <f>SUM(E19+I19)</f>
        <v>20000</v>
      </c>
      <c r="O19" s="24"/>
    </row>
    <row r="20" spans="1:15" ht="16" customHeight="1" x14ac:dyDescent="0.2">
      <c r="A20" s="17">
        <v>14</v>
      </c>
      <c r="B20" s="9" t="s">
        <v>16</v>
      </c>
      <c r="C20" s="10"/>
      <c r="D20" s="11"/>
      <c r="E20" s="12">
        <v>250000</v>
      </c>
      <c r="G20" s="10"/>
      <c r="H20" s="11"/>
      <c r="I20" s="12"/>
      <c r="K20" s="10"/>
      <c r="L20" s="11"/>
      <c r="M20" s="12">
        <f>SUM(E20+I20)</f>
        <v>250000</v>
      </c>
      <c r="O20" s="24"/>
    </row>
    <row r="21" spans="1:15" x14ac:dyDescent="0.2">
      <c r="A21" s="17">
        <v>15</v>
      </c>
      <c r="B21" s="9" t="s">
        <v>24</v>
      </c>
      <c r="C21" s="10"/>
      <c r="D21" s="11"/>
      <c r="E21" s="12">
        <v>800000</v>
      </c>
      <c r="G21" s="10"/>
      <c r="H21" s="11"/>
      <c r="I21" s="12"/>
      <c r="K21" s="10"/>
      <c r="L21" s="11"/>
      <c r="M21" s="12">
        <f>SUM(E21+I21)</f>
        <v>800000</v>
      </c>
      <c r="O21" s="24"/>
    </row>
    <row r="22" spans="1:15" x14ac:dyDescent="0.2">
      <c r="C22" s="2">
        <f>C9+C10</f>
        <v>47470</v>
      </c>
      <c r="D22" s="6">
        <f>SUM(E22/C22)</f>
        <v>294.92301376658946</v>
      </c>
      <c r="E22" s="5">
        <f>SUM(E7:E21)</f>
        <v>13999995.463500001</v>
      </c>
      <c r="F22" s="7"/>
      <c r="G22" s="2">
        <f>SUM(C7+C10+G11+G12+G14+G16)</f>
        <v>47655</v>
      </c>
      <c r="H22" s="6">
        <f>SUM(I22/G22)</f>
        <v>73.562007417899494</v>
      </c>
      <c r="I22" s="5">
        <f>SUM(I7:I21)</f>
        <v>3505597.4635000001</v>
      </c>
      <c r="K22" s="2">
        <f>G22</f>
        <v>47655</v>
      </c>
      <c r="L22" s="6">
        <f>SUM(M22/K22)</f>
        <v>367.34010968418846</v>
      </c>
      <c r="M22" s="5">
        <f>SUM(E22+I22)</f>
        <v>17505592.927000001</v>
      </c>
    </row>
  </sheetData>
  <mergeCells count="5">
    <mergeCell ref="C1:I1"/>
    <mergeCell ref="C3:E3"/>
    <mergeCell ref="C4:E4"/>
    <mergeCell ref="G4:I4"/>
    <mergeCell ref="K4:M4"/>
  </mergeCells>
  <pageMargins left="0.7" right="0.7" top="0.75" bottom="0.75" header="0.3" footer="0.3"/>
  <pageSetup scale="73" orientation="landscape" horizontalDpi="4294967293" verticalDpi="4294967293" r:id="rId1"/>
  <headerFooter>
    <oddHeader>&amp;L&amp;"Calibri,Regular"&amp;K000000Yellow Springs Schools&amp;C&amp;"Calibri,Regular"&amp;K000000Renovation and Addition Plan Draft Budget&amp;R&amp;"Calibri,Regular"&amp;K000000Facility Master Plan</oddHeader>
    <oddFooter>&amp;L&amp;"Calibri,Regular"&amp;K000000Ruetschle Architects, Motz Engineering&amp;R&amp;"Calibri,Regular"&amp;K000000&amp;D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5499-BC1C-F940-A4FD-59AEF7C5130B}">
  <dimension ref="A1:G29"/>
  <sheetViews>
    <sheetView zoomScale="180" zoomScaleNormal="180" workbookViewId="0">
      <selection activeCell="B15" sqref="B15"/>
    </sheetView>
  </sheetViews>
  <sheetFormatPr baseColWidth="10" defaultColWidth="11" defaultRowHeight="16" x14ac:dyDescent="0.2"/>
  <cols>
    <col min="1" max="1" width="48" customWidth="1"/>
    <col min="2" max="2" width="8.5" customWidth="1"/>
    <col min="3" max="3" width="8.1640625" bestFit="1" customWidth="1"/>
    <col min="4" max="4" width="12" bestFit="1" customWidth="1"/>
    <col min="5" max="5" width="1.5" style="8" customWidth="1"/>
    <col min="6" max="6" width="16.5" style="25" bestFit="1" customWidth="1"/>
    <col min="7" max="7" width="13.6640625" bestFit="1" customWidth="1"/>
  </cols>
  <sheetData>
    <row r="1" spans="1:7" x14ac:dyDescent="0.2">
      <c r="A1" s="4" t="s">
        <v>80</v>
      </c>
    </row>
    <row r="3" spans="1:7" s="8" customFormat="1" x14ac:dyDescent="0.2">
      <c r="A3" s="4" t="s">
        <v>79</v>
      </c>
      <c r="B3" s="3" t="s">
        <v>0</v>
      </c>
      <c r="C3" s="3" t="s">
        <v>1</v>
      </c>
      <c r="D3" s="3" t="s">
        <v>2</v>
      </c>
      <c r="F3" s="25"/>
      <c r="G3" s="29"/>
    </row>
    <row r="4" spans="1:7" s="8" customFormat="1" x14ac:dyDescent="0.2">
      <c r="A4" s="9" t="s">
        <v>44</v>
      </c>
      <c r="B4" s="10">
        <v>65358</v>
      </c>
      <c r="C4" s="11">
        <f>SUM(D4/B4)</f>
        <v>373.23759799871476</v>
      </c>
      <c r="D4" s="12">
        <v>24394062.93</v>
      </c>
      <c r="F4" s="25"/>
      <c r="G4" s="1"/>
    </row>
    <row r="5" spans="1:7" s="8" customFormat="1" x14ac:dyDescent="0.2">
      <c r="A5" s="9" t="s">
        <v>45</v>
      </c>
      <c r="B5" s="10">
        <v>37365</v>
      </c>
      <c r="C5" s="11">
        <f>SUM(D5/B5)</f>
        <v>308.5197998126589</v>
      </c>
      <c r="D5" s="12">
        <v>11527842.32</v>
      </c>
      <c r="F5" s="25"/>
      <c r="G5" s="1"/>
    </row>
    <row r="6" spans="1:7" s="8" customFormat="1" x14ac:dyDescent="0.2">
      <c r="A6" s="9" t="s">
        <v>78</v>
      </c>
      <c r="B6" s="10">
        <f>SUM(B4:B5)</f>
        <v>102723</v>
      </c>
      <c r="C6" s="11">
        <f>SUM(D6/B6)</f>
        <v>9.5426766157530452</v>
      </c>
      <c r="D6" s="12">
        <f>SUM(705292.37+274960)</f>
        <v>980252.37</v>
      </c>
      <c r="F6" s="25"/>
      <c r="G6" s="1"/>
    </row>
    <row r="7" spans="1:7" s="8" customFormat="1" x14ac:dyDescent="0.2">
      <c r="A7" s="9" t="s">
        <v>9</v>
      </c>
      <c r="B7" s="10">
        <f>SUM(29506+6914+444)</f>
        <v>36864</v>
      </c>
      <c r="C7" s="11">
        <f t="shared" ref="C7:C10" si="0">SUM(D7/B7)</f>
        <v>10.058960232204861</v>
      </c>
      <c r="D7" s="12">
        <v>370813.51</v>
      </c>
      <c r="F7" s="25"/>
      <c r="G7" s="1"/>
    </row>
    <row r="8" spans="1:7" s="8" customFormat="1" x14ac:dyDescent="0.2">
      <c r="A8" s="9" t="s">
        <v>43</v>
      </c>
      <c r="B8" s="10">
        <f>SUM(29506+6914+444)</f>
        <v>36864</v>
      </c>
      <c r="C8" s="11">
        <f t="shared" si="0"/>
        <v>7.03</v>
      </c>
      <c r="D8" s="12">
        <v>259153.92000000001</v>
      </c>
      <c r="F8" s="25"/>
      <c r="G8" s="1"/>
    </row>
    <row r="9" spans="1:7" s="8" customFormat="1" x14ac:dyDescent="0.2">
      <c r="A9" s="9" t="s">
        <v>6</v>
      </c>
      <c r="B9" s="10">
        <v>47324</v>
      </c>
      <c r="C9" s="11">
        <f t="shared" si="0"/>
        <v>13.964311977009551</v>
      </c>
      <c r="D9" s="12">
        <v>660847.1</v>
      </c>
      <c r="F9" s="25"/>
      <c r="G9" s="1"/>
    </row>
    <row r="10" spans="1:7" s="8" customFormat="1" x14ac:dyDescent="0.2">
      <c r="A10" s="9" t="s">
        <v>7</v>
      </c>
      <c r="B10" s="10">
        <v>47324</v>
      </c>
      <c r="C10" s="11">
        <f t="shared" si="0"/>
        <v>7.0299999999999994</v>
      </c>
      <c r="D10" s="12">
        <v>332687.71999999997</v>
      </c>
      <c r="F10" s="25"/>
      <c r="G10" s="1"/>
    </row>
    <row r="11" spans="1:7" s="8" customFormat="1" x14ac:dyDescent="0.2">
      <c r="A11"/>
      <c r="B11" s="2"/>
      <c r="C11" s="1"/>
      <c r="D11" s="5">
        <f>SUM(D4:D10)</f>
        <v>38525659.869999997</v>
      </c>
      <c r="F11" s="25"/>
      <c r="G11" s="5"/>
    </row>
    <row r="12" spans="1:7" s="8" customFormat="1" x14ac:dyDescent="0.2">
      <c r="B12" s="2"/>
      <c r="C12" s="26">
        <v>0.27</v>
      </c>
      <c r="D12" s="1">
        <f>SUM(D11*C12)</f>
        <v>10401928.164899999</v>
      </c>
      <c r="F12" s="25" t="s">
        <v>37</v>
      </c>
      <c r="G12" s="28"/>
    </row>
    <row r="13" spans="1:7" s="8" customFormat="1" x14ac:dyDescent="0.2">
      <c r="B13" s="2"/>
      <c r="C13" s="26">
        <v>0.73</v>
      </c>
      <c r="D13" s="1">
        <f>SUM(D11*C13)</f>
        <v>28123731.705099996</v>
      </c>
      <c r="F13" s="25" t="s">
        <v>38</v>
      </c>
    </row>
    <row r="14" spans="1:7" s="8" customFormat="1" x14ac:dyDescent="0.2">
      <c r="A14" s="4" t="s">
        <v>36</v>
      </c>
      <c r="B14" s="2"/>
      <c r="C14" s="1"/>
      <c r="D14" s="5"/>
      <c r="F14" s="25"/>
    </row>
    <row r="15" spans="1:7" s="8" customFormat="1" x14ac:dyDescent="0.2">
      <c r="A15" s="18" t="s">
        <v>87</v>
      </c>
      <c r="B15" s="19">
        <f>B4</f>
        <v>65358</v>
      </c>
      <c r="C15" s="20">
        <f>SUM(450-C4-C6)</f>
        <v>67.2197253855322</v>
      </c>
      <c r="D15" s="21">
        <f>SUM(B15*C15)</f>
        <v>4393346.8117476134</v>
      </c>
      <c r="F15" s="25"/>
    </row>
    <row r="16" spans="1:7" s="8" customFormat="1" x14ac:dyDescent="0.2">
      <c r="A16" s="18" t="s">
        <v>97</v>
      </c>
      <c r="B16" s="19">
        <f>SUM(122310-B4-B5)</f>
        <v>19587</v>
      </c>
      <c r="C16" s="20">
        <v>450</v>
      </c>
      <c r="D16" s="21">
        <f>SUM(B16*C16)</f>
        <v>8814150</v>
      </c>
      <c r="F16" s="25"/>
    </row>
    <row r="17" spans="1:6" s="8" customFormat="1" x14ac:dyDescent="0.2">
      <c r="A17" s="18" t="s">
        <v>51</v>
      </c>
      <c r="B17" s="19"/>
      <c r="C17" s="20"/>
      <c r="D17" s="21">
        <f>SUM(800000-274960)</f>
        <v>525040</v>
      </c>
      <c r="F17" s="25"/>
    </row>
    <row r="18" spans="1:6" s="8" customFormat="1" x14ac:dyDescent="0.2">
      <c r="A18"/>
      <c r="B18" s="2"/>
      <c r="C18" s="6"/>
      <c r="D18" s="5">
        <f>SUM(D15:D17)</f>
        <v>13732536.811747614</v>
      </c>
      <c r="F18" s="25"/>
    </row>
    <row r="19" spans="1:6" s="8" customFormat="1" x14ac:dyDescent="0.2">
      <c r="A19"/>
      <c r="B19" s="2"/>
      <c r="C19" s="1"/>
      <c r="D19" s="5"/>
      <c r="F19" s="25"/>
    </row>
    <row r="20" spans="1:6" s="8" customFormat="1" x14ac:dyDescent="0.2">
      <c r="A20"/>
      <c r="C20" s="1"/>
      <c r="D20" s="27">
        <f>SUM(D11+D18)</f>
        <v>52258196.681747615</v>
      </c>
      <c r="F20" s="25" t="s">
        <v>39</v>
      </c>
    </row>
    <row r="21" spans="1:6" s="8" customFormat="1" x14ac:dyDescent="0.2">
      <c r="A21"/>
      <c r="B21" s="2"/>
      <c r="C21" s="26">
        <f>SUM(D21/D20)</f>
        <v>0.19904873924846153</v>
      </c>
      <c r="D21" s="1">
        <f>D12</f>
        <v>10401928.164899999</v>
      </c>
      <c r="F21" s="25" t="s">
        <v>40</v>
      </c>
    </row>
    <row r="22" spans="1:6" s="8" customFormat="1" x14ac:dyDescent="0.2">
      <c r="A22"/>
      <c r="B22" s="2"/>
      <c r="C22" s="26">
        <f>SUM(D22/D20)</f>
        <v>0.80095126075153833</v>
      </c>
      <c r="D22" s="27">
        <f>SUM(D13+D18)</f>
        <v>41856268.51684761</v>
      </c>
      <c r="F22" s="25" t="s">
        <v>41</v>
      </c>
    </row>
    <row r="24" spans="1:6" x14ac:dyDescent="0.2">
      <c r="D24" s="2">
        <f>SUM(B6+B16)</f>
        <v>122310</v>
      </c>
      <c r="F24" s="25" t="s">
        <v>42</v>
      </c>
    </row>
    <row r="26" spans="1:6" x14ac:dyDescent="0.2">
      <c r="B26" s="45"/>
    </row>
    <row r="29" spans="1:6" x14ac:dyDescent="0.2">
      <c r="A29" s="4"/>
    </row>
  </sheetData>
  <pageMargins left="0.95" right="0.7" top="1.25" bottom="0.75" header="0.3" footer="0.3"/>
  <pageSetup orientation="landscape" horizontalDpi="0" verticalDpi="0"/>
  <headerFooter>
    <oddHeader>&amp;L&amp;"Calibri,Regular"&amp;K000000Yellow Springs Schools&amp;R&amp;"Calibri,Regular"&amp;K000000Facility Master Plan</oddHeader>
    <oddFooter>&amp;L&amp;"Calibri,Regular"&amp;K000000Ruetschle Architects&amp;R&amp;"Calibri,Regular"&amp;K000000&amp;D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F3BED-67D0-F941-98CD-7A147D45F947}">
  <dimension ref="A1:H30"/>
  <sheetViews>
    <sheetView zoomScale="187" zoomScaleNormal="187" workbookViewId="0">
      <selection activeCell="A16" sqref="A16"/>
    </sheetView>
  </sheetViews>
  <sheetFormatPr baseColWidth="10" defaultColWidth="11" defaultRowHeight="16" x14ac:dyDescent="0.2"/>
  <cols>
    <col min="1" max="1" width="53.1640625" customWidth="1"/>
    <col min="2" max="2" width="7.6640625" customWidth="1"/>
    <col min="3" max="3" width="7.6640625" bestFit="1" customWidth="1"/>
    <col min="4" max="4" width="12" bestFit="1" customWidth="1"/>
    <col min="5" max="5" width="1.5" style="8" customWidth="1"/>
    <col min="6" max="6" width="16.5" style="25" bestFit="1" customWidth="1"/>
    <col min="7" max="7" width="4.1640625" customWidth="1"/>
  </cols>
  <sheetData>
    <row r="1" spans="1:7" x14ac:dyDescent="0.2">
      <c r="A1" s="4" t="s">
        <v>88</v>
      </c>
    </row>
    <row r="3" spans="1:7" s="8" customFormat="1" x14ac:dyDescent="0.2">
      <c r="A3" s="4" t="s">
        <v>79</v>
      </c>
      <c r="B3" s="3" t="s">
        <v>0</v>
      </c>
      <c r="C3" s="3" t="s">
        <v>1</v>
      </c>
      <c r="D3" s="3" t="s">
        <v>2</v>
      </c>
      <c r="F3" s="25"/>
      <c r="G3" s="29"/>
    </row>
    <row r="4" spans="1:7" s="8" customFormat="1" x14ac:dyDescent="0.2">
      <c r="A4" s="9" t="s">
        <v>94</v>
      </c>
      <c r="B4" s="10">
        <f>SUM(65358-9979)</f>
        <v>55379</v>
      </c>
      <c r="C4" s="11">
        <v>373.24</v>
      </c>
      <c r="D4" s="12">
        <f>SUM(B4*C4)</f>
        <v>20669657.960000001</v>
      </c>
      <c r="F4" s="25"/>
      <c r="G4" s="1"/>
    </row>
    <row r="5" spans="1:7" s="8" customFormat="1" x14ac:dyDescent="0.2">
      <c r="A5" s="9" t="s">
        <v>77</v>
      </c>
      <c r="B5" s="10">
        <v>37365</v>
      </c>
      <c r="C5" s="11">
        <f>SUM(D5/B5)</f>
        <v>308.5197998126589</v>
      </c>
      <c r="D5" s="12">
        <v>11527842.32</v>
      </c>
      <c r="F5" s="25"/>
      <c r="G5" s="1"/>
    </row>
    <row r="6" spans="1:7" s="8" customFormat="1" x14ac:dyDescent="0.2">
      <c r="A6" s="9" t="s">
        <v>78</v>
      </c>
      <c r="B6" s="10">
        <f>SUM(B4:B5)</f>
        <v>92744</v>
      </c>
      <c r="C6" s="11">
        <f>SUM(D6/B6)</f>
        <v>11.056924113689295</v>
      </c>
      <c r="D6" s="12">
        <f>SUM(300000+75330+274960+205667.37+169506)</f>
        <v>1025463.37</v>
      </c>
      <c r="F6" s="25"/>
      <c r="G6" s="1"/>
    </row>
    <row r="7" spans="1:7" s="8" customFormat="1" x14ac:dyDescent="0.2">
      <c r="A7" s="9" t="s">
        <v>9</v>
      </c>
      <c r="B7" s="10">
        <f>SUM(29506+6914+444)</f>
        <v>36864</v>
      </c>
      <c r="C7" s="11">
        <f>SUM(D7/B7)</f>
        <v>10.058960232204861</v>
      </c>
      <c r="D7" s="12">
        <v>370813.51</v>
      </c>
      <c r="F7" s="25"/>
      <c r="G7" s="1"/>
    </row>
    <row r="8" spans="1:7" s="8" customFormat="1" x14ac:dyDescent="0.2">
      <c r="A8" s="9" t="s">
        <v>43</v>
      </c>
      <c r="B8" s="10">
        <f>SUM(29506+6914+444)</f>
        <v>36864</v>
      </c>
      <c r="C8" s="11">
        <f t="shared" ref="C8:C9" si="0">SUM(D8/B8)</f>
        <v>7.03</v>
      </c>
      <c r="D8" s="12">
        <v>259153.92000000001</v>
      </c>
      <c r="F8" s="25"/>
      <c r="G8" s="1"/>
    </row>
    <row r="9" spans="1:7" s="8" customFormat="1" x14ac:dyDescent="0.2">
      <c r="A9" s="9" t="s">
        <v>6</v>
      </c>
      <c r="B9" s="10">
        <v>47324</v>
      </c>
      <c r="C9" s="11">
        <f t="shared" si="0"/>
        <v>13.964311977009551</v>
      </c>
      <c r="D9" s="12">
        <v>660847.1</v>
      </c>
      <c r="F9" s="25"/>
      <c r="G9" s="1"/>
    </row>
    <row r="10" spans="1:7" s="8" customFormat="1" x14ac:dyDescent="0.2">
      <c r="A10"/>
      <c r="B10" s="2"/>
      <c r="C10" s="1"/>
      <c r="D10" s="5">
        <f>SUM(D4:D9)</f>
        <v>34513778.180000007</v>
      </c>
      <c r="F10" s="25"/>
      <c r="G10" s="5"/>
    </row>
    <row r="11" spans="1:7" s="8" customFormat="1" x14ac:dyDescent="0.2">
      <c r="B11" s="2"/>
      <c r="C11" s="26">
        <v>0.27</v>
      </c>
      <c r="D11" s="1">
        <f>SUM(D10*C11)</f>
        <v>9318720.1086000018</v>
      </c>
      <c r="F11" s="25" t="s">
        <v>37</v>
      </c>
      <c r="G11" s="28"/>
    </row>
    <row r="12" spans="1:7" s="8" customFormat="1" x14ac:dyDescent="0.2">
      <c r="B12" s="2"/>
      <c r="C12" s="26">
        <v>0.73</v>
      </c>
      <c r="D12" s="1">
        <f>SUM(D10*C12)</f>
        <v>25195058.071400005</v>
      </c>
      <c r="F12" s="25" t="s">
        <v>38</v>
      </c>
    </row>
    <row r="13" spans="1:7" s="8" customFormat="1" x14ac:dyDescent="0.2">
      <c r="A13" s="4" t="s">
        <v>36</v>
      </c>
      <c r="B13" s="2"/>
      <c r="C13" s="1"/>
      <c r="D13" s="5"/>
      <c r="F13" s="25"/>
    </row>
    <row r="14" spans="1:7" s="8" customFormat="1" x14ac:dyDescent="0.2">
      <c r="A14" s="18" t="s">
        <v>75</v>
      </c>
      <c r="B14" s="19">
        <f>SUM(47324)</f>
        <v>47324</v>
      </c>
      <c r="C14" s="20">
        <f>SUM(D14/B14)</f>
        <v>197.32053448893797</v>
      </c>
      <c r="D14" s="21">
        <f>SUM('Option A (X and C Options)'!E22*0.667)</f>
        <v>9337996.9741545003</v>
      </c>
      <c r="F14" s="25" t="s">
        <v>95</v>
      </c>
    </row>
    <row r="15" spans="1:7" s="8" customFormat="1" x14ac:dyDescent="0.2">
      <c r="A15" s="18" t="s">
        <v>89</v>
      </c>
      <c r="B15" s="19">
        <f>B4</f>
        <v>55379</v>
      </c>
      <c r="C15" s="20">
        <f>SUM(450-C4-C6)</f>
        <v>65.7030758863107</v>
      </c>
      <c r="D15" s="21">
        <f>SUM(B15*C15)</f>
        <v>3638570.6395080001</v>
      </c>
      <c r="F15" s="25"/>
    </row>
    <row r="16" spans="1:7" s="8" customFormat="1" x14ac:dyDescent="0.2">
      <c r="A16" s="18" t="s">
        <v>96</v>
      </c>
      <c r="B16" s="19">
        <f>SUM(113234-B4-B5)</f>
        <v>20490</v>
      </c>
      <c r="C16" s="20">
        <v>450</v>
      </c>
      <c r="D16" s="21">
        <f>SUM(B16*C16)</f>
        <v>9220500</v>
      </c>
      <c r="F16" s="25"/>
    </row>
    <row r="17" spans="1:8" s="8" customFormat="1" x14ac:dyDescent="0.2">
      <c r="A17" s="18" t="s">
        <v>51</v>
      </c>
      <c r="B17" s="19"/>
      <c r="C17" s="20"/>
      <c r="D17" s="21">
        <f>SUM(800000-274960)</f>
        <v>525040</v>
      </c>
      <c r="F17" s="25"/>
    </row>
    <row r="18" spans="1:8" s="8" customFormat="1" x14ac:dyDescent="0.2">
      <c r="A18"/>
      <c r="B18" s="2"/>
      <c r="C18" s="6"/>
      <c r="D18" s="5">
        <f>SUM(D14:D17)</f>
        <v>22722107.6136625</v>
      </c>
      <c r="F18" s="25"/>
    </row>
    <row r="19" spans="1:8" s="8" customFormat="1" x14ac:dyDescent="0.2">
      <c r="A19"/>
      <c r="B19" s="2"/>
      <c r="C19" s="1"/>
      <c r="D19" s="5"/>
      <c r="F19" s="25"/>
    </row>
    <row r="20" spans="1:8" s="8" customFormat="1" x14ac:dyDescent="0.2">
      <c r="A20"/>
      <c r="C20" s="1"/>
      <c r="D20" s="27">
        <f>SUM(D10+D18)</f>
        <v>57235885.793662503</v>
      </c>
      <c r="F20" s="25" t="s">
        <v>39</v>
      </c>
    </row>
    <row r="21" spans="1:8" s="8" customFormat="1" x14ac:dyDescent="0.2">
      <c r="A21"/>
      <c r="B21" s="2"/>
      <c r="C21" s="26">
        <f>SUM(D21/D20)</f>
        <v>0.16281254285457089</v>
      </c>
      <c r="D21" s="1">
        <f>D11</f>
        <v>9318720.1086000018</v>
      </c>
      <c r="F21" s="25" t="s">
        <v>40</v>
      </c>
    </row>
    <row r="22" spans="1:8" s="8" customFormat="1" x14ac:dyDescent="0.2">
      <c r="A22"/>
      <c r="B22" s="2"/>
      <c r="C22" s="26">
        <f>SUM(D22/D20)</f>
        <v>0.83718745714542919</v>
      </c>
      <c r="D22" s="27">
        <f>SUM(D12+D18)</f>
        <v>47917165.685062505</v>
      </c>
      <c r="F22" s="25" t="s">
        <v>41</v>
      </c>
    </row>
    <row r="24" spans="1:8" x14ac:dyDescent="0.2">
      <c r="D24" s="2">
        <f>B14</f>
        <v>47324</v>
      </c>
      <c r="F24" s="25" t="s">
        <v>47</v>
      </c>
    </row>
    <row r="25" spans="1:8" x14ac:dyDescent="0.2">
      <c r="D25" s="2">
        <f>SUM(B6+B16)</f>
        <v>113234</v>
      </c>
      <c r="F25" s="25" t="s">
        <v>76</v>
      </c>
    </row>
    <row r="26" spans="1:8" x14ac:dyDescent="0.2">
      <c r="D26" s="2">
        <f>SUM(D24:D25)</f>
        <v>160558</v>
      </c>
      <c r="F26" s="25" t="s">
        <v>46</v>
      </c>
    </row>
    <row r="27" spans="1:8" x14ac:dyDescent="0.2">
      <c r="F27" s="2"/>
      <c r="G27" s="8"/>
      <c r="H27" s="25"/>
    </row>
    <row r="28" spans="1:8" x14ac:dyDescent="0.2">
      <c r="F28" s="2"/>
      <c r="G28" s="8"/>
      <c r="H28" s="25"/>
    </row>
    <row r="30" spans="1:8" x14ac:dyDescent="0.2">
      <c r="B30" s="2"/>
    </row>
  </sheetData>
  <pageMargins left="0.95" right="0.7" top="1.25" bottom="0.75" header="0.3" footer="0.3"/>
  <pageSetup orientation="landscape" horizontalDpi="0" verticalDpi="0"/>
  <headerFooter>
    <oddHeader>&amp;L&amp;"Calibri,Regular"&amp;K000000Yellow Springs Schools&amp;R&amp;"Calibri,Regular"&amp;K000000Facility Master Plan</oddHeader>
    <oddFooter>&amp;L&amp;"Calibri,Regular"&amp;K000000Ruetschle Architects&amp;R&amp;"Calibri,Regular"&amp;K000000&amp;D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476C9-8A2E-F448-B3B9-FF905EB3B746}">
  <dimension ref="A1:I40"/>
  <sheetViews>
    <sheetView zoomScale="166" zoomScaleNormal="166" workbookViewId="0">
      <selection activeCell="B17" sqref="B17"/>
    </sheetView>
  </sheetViews>
  <sheetFormatPr baseColWidth="10" defaultColWidth="11" defaultRowHeight="16" x14ac:dyDescent="0.2"/>
  <cols>
    <col min="1" max="1" width="46.1640625" bestFit="1" customWidth="1"/>
    <col min="2" max="2" width="8.5" customWidth="1"/>
    <col min="3" max="3" width="9.1640625" bestFit="1" customWidth="1"/>
    <col min="4" max="4" width="12" bestFit="1" customWidth="1"/>
    <col min="5" max="5" width="1.5" style="8" customWidth="1"/>
    <col min="6" max="6" width="16.5" style="25" bestFit="1" customWidth="1"/>
    <col min="7" max="7" width="4.1640625" customWidth="1"/>
    <col min="8" max="8" width="13.6640625" bestFit="1" customWidth="1"/>
    <col min="9" max="9" width="12.33203125" bestFit="1" customWidth="1"/>
  </cols>
  <sheetData>
    <row r="1" spans="1:9" x14ac:dyDescent="0.2">
      <c r="A1" s="4" t="s">
        <v>81</v>
      </c>
    </row>
    <row r="2" spans="1:9" x14ac:dyDescent="0.2">
      <c r="A2" s="4"/>
    </row>
    <row r="3" spans="1:9" s="8" customFormat="1" x14ac:dyDescent="0.2">
      <c r="A3" s="41" t="s">
        <v>79</v>
      </c>
      <c r="B3" s="3" t="s">
        <v>0</v>
      </c>
      <c r="C3" s="3" t="s">
        <v>1</v>
      </c>
      <c r="D3" s="3" t="s">
        <v>2</v>
      </c>
      <c r="F3" s="25"/>
      <c r="H3" s="29"/>
      <c r="I3" s="29"/>
    </row>
    <row r="4" spans="1:9" s="8" customFormat="1" x14ac:dyDescent="0.2">
      <c r="A4" s="9" t="s">
        <v>85</v>
      </c>
      <c r="B4" s="10">
        <f>SUM(65358-20777)</f>
        <v>44581</v>
      </c>
      <c r="C4" s="11">
        <v>373.24</v>
      </c>
      <c r="D4" s="12">
        <f>SUM(B4*C4)</f>
        <v>16639412.439999999</v>
      </c>
      <c r="F4" s="25"/>
      <c r="H4" s="1"/>
      <c r="I4" s="1"/>
    </row>
    <row r="5" spans="1:9" s="8" customFormat="1" x14ac:dyDescent="0.2">
      <c r="A5" s="9" t="s">
        <v>77</v>
      </c>
      <c r="B5" s="10">
        <v>37365</v>
      </c>
      <c r="C5" s="11">
        <f>SUM(D5/B5)</f>
        <v>308.5197998126589</v>
      </c>
      <c r="D5" s="12">
        <v>11527842.32</v>
      </c>
      <c r="F5" s="25"/>
      <c r="H5" s="1"/>
      <c r="I5" s="1"/>
    </row>
    <row r="6" spans="1:9" s="8" customFormat="1" x14ac:dyDescent="0.2">
      <c r="A6" s="9" t="s">
        <v>78</v>
      </c>
      <c r="B6" s="10">
        <f>SUM(B4:B5)</f>
        <v>81946</v>
      </c>
      <c r="C6" s="11">
        <f>SUM(D6/B6)</f>
        <v>11.594623288507066</v>
      </c>
      <c r="D6" s="12">
        <f>SUM(300000+274960+205667+169506)</f>
        <v>950133</v>
      </c>
      <c r="F6" s="25"/>
      <c r="H6" s="1"/>
      <c r="I6" s="1"/>
    </row>
    <row r="7" spans="1:9" s="8" customFormat="1" x14ac:dyDescent="0.2">
      <c r="A7" s="9" t="s">
        <v>9</v>
      </c>
      <c r="B7" s="10">
        <f>SUM(29506+6914+444)</f>
        <v>36864</v>
      </c>
      <c r="C7" s="11">
        <f>SUM(D7/B7)</f>
        <v>10.058960232204861</v>
      </c>
      <c r="D7" s="12">
        <v>370813.51</v>
      </c>
      <c r="F7" s="25"/>
      <c r="H7" s="1"/>
      <c r="I7" s="1"/>
    </row>
    <row r="8" spans="1:9" s="8" customFormat="1" x14ac:dyDescent="0.2">
      <c r="A8" s="9" t="s">
        <v>43</v>
      </c>
      <c r="B8" s="10">
        <f>SUM(29506+6914+444)</f>
        <v>36864</v>
      </c>
      <c r="C8" s="11">
        <f>SUM(D8/B8)</f>
        <v>7.03</v>
      </c>
      <c r="D8" s="12">
        <v>259153.92000000001</v>
      </c>
      <c r="F8" s="25"/>
      <c r="H8" s="1"/>
      <c r="I8" s="1"/>
    </row>
    <row r="9" spans="1:9" s="8" customFormat="1" x14ac:dyDescent="0.2">
      <c r="A9" s="9" t="s">
        <v>6</v>
      </c>
      <c r="B9" s="10">
        <v>47324</v>
      </c>
      <c r="C9" s="11">
        <f>SUM(D9/B9)</f>
        <v>13.964311977009551</v>
      </c>
      <c r="D9" s="12">
        <v>660847.1</v>
      </c>
      <c r="F9" s="25"/>
      <c r="H9" s="1"/>
      <c r="I9" s="1"/>
    </row>
    <row r="10" spans="1:9" s="8" customFormat="1" x14ac:dyDescent="0.2">
      <c r="A10"/>
      <c r="B10" s="2"/>
      <c r="C10" s="1"/>
      <c r="D10" s="5">
        <f>SUM(D4:D9)</f>
        <v>30408202.290000003</v>
      </c>
      <c r="F10" s="25"/>
      <c r="H10" s="5"/>
      <c r="I10" s="1"/>
    </row>
    <row r="11" spans="1:9" s="8" customFormat="1" x14ac:dyDescent="0.2">
      <c r="B11" s="2"/>
      <c r="C11" s="26">
        <v>0.27</v>
      </c>
      <c r="D11" s="1">
        <f>SUM(D10*C11)</f>
        <v>8210214.6183000011</v>
      </c>
      <c r="F11" s="25" t="s">
        <v>37</v>
      </c>
      <c r="H11" s="28"/>
      <c r="I11" s="5"/>
    </row>
    <row r="12" spans="1:9" s="8" customFormat="1" x14ac:dyDescent="0.2">
      <c r="B12" s="2"/>
      <c r="C12" s="26">
        <v>0.73</v>
      </c>
      <c r="D12" s="1">
        <f>SUM(D10*C12)</f>
        <v>22197987.671700001</v>
      </c>
      <c r="F12" s="25" t="s">
        <v>38</v>
      </c>
    </row>
    <row r="13" spans="1:9" s="8" customFormat="1" x14ac:dyDescent="0.2">
      <c r="A13" s="4" t="s">
        <v>52</v>
      </c>
      <c r="B13" s="2"/>
      <c r="C13" s="1"/>
      <c r="D13" s="5"/>
      <c r="F13" s="25"/>
    </row>
    <row r="14" spans="1:9" s="8" customFormat="1" x14ac:dyDescent="0.2">
      <c r="A14" s="18" t="s">
        <v>90</v>
      </c>
      <c r="B14" s="19">
        <v>47324</v>
      </c>
      <c r="C14" s="20">
        <f>SUM(D14/B14)</f>
        <v>295.83288529076157</v>
      </c>
      <c r="D14" s="21">
        <f>'Option A (X and C Options)'!E22</f>
        <v>13999995.463500001</v>
      </c>
      <c r="F14" s="25"/>
    </row>
    <row r="15" spans="1:9" s="8" customFormat="1" x14ac:dyDescent="0.2">
      <c r="A15" s="18" t="s">
        <v>86</v>
      </c>
      <c r="B15" s="19">
        <f>B4</f>
        <v>44581</v>
      </c>
      <c r="C15" s="20">
        <f>SUM(450-C4-C6)</f>
        <v>65.165376711492925</v>
      </c>
      <c r="D15" s="21">
        <f>SUM(B15*C15)</f>
        <v>2905137.6591750663</v>
      </c>
      <c r="F15" s="25"/>
    </row>
    <row r="16" spans="1:9" s="8" customFormat="1" x14ac:dyDescent="0.2">
      <c r="A16" s="18" t="s">
        <v>98</v>
      </c>
      <c r="B16" s="19">
        <f>SUM(96295-B5-B4)</f>
        <v>14349</v>
      </c>
      <c r="C16" s="20">
        <v>450</v>
      </c>
      <c r="D16" s="21">
        <f>SUM(B16*C16)</f>
        <v>6457050</v>
      </c>
      <c r="F16" s="25"/>
    </row>
    <row r="17" spans="1:6" s="8" customFormat="1" x14ac:dyDescent="0.2">
      <c r="A17" s="18" t="s">
        <v>51</v>
      </c>
      <c r="B17" s="19"/>
      <c r="C17" s="20"/>
      <c r="D17" s="21">
        <f>SUM(800000-274960)</f>
        <v>525040</v>
      </c>
      <c r="F17" s="25"/>
    </row>
    <row r="18" spans="1:6" s="8" customFormat="1" x14ac:dyDescent="0.2">
      <c r="A18"/>
      <c r="B18" s="2"/>
      <c r="C18" s="6"/>
      <c r="D18" s="5">
        <f>SUM(D14:D17)</f>
        <v>23887223.122675069</v>
      </c>
      <c r="F18" s="25"/>
    </row>
    <row r="19" spans="1:6" s="8" customFormat="1" x14ac:dyDescent="0.2">
      <c r="A19"/>
      <c r="B19" s="2"/>
      <c r="C19" s="1"/>
      <c r="D19" s="5"/>
      <c r="F19" s="25"/>
    </row>
    <row r="20" spans="1:6" s="8" customFormat="1" x14ac:dyDescent="0.2">
      <c r="A20"/>
      <c r="C20" s="1"/>
      <c r="D20" s="27">
        <f>SUM(D10+D18)</f>
        <v>54295425.412675068</v>
      </c>
      <c r="F20" s="25" t="s">
        <v>39</v>
      </c>
    </row>
    <row r="21" spans="1:6" s="8" customFormat="1" x14ac:dyDescent="0.2">
      <c r="A21"/>
      <c r="B21" s="2"/>
      <c r="C21" s="26">
        <f>SUM(D21/D20)</f>
        <v>0.15121374509726848</v>
      </c>
      <c r="D21" s="1">
        <f>D11</f>
        <v>8210214.6183000011</v>
      </c>
      <c r="F21" s="25" t="s">
        <v>40</v>
      </c>
    </row>
    <row r="22" spans="1:6" s="8" customFormat="1" x14ac:dyDescent="0.2">
      <c r="A22"/>
      <c r="B22" s="2"/>
      <c r="C22" s="26">
        <f>SUM(D22/D20)</f>
        <v>0.84878625490273152</v>
      </c>
      <c r="D22" s="27">
        <f>SUM(D12+D18)</f>
        <v>46085210.794375069</v>
      </c>
      <c r="F22" s="25" t="s">
        <v>41</v>
      </c>
    </row>
    <row r="24" spans="1:6" x14ac:dyDescent="0.2">
      <c r="D24" s="2">
        <f>B14</f>
        <v>47324</v>
      </c>
      <c r="F24" s="25" t="s">
        <v>47</v>
      </c>
    </row>
    <row r="25" spans="1:6" x14ac:dyDescent="0.2">
      <c r="D25" s="2">
        <f>SUM(B16+B15+B5)</f>
        <v>96295</v>
      </c>
      <c r="F25" s="25" t="s">
        <v>48</v>
      </c>
    </row>
    <row r="26" spans="1:6" x14ac:dyDescent="0.2">
      <c r="D26" s="2">
        <f>SUM(D24:D25)</f>
        <v>143619</v>
      </c>
      <c r="F26" s="25" t="s">
        <v>46</v>
      </c>
    </row>
    <row r="27" spans="1:6" x14ac:dyDescent="0.2">
      <c r="A27" s="4"/>
      <c r="B27" s="2"/>
      <c r="C27" s="1"/>
      <c r="D27" s="5"/>
    </row>
    <row r="28" spans="1:6" x14ac:dyDescent="0.2">
      <c r="B28" s="2"/>
      <c r="C28" s="6"/>
      <c r="D28" s="1"/>
    </row>
    <row r="29" spans="1:6" x14ac:dyDescent="0.2">
      <c r="B29" s="2"/>
      <c r="C29" s="6"/>
      <c r="D29" s="1"/>
    </row>
    <row r="30" spans="1:6" x14ac:dyDescent="0.2">
      <c r="B30" s="2"/>
      <c r="C30" s="6"/>
      <c r="D30" s="1"/>
      <c r="E30" s="42"/>
      <c r="F30" s="43"/>
    </row>
    <row r="31" spans="1:6" x14ac:dyDescent="0.2">
      <c r="B31" s="2"/>
      <c r="C31" s="6"/>
      <c r="D31" s="1"/>
      <c r="E31" s="42"/>
      <c r="F31" s="43"/>
    </row>
    <row r="32" spans="1:6" x14ac:dyDescent="0.2">
      <c r="B32" s="2"/>
      <c r="C32" s="6"/>
      <c r="D32" s="5"/>
    </row>
    <row r="33" spans="2:4" x14ac:dyDescent="0.2">
      <c r="B33" s="2"/>
      <c r="C33" s="1"/>
      <c r="D33" s="5"/>
    </row>
    <row r="34" spans="2:4" x14ac:dyDescent="0.2">
      <c r="B34" s="8"/>
      <c r="C34" s="1"/>
      <c r="D34" s="44"/>
    </row>
    <row r="35" spans="2:4" x14ac:dyDescent="0.2">
      <c r="B35" s="2"/>
      <c r="C35" s="26"/>
      <c r="D35" s="1"/>
    </row>
    <row r="36" spans="2:4" x14ac:dyDescent="0.2">
      <c r="B36" s="2"/>
      <c r="C36" s="26"/>
      <c r="D36" s="44"/>
    </row>
    <row r="38" spans="2:4" x14ac:dyDescent="0.2">
      <c r="B38" s="2"/>
      <c r="D38" s="2"/>
    </row>
    <row r="39" spans="2:4" x14ac:dyDescent="0.2">
      <c r="D39" s="2"/>
    </row>
    <row r="40" spans="2:4" x14ac:dyDescent="0.2">
      <c r="D40" s="2"/>
    </row>
  </sheetData>
  <pageMargins left="0.95" right="0.7" top="1.25" bottom="0.75" header="0.3" footer="0.3"/>
  <pageSetup orientation="landscape" horizontalDpi="0" verticalDpi="0"/>
  <headerFooter>
    <oddHeader>&amp;L&amp;"Calibri,Regular"&amp;K000000Yellow Springs Schools&amp;R&amp;"Calibri,Regular"&amp;K000000Facility Master Plan</oddHeader>
    <oddFooter>&amp;L&amp;"Calibri,Regular"&amp;K000000Ruetschle Architects&amp;R&amp;"Calibri,Regular"&amp;K000000&amp;D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76904-4C14-9A48-8065-D9A4F529C265}">
  <dimension ref="A1:N20"/>
  <sheetViews>
    <sheetView zoomScale="126" zoomScaleNormal="126" workbookViewId="0">
      <selection activeCell="D18" sqref="D18"/>
    </sheetView>
  </sheetViews>
  <sheetFormatPr baseColWidth="10" defaultRowHeight="16" x14ac:dyDescent="0.2"/>
  <cols>
    <col min="1" max="1" width="33.6640625" customWidth="1"/>
    <col min="2" max="2" width="4.6640625" bestFit="1" customWidth="1"/>
    <col min="3" max="3" width="5.6640625" bestFit="1" customWidth="1"/>
    <col min="4" max="4" width="6.6640625" bestFit="1" customWidth="1"/>
    <col min="5" max="5" width="3.33203125" customWidth="1"/>
    <col min="6" max="6" width="33.83203125" customWidth="1"/>
    <col min="7" max="7" width="4.6640625" bestFit="1" customWidth="1"/>
    <col min="8" max="8" width="5.83203125" bestFit="1" customWidth="1"/>
    <col min="9" max="9" width="7" bestFit="1" customWidth="1"/>
    <col min="10" max="10" width="4.1640625" customWidth="1"/>
    <col min="11" max="11" width="31.83203125" bestFit="1" customWidth="1"/>
    <col min="12" max="12" width="4.6640625" bestFit="1" customWidth="1"/>
    <col min="13" max="13" width="5.6640625" bestFit="1" customWidth="1"/>
    <col min="14" max="14" width="6.83203125" bestFit="1" customWidth="1"/>
    <col min="15" max="15" width="4.1640625" customWidth="1"/>
    <col min="16" max="16" width="32.1640625" customWidth="1"/>
    <col min="17" max="17" width="4.6640625" bestFit="1" customWidth="1"/>
    <col min="18" max="18" width="5.6640625" bestFit="1" customWidth="1"/>
    <col min="19" max="19" width="6.6640625" bestFit="1" customWidth="1"/>
  </cols>
  <sheetData>
    <row r="1" spans="1:14" ht="17" x14ac:dyDescent="0.2">
      <c r="A1" s="30" t="s">
        <v>82</v>
      </c>
      <c r="F1" s="30" t="s">
        <v>83</v>
      </c>
      <c r="K1" s="30" t="s">
        <v>84</v>
      </c>
    </row>
    <row r="2" spans="1:14" x14ac:dyDescent="0.2">
      <c r="A2" s="13" t="s">
        <v>59</v>
      </c>
      <c r="B2" s="13">
        <v>2</v>
      </c>
      <c r="C2" s="14">
        <v>1080</v>
      </c>
      <c r="D2" s="14">
        <f>SUM(B2*C2)</f>
        <v>2160</v>
      </c>
      <c r="F2" s="9" t="s">
        <v>59</v>
      </c>
      <c r="G2" s="9">
        <v>2</v>
      </c>
      <c r="H2" s="10">
        <v>1080</v>
      </c>
      <c r="I2" s="10">
        <f>SUM(G2*H2)</f>
        <v>2160</v>
      </c>
      <c r="K2" s="38" t="s">
        <v>59</v>
      </c>
      <c r="L2" s="38">
        <v>2</v>
      </c>
      <c r="M2" s="39">
        <v>1080</v>
      </c>
      <c r="N2" s="39">
        <f>SUM(L2*M2)</f>
        <v>2160</v>
      </c>
    </row>
    <row r="3" spans="1:14" x14ac:dyDescent="0.2">
      <c r="A3" s="13" t="s">
        <v>60</v>
      </c>
      <c r="B3" s="13">
        <v>2</v>
      </c>
      <c r="C3" s="14">
        <v>60</v>
      </c>
      <c r="D3" s="14">
        <f t="shared" ref="D3:D10" si="0">SUM(B3*C3)</f>
        <v>120</v>
      </c>
      <c r="F3" s="9" t="s">
        <v>60</v>
      </c>
      <c r="G3" s="9">
        <v>2</v>
      </c>
      <c r="H3" s="10">
        <v>60</v>
      </c>
      <c r="I3" s="10">
        <f t="shared" ref="I3:I9" si="1">SUM(G3*H3)</f>
        <v>120</v>
      </c>
      <c r="K3" s="38" t="s">
        <v>60</v>
      </c>
      <c r="L3" s="38">
        <v>2</v>
      </c>
      <c r="M3" s="39">
        <v>60</v>
      </c>
      <c r="N3" s="39">
        <f t="shared" ref="N3:N10" si="2">SUM(L3*M3)</f>
        <v>120</v>
      </c>
    </row>
    <row r="4" spans="1:14" x14ac:dyDescent="0.2">
      <c r="A4" s="13" t="s">
        <v>74</v>
      </c>
      <c r="B4" s="13">
        <v>4</v>
      </c>
      <c r="C4" s="14">
        <v>810</v>
      </c>
      <c r="D4" s="14">
        <f t="shared" si="0"/>
        <v>3240</v>
      </c>
      <c r="F4" s="9" t="s">
        <v>61</v>
      </c>
      <c r="G4" s="9">
        <v>8</v>
      </c>
      <c r="H4" s="10">
        <v>810</v>
      </c>
      <c r="I4" s="10">
        <f t="shared" si="1"/>
        <v>6480</v>
      </c>
      <c r="K4" s="38" t="s">
        <v>73</v>
      </c>
      <c r="L4" s="38">
        <v>10</v>
      </c>
      <c r="M4" s="39">
        <v>810</v>
      </c>
      <c r="N4" s="39">
        <f t="shared" si="2"/>
        <v>8100</v>
      </c>
    </row>
    <row r="5" spans="1:14" x14ac:dyDescent="0.2">
      <c r="A5" s="13" t="s">
        <v>62</v>
      </c>
      <c r="B5" s="13">
        <v>0</v>
      </c>
      <c r="C5" s="14">
        <v>300</v>
      </c>
      <c r="D5" s="14">
        <f t="shared" si="0"/>
        <v>0</v>
      </c>
      <c r="F5" s="9" t="s">
        <v>62</v>
      </c>
      <c r="G5" s="9">
        <v>1</v>
      </c>
      <c r="H5" s="10">
        <v>300</v>
      </c>
      <c r="I5" s="10">
        <f t="shared" si="1"/>
        <v>300</v>
      </c>
      <c r="K5" s="38" t="s">
        <v>62</v>
      </c>
      <c r="L5" s="38">
        <v>1</v>
      </c>
      <c r="M5" s="39">
        <v>300</v>
      </c>
      <c r="N5" s="39">
        <f t="shared" si="2"/>
        <v>300</v>
      </c>
    </row>
    <row r="6" spans="1:14" x14ac:dyDescent="0.2">
      <c r="A6" s="13" t="s">
        <v>63</v>
      </c>
      <c r="B6" s="13">
        <v>0</v>
      </c>
      <c r="C6" s="14">
        <v>60</v>
      </c>
      <c r="D6" s="14">
        <f t="shared" si="0"/>
        <v>0</v>
      </c>
      <c r="F6" s="9" t="s">
        <v>63</v>
      </c>
      <c r="G6" s="9">
        <v>1</v>
      </c>
      <c r="H6" s="10">
        <v>60</v>
      </c>
      <c r="I6" s="10">
        <f t="shared" si="1"/>
        <v>60</v>
      </c>
      <c r="K6" s="38" t="s">
        <v>63</v>
      </c>
      <c r="L6" s="38">
        <v>1</v>
      </c>
      <c r="M6" s="39">
        <v>60</v>
      </c>
      <c r="N6" s="39">
        <f t="shared" si="2"/>
        <v>60</v>
      </c>
    </row>
    <row r="7" spans="1:14" x14ac:dyDescent="0.2">
      <c r="A7" s="13" t="s">
        <v>64</v>
      </c>
      <c r="B7" s="13">
        <v>0</v>
      </c>
      <c r="C7" s="14">
        <v>50</v>
      </c>
      <c r="D7" s="14">
        <f t="shared" si="0"/>
        <v>0</v>
      </c>
      <c r="F7" s="9" t="s">
        <v>64</v>
      </c>
      <c r="G7" s="9">
        <v>1</v>
      </c>
      <c r="H7" s="10">
        <v>50</v>
      </c>
      <c r="I7" s="10">
        <f t="shared" si="1"/>
        <v>50</v>
      </c>
      <c r="K7" s="38" t="s">
        <v>64</v>
      </c>
      <c r="L7" s="38">
        <v>1</v>
      </c>
      <c r="M7" s="39">
        <v>50</v>
      </c>
      <c r="N7" s="39">
        <f t="shared" si="2"/>
        <v>50</v>
      </c>
    </row>
    <row r="8" spans="1:14" x14ac:dyDescent="0.2">
      <c r="A8" s="13" t="s">
        <v>65</v>
      </c>
      <c r="B8" s="13">
        <v>0</v>
      </c>
      <c r="C8" s="14">
        <v>150</v>
      </c>
      <c r="D8" s="14">
        <f t="shared" si="0"/>
        <v>0</v>
      </c>
      <c r="F8" s="9" t="s">
        <v>65</v>
      </c>
      <c r="G8" s="9">
        <v>2</v>
      </c>
      <c r="H8" s="10">
        <v>150</v>
      </c>
      <c r="I8" s="10">
        <f t="shared" si="1"/>
        <v>300</v>
      </c>
      <c r="K8" s="38" t="s">
        <v>65</v>
      </c>
      <c r="L8" s="38">
        <v>2</v>
      </c>
      <c r="M8" s="39">
        <v>150</v>
      </c>
      <c r="N8" s="39">
        <f t="shared" si="2"/>
        <v>300</v>
      </c>
    </row>
    <row r="9" spans="1:14" x14ac:dyDescent="0.2">
      <c r="A9" s="13" t="s">
        <v>66</v>
      </c>
      <c r="B9" s="13">
        <v>1</v>
      </c>
      <c r="C9" s="14">
        <v>1200</v>
      </c>
      <c r="D9" s="14">
        <f t="shared" si="0"/>
        <v>1200</v>
      </c>
      <c r="F9" s="9" t="s">
        <v>66</v>
      </c>
      <c r="G9" s="9">
        <v>1</v>
      </c>
      <c r="H9" s="10">
        <v>1200</v>
      </c>
      <c r="I9" s="10">
        <f t="shared" si="1"/>
        <v>1200</v>
      </c>
      <c r="K9" s="38" t="s">
        <v>66</v>
      </c>
      <c r="L9" s="38">
        <v>2</v>
      </c>
      <c r="M9" s="39">
        <v>1200</v>
      </c>
      <c r="N9" s="39">
        <f t="shared" si="2"/>
        <v>2400</v>
      </c>
    </row>
    <row r="10" spans="1:14" x14ac:dyDescent="0.2">
      <c r="A10" s="13" t="s">
        <v>69</v>
      </c>
      <c r="B10" s="13">
        <v>2</v>
      </c>
      <c r="C10" s="14">
        <v>600</v>
      </c>
      <c r="D10" s="14">
        <f t="shared" si="0"/>
        <v>1200</v>
      </c>
      <c r="F10" s="9" t="s">
        <v>69</v>
      </c>
      <c r="G10" s="9">
        <v>3</v>
      </c>
      <c r="H10" s="10">
        <v>600</v>
      </c>
      <c r="I10" s="10">
        <f t="shared" ref="I10" si="3">SUM(G10*H10)</f>
        <v>1800</v>
      </c>
      <c r="K10" s="38" t="s">
        <v>69</v>
      </c>
      <c r="L10" s="38">
        <v>3</v>
      </c>
      <c r="M10" s="39">
        <v>600</v>
      </c>
      <c r="N10" s="39">
        <f t="shared" si="2"/>
        <v>1800</v>
      </c>
    </row>
    <row r="11" spans="1:14" x14ac:dyDescent="0.2">
      <c r="C11" s="2"/>
      <c r="D11" s="23">
        <f>SUM(D2:D10)</f>
        <v>7920</v>
      </c>
      <c r="H11" s="2"/>
      <c r="I11" s="23">
        <f>SUM(I2:I10)</f>
        <v>12470</v>
      </c>
      <c r="K11" s="38" t="s">
        <v>71</v>
      </c>
      <c r="L11" s="38">
        <v>1</v>
      </c>
      <c r="M11" s="39">
        <v>1200</v>
      </c>
      <c r="N11" s="39">
        <f t="shared" ref="N11:N12" si="4">SUM(L11*M11)</f>
        <v>1200</v>
      </c>
    </row>
    <row r="12" spans="1:14" x14ac:dyDescent="0.2">
      <c r="C12" s="2"/>
      <c r="D12" s="2"/>
      <c r="H12" s="2"/>
      <c r="I12" s="2"/>
      <c r="K12" s="38" t="s">
        <v>72</v>
      </c>
      <c r="L12" s="38">
        <v>1</v>
      </c>
      <c r="M12" s="39">
        <v>100</v>
      </c>
      <c r="N12" s="39">
        <f t="shared" si="4"/>
        <v>100</v>
      </c>
    </row>
    <row r="13" spans="1:14" x14ac:dyDescent="0.2">
      <c r="A13" s="13" t="s">
        <v>67</v>
      </c>
      <c r="B13" s="36">
        <v>0.11</v>
      </c>
      <c r="C13" s="14"/>
      <c r="D13" s="14">
        <f>SUM(D11*B13)</f>
        <v>871.2</v>
      </c>
      <c r="F13" s="9" t="s">
        <v>67</v>
      </c>
      <c r="G13" s="37">
        <v>0.11</v>
      </c>
      <c r="H13" s="10"/>
      <c r="I13" s="10">
        <f>SUM(I11*G13)</f>
        <v>1371.7</v>
      </c>
      <c r="M13" s="2"/>
      <c r="N13" s="23">
        <f>SUM(N2:N11)</f>
        <v>16490</v>
      </c>
    </row>
    <row r="14" spans="1:14" x14ac:dyDescent="0.2">
      <c r="A14" s="13" t="s">
        <v>68</v>
      </c>
      <c r="B14" s="36">
        <v>0.15</v>
      </c>
      <c r="C14" s="14"/>
      <c r="D14" s="14">
        <f>SUM(D11*B14)</f>
        <v>1188</v>
      </c>
      <c r="F14" s="9" t="s">
        <v>68</v>
      </c>
      <c r="G14" s="37">
        <v>0.15</v>
      </c>
      <c r="H14" s="10"/>
      <c r="I14" s="10">
        <f>SUM(I11*G14)</f>
        <v>1870.5</v>
      </c>
      <c r="M14" s="2"/>
      <c r="N14" s="2"/>
    </row>
    <row r="15" spans="1:14" x14ac:dyDescent="0.2">
      <c r="C15" s="2"/>
      <c r="D15" s="23">
        <f>SUM(D13:D14)</f>
        <v>2059.1999999999998</v>
      </c>
      <c r="H15" s="2"/>
      <c r="I15" s="23">
        <f>SUM(I13:I14)</f>
        <v>3242.2</v>
      </c>
      <c r="K15" s="38" t="s">
        <v>67</v>
      </c>
      <c r="L15" s="40">
        <v>0.11</v>
      </c>
      <c r="M15" s="39"/>
      <c r="N15" s="39">
        <f>SUM(N13*L15)</f>
        <v>1813.9</v>
      </c>
    </row>
    <row r="16" spans="1:14" x14ac:dyDescent="0.2">
      <c r="C16" s="2"/>
      <c r="D16" s="2"/>
      <c r="H16" s="2"/>
      <c r="I16" s="2"/>
      <c r="K16" s="38" t="s">
        <v>68</v>
      </c>
      <c r="L16" s="40">
        <v>0.15</v>
      </c>
      <c r="M16" s="39"/>
      <c r="N16" s="39">
        <f>SUM(N13*L16)</f>
        <v>2473.5</v>
      </c>
    </row>
    <row r="17" spans="1:14" x14ac:dyDescent="0.2">
      <c r="A17" s="22" t="s">
        <v>91</v>
      </c>
      <c r="C17" s="2"/>
      <c r="D17" s="23">
        <f>SUM(D11+D15)</f>
        <v>9979.2000000000007</v>
      </c>
      <c r="F17" s="22" t="s">
        <v>92</v>
      </c>
      <c r="H17" s="2"/>
      <c r="I17" s="23">
        <f>SUM(I11+I15)</f>
        <v>15712.2</v>
      </c>
      <c r="M17" s="2"/>
      <c r="N17" s="23">
        <f>SUM(N15:N16)</f>
        <v>4287.3999999999996</v>
      </c>
    </row>
    <row r="18" spans="1:14" x14ac:dyDescent="0.2">
      <c r="H18" s="2"/>
      <c r="I18" s="2"/>
      <c r="M18" s="2"/>
      <c r="N18" s="2"/>
    </row>
    <row r="19" spans="1:14" x14ac:dyDescent="0.2">
      <c r="H19" s="2"/>
      <c r="I19" s="2"/>
      <c r="K19" s="22" t="s">
        <v>93</v>
      </c>
      <c r="M19" s="2"/>
      <c r="N19" s="23">
        <f>SUM(N13+N17)</f>
        <v>20777.400000000001</v>
      </c>
    </row>
    <row r="20" spans="1:14" x14ac:dyDescent="0.2">
      <c r="H20" s="2"/>
      <c r="I20" s="2"/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Option A</vt:lpstr>
      <vt:lpstr>Option A (X and C Options)</vt:lpstr>
      <vt:lpstr>Option B2</vt:lpstr>
      <vt:lpstr>Option X2</vt:lpstr>
      <vt:lpstr>Option C6</vt:lpstr>
      <vt:lpstr>LFI sf totals</vt:lpstr>
      <vt:lpstr>'LFI sf totals'!Print_Area</vt:lpstr>
      <vt:lpstr>'Option A'!Print_Area</vt:lpstr>
      <vt:lpstr>'Option A (X and C Options)'!Print_Area</vt:lpstr>
      <vt:lpstr>'Option B2'!Print_Area</vt:lpstr>
      <vt:lpstr>'Option C6'!Print_Area</vt:lpstr>
      <vt:lpstr>'Option X2'!Print_Area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Ruetschle</dc:creator>
  <cp:lastModifiedBy>Mike Ruetschle</cp:lastModifiedBy>
  <cp:lastPrinted>2023-05-04T16:12:36Z</cp:lastPrinted>
  <dcterms:created xsi:type="dcterms:W3CDTF">2022-07-27T21:26:15Z</dcterms:created>
  <dcterms:modified xsi:type="dcterms:W3CDTF">2023-05-04T16:12:38Z</dcterms:modified>
</cp:coreProperties>
</file>