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35" windowWidth="15195" windowHeight="4920"/>
  </bookViews>
  <sheets>
    <sheet name="GF Budget Amds" sheetId="16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" sheetId="5" r:id="rId7"/>
    <sheet name="Debt Srv Fund Inv" sheetId="10" r:id="rId8"/>
    <sheet name="Rev Exp all fds" sheetId="9" r:id="rId9"/>
    <sheet name="tax coll rep" sheetId="7" r:id="rId10"/>
    <sheet name="K-8 STEM ACADEMY " sheetId="13" r:id="rId11"/>
    <sheet name="LMS RENOVATION 2014" sheetId="14" r:id="rId12"/>
    <sheet name="ROOFS" sheetId="15" r:id="rId13"/>
  </sheets>
  <externalReferences>
    <externalReference r:id="rId14"/>
  </externalReferences>
  <definedNames>
    <definedName name="_xlnm.Print_Area" localSheetId="10">#REF!</definedName>
    <definedName name="_xlnm.Print_Area" localSheetId="11">#REF!</definedName>
    <definedName name="_xlnm.Print_Area" localSheetId="8">'Rev Exp all fds'!$A$1:$BD$35</definedName>
    <definedName name="_xlnm.Print_Area" localSheetId="12">#REF!</definedName>
    <definedName name="_xlnm.Print_Area" localSheetId="2">'Stat of Unaudited'!$A$1:$I$62</definedName>
    <definedName name="_xlnm.Print_Area" localSheetId="9">'tax coll rep'!$A$1:$AC$66</definedName>
    <definedName name="_xlnm.Print_Area">'tax coll rep'!$A$1:$AB$66</definedName>
    <definedName name="_xlnm.Print_Titles" localSheetId="0">'GF Budget Amds'!$1:$1</definedName>
  </definedNames>
  <calcPr calcId="145621"/>
</workbook>
</file>

<file path=xl/calcChain.xml><?xml version="1.0" encoding="utf-8"?>
<calcChain xmlns="http://schemas.openxmlformats.org/spreadsheetml/2006/main">
  <c r="H56" i="16" l="1"/>
  <c r="F56" i="16"/>
  <c r="D56" i="16"/>
  <c r="F24" i="15" l="1"/>
  <c r="E24" i="15"/>
  <c r="D24" i="15"/>
  <c r="C24" i="15"/>
  <c r="G24" i="15" s="1"/>
  <c r="G18" i="15"/>
  <c r="F18" i="15"/>
  <c r="G17" i="15"/>
  <c r="F17" i="15"/>
  <c r="G16" i="15"/>
  <c r="F16" i="15"/>
  <c r="G15" i="15"/>
  <c r="F15" i="15"/>
  <c r="G14" i="15"/>
  <c r="F14" i="15"/>
  <c r="A10" i="15"/>
  <c r="C3" i="15"/>
  <c r="G24" i="14"/>
  <c r="E24" i="14"/>
  <c r="C24" i="14"/>
  <c r="G17" i="14"/>
  <c r="F17" i="14"/>
  <c r="H17" i="14" s="1"/>
  <c r="D17" i="14"/>
  <c r="I17" i="14" s="1"/>
  <c r="I16" i="14"/>
  <c r="F16" i="14"/>
  <c r="H16" i="14" s="1"/>
  <c r="D15" i="14"/>
  <c r="I15" i="14" s="1"/>
  <c r="I14" i="14"/>
  <c r="F14" i="14"/>
  <c r="A9" i="14"/>
  <c r="D7" i="14"/>
  <c r="L29" i="13"/>
  <c r="J29" i="13"/>
  <c r="I29" i="13"/>
  <c r="H29" i="13"/>
  <c r="F29" i="13"/>
  <c r="D29" i="13"/>
  <c r="K27" i="13"/>
  <c r="N27" i="13" s="1"/>
  <c r="E27" i="13"/>
  <c r="M27" i="13" s="1"/>
  <c r="K26" i="13"/>
  <c r="N26" i="13" s="1"/>
  <c r="E26" i="13"/>
  <c r="M26" i="13" s="1"/>
  <c r="K25" i="13"/>
  <c r="N25" i="13" s="1"/>
  <c r="N24" i="13"/>
  <c r="K24" i="13"/>
  <c r="E24" i="13"/>
  <c r="M24" i="13" s="1"/>
  <c r="K23" i="13"/>
  <c r="C23" i="13"/>
  <c r="C29" i="13" s="1"/>
  <c r="K22" i="13"/>
  <c r="N22" i="13" s="1"/>
  <c r="E22" i="13"/>
  <c r="M22" i="13" s="1"/>
  <c r="G21" i="13"/>
  <c r="K21" i="13" s="1"/>
  <c r="N21" i="13" s="1"/>
  <c r="C21" i="13"/>
  <c r="E21" i="13" s="1"/>
  <c r="N20" i="13"/>
  <c r="M20" i="13"/>
  <c r="K20" i="13"/>
  <c r="E20" i="13"/>
  <c r="N19" i="13"/>
  <c r="M19" i="13"/>
  <c r="K19" i="13"/>
  <c r="E19" i="13"/>
  <c r="G18" i="13"/>
  <c r="K18" i="13" s="1"/>
  <c r="E18" i="13"/>
  <c r="N17" i="13"/>
  <c r="K17" i="13"/>
  <c r="E17" i="13"/>
  <c r="M17" i="13" s="1"/>
  <c r="C8" i="13"/>
  <c r="C6" i="13"/>
  <c r="F24" i="14" l="1"/>
  <c r="F15" i="14"/>
  <c r="H15" i="14" s="1"/>
  <c r="D24" i="14"/>
  <c r="I24" i="14" s="1"/>
  <c r="H14" i="14"/>
  <c r="H24" i="14" s="1"/>
  <c r="M21" i="13"/>
  <c r="K29" i="13"/>
  <c r="N18" i="13"/>
  <c r="M18" i="13"/>
  <c r="G29" i="13"/>
  <c r="E23" i="13"/>
  <c r="M25" i="13"/>
  <c r="M23" i="13" l="1"/>
  <c r="M29" i="13" s="1"/>
  <c r="N23" i="13"/>
  <c r="E29" i="13"/>
  <c r="E32" i="13" s="1"/>
  <c r="N29" i="13" l="1"/>
  <c r="E17" i="4" l="1"/>
  <c r="E14" i="4"/>
  <c r="F27" i="2" l="1"/>
  <c r="K30" i="3"/>
  <c r="K7" i="3"/>
  <c r="K48" i="11"/>
  <c r="K47" i="11"/>
  <c r="K46" i="11"/>
  <c r="K7" i="11"/>
  <c r="AA48" i="7" l="1"/>
  <c r="AA46" i="7"/>
  <c r="AA24" i="7"/>
  <c r="Q35" i="7"/>
  <c r="Q32" i="7"/>
  <c r="Q22" i="7"/>
  <c r="Q19" i="7"/>
  <c r="D36" i="7"/>
  <c r="D35" i="7"/>
  <c r="D22" i="7"/>
  <c r="F36" i="7"/>
  <c r="F35" i="7"/>
  <c r="F22" i="7"/>
  <c r="AU19" i="9"/>
  <c r="AK19" i="9"/>
  <c r="AH24" i="9"/>
  <c r="AH19" i="9"/>
  <c r="W19" i="9"/>
  <c r="Q19" i="9"/>
  <c r="I19" i="9"/>
  <c r="F19" i="9"/>
  <c r="F22" i="2"/>
  <c r="F33" i="2"/>
  <c r="F30" i="2"/>
  <c r="F29" i="2"/>
  <c r="F28" i="2"/>
  <c r="F26" i="2"/>
  <c r="F24" i="2"/>
  <c r="F23" i="2"/>
  <c r="F21" i="2"/>
  <c r="F20" i="2"/>
  <c r="F19" i="2"/>
  <c r="F18" i="2"/>
  <c r="F17" i="2"/>
  <c r="F16" i="2"/>
  <c r="I16" i="2"/>
  <c r="I10" i="2"/>
  <c r="I30" i="3" l="1"/>
  <c r="I10" i="3"/>
  <c r="I7" i="3"/>
  <c r="I48" i="11"/>
  <c r="I47" i="11"/>
  <c r="I46" i="11"/>
  <c r="I7" i="11"/>
  <c r="G30" i="3" l="1"/>
  <c r="G7" i="3"/>
  <c r="G47" i="11"/>
  <c r="G48" i="11"/>
  <c r="G46" i="11"/>
  <c r="G7" i="11"/>
  <c r="AU21" i="9" l="1"/>
  <c r="AW21" i="9" s="1"/>
  <c r="AW19" i="9"/>
  <c r="AU24" i="9"/>
  <c r="AU14" i="9"/>
  <c r="AW14" i="9" s="1"/>
  <c r="AW12" i="9"/>
  <c r="AR24" i="9"/>
  <c r="AR21" i="9"/>
  <c r="AT21" i="9" s="1"/>
  <c r="AT19" i="9"/>
  <c r="AR14" i="9"/>
  <c r="AT14" i="9" s="1"/>
  <c r="AT12" i="9"/>
  <c r="AN24" i="9"/>
  <c r="AP21" i="9"/>
  <c r="AN21" i="9"/>
  <c r="AP19" i="9"/>
  <c r="AN14" i="9"/>
  <c r="AP14" i="9" s="1"/>
  <c r="AP12" i="9"/>
  <c r="AK24" i="9"/>
  <c r="AM19" i="9"/>
  <c r="AJ19" i="9"/>
  <c r="AK14" i="9"/>
  <c r="AM14" i="9" s="1"/>
  <c r="AH14" i="9"/>
  <c r="AJ14" i="9" s="1"/>
  <c r="AM12" i="9"/>
  <c r="AJ12" i="9"/>
  <c r="AK21" i="9" l="1"/>
  <c r="AM21" i="9" s="1"/>
  <c r="AH21" i="9"/>
  <c r="AJ21" i="9" s="1"/>
  <c r="E30" i="3" l="1"/>
  <c r="E7" i="3"/>
  <c r="E48" i="11"/>
  <c r="E47" i="11"/>
  <c r="E46" i="11"/>
  <c r="E7" i="11"/>
  <c r="H33" i="2" l="1"/>
  <c r="F13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16" i="1"/>
  <c r="F17" i="1"/>
  <c r="F18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F52" i="7"/>
  <c r="D52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M31" i="5"/>
  <c r="E31" i="5"/>
  <c r="L29" i="5"/>
  <c r="L31" i="5" s="1"/>
  <c r="A29" i="5"/>
  <c r="M28" i="5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G34" i="3"/>
  <c r="Y23" i="3"/>
  <c r="W23" i="3"/>
  <c r="U23" i="3"/>
  <c r="S23" i="3"/>
  <c r="Q23" i="3"/>
  <c r="O23" i="3"/>
  <c r="M23" i="3"/>
  <c r="K23" i="3"/>
  <c r="I23" i="3"/>
  <c r="G23" i="3"/>
  <c r="E23" i="3"/>
  <c r="C23" i="3"/>
  <c r="AB22" i="3"/>
  <c r="AB21" i="3"/>
  <c r="AB19" i="3"/>
  <c r="U19" i="3"/>
  <c r="S19" i="3"/>
  <c r="Q19" i="3"/>
  <c r="O19" i="3"/>
  <c r="M19" i="3"/>
  <c r="K19" i="3"/>
  <c r="I19" i="3"/>
  <c r="G19" i="3"/>
  <c r="E19" i="3"/>
  <c r="C19" i="3"/>
  <c r="AB18" i="3"/>
  <c r="Y15" i="3"/>
  <c r="Y25" i="3" s="1"/>
  <c r="W15" i="3"/>
  <c r="W25" i="3" s="1"/>
  <c r="U15" i="3"/>
  <c r="U25" i="3" s="1"/>
  <c r="S15" i="3"/>
  <c r="S25" i="3" s="1"/>
  <c r="Q15" i="3"/>
  <c r="O15" i="3"/>
  <c r="M15" i="3"/>
  <c r="K15" i="3"/>
  <c r="I15" i="3"/>
  <c r="G15" i="3"/>
  <c r="G25" i="3" s="1"/>
  <c r="E15" i="3"/>
  <c r="E25" i="3" s="1"/>
  <c r="C15" i="3"/>
  <c r="C25" i="3" s="1"/>
  <c r="C27" i="3" s="1"/>
  <c r="C36" i="3" s="1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Q39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C41" i="11" l="1"/>
  <c r="C43" i="11" s="1"/>
  <c r="I25" i="3"/>
  <c r="M25" i="3"/>
  <c r="E27" i="3"/>
  <c r="F45" i="2"/>
  <c r="J61" i="1"/>
  <c r="F85" i="1"/>
  <c r="E85" i="1" s="1"/>
  <c r="H44" i="1"/>
  <c r="H90" i="1"/>
  <c r="J85" i="1"/>
  <c r="I85" i="1" s="1"/>
  <c r="F61" i="1"/>
  <c r="D90" i="1"/>
  <c r="J13" i="1"/>
  <c r="J44" i="1" s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F90" i="1" l="1"/>
  <c r="E43" i="11"/>
  <c r="E56" i="11" s="1"/>
  <c r="C56" i="11"/>
  <c r="AB25" i="3"/>
  <c r="AB27" i="3" s="1"/>
  <c r="E26" i="4" s="1"/>
  <c r="E34" i="4" s="1"/>
  <c r="E36" i="3"/>
  <c r="G27" i="3"/>
  <c r="J90" i="1"/>
  <c r="I90" i="1" s="1"/>
  <c r="E90" i="1"/>
  <c r="F44" i="1"/>
  <c r="E44" i="1" s="1"/>
  <c r="AB39" i="11"/>
  <c r="K34" i="3"/>
  <c r="O30" i="3" s="1"/>
  <c r="Q30" i="3" s="1"/>
  <c r="S30" i="3" s="1"/>
  <c r="U30" i="3" s="1"/>
  <c r="AB41" i="11"/>
  <c r="AB43" i="11" s="1"/>
  <c r="N54" i="7"/>
  <c r="O27" i="7"/>
  <c r="G43" i="11" l="1"/>
  <c r="G56" i="11" s="1"/>
  <c r="AB36" i="3"/>
  <c r="M34" i="3"/>
  <c r="O34" i="3" s="1"/>
  <c r="I27" i="3"/>
  <c r="G36" i="3"/>
  <c r="AB56" i="11"/>
  <c r="E8" i="4"/>
  <c r="E20" i="4" s="1"/>
  <c r="Q34" i="3"/>
  <c r="I43" i="11" l="1"/>
  <c r="K43" i="11" s="1"/>
  <c r="K27" i="3"/>
  <c r="I36" i="3"/>
  <c r="E38" i="4"/>
  <c r="S34" i="3"/>
  <c r="I56" i="11" l="1"/>
  <c r="M43" i="11"/>
  <c r="K56" i="11"/>
  <c r="M27" i="3"/>
  <c r="K36" i="3"/>
  <c r="W30" i="3"/>
  <c r="Y30" i="3" s="1"/>
  <c r="U34" i="3"/>
  <c r="M56" i="11" l="1"/>
  <c r="O7" i="11"/>
  <c r="O43" i="11" s="1"/>
  <c r="O7" i="3"/>
  <c r="O27" i="3" s="1"/>
  <c r="M36" i="3"/>
  <c r="W34" i="3"/>
  <c r="Y34" i="3"/>
  <c r="Q7" i="11" l="1"/>
  <c r="Q43" i="11" s="1"/>
  <c r="O56" i="11"/>
  <c r="Q7" i="3"/>
  <c r="Q27" i="3" s="1"/>
  <c r="O36" i="3"/>
  <c r="S7" i="11" l="1"/>
  <c r="S43" i="11" s="1"/>
  <c r="Q56" i="11"/>
  <c r="S7" i="3"/>
  <c r="S27" i="3" s="1"/>
  <c r="Q36" i="3"/>
  <c r="U7" i="11" l="1"/>
  <c r="U43" i="11" s="1"/>
  <c r="S56" i="11"/>
  <c r="U7" i="3"/>
  <c r="U27" i="3" s="1"/>
  <c r="S36" i="3"/>
  <c r="W7" i="11" l="1"/>
  <c r="W43" i="11" s="1"/>
  <c r="U56" i="11"/>
  <c r="W7" i="3"/>
  <c r="W27" i="3" s="1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I80" authorId="0">
      <text>
        <r>
          <rPr>
            <b/>
            <sz val="9"/>
            <color indexed="81"/>
            <rFont val="Tahoma"/>
            <family val="2"/>
          </rPr>
          <t>Annual depreciation for building renovations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Need to rollforward STEM balances from FY 13-14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K30" authorId="0">
      <text>
        <r>
          <rPr>
            <b/>
            <sz val="9"/>
            <color indexed="81"/>
            <rFont val="Tahoma"/>
            <family val="2"/>
          </rPr>
          <t>Timing - TRS payment Feb 2 $326,962.68</t>
        </r>
      </text>
    </comment>
    <comment ref="I36" authorId="0">
      <text>
        <r>
          <rPr>
            <b/>
            <sz val="9"/>
            <color indexed="81"/>
            <rFont val="Tahoma"/>
            <family val="2"/>
          </rPr>
          <t>Transfer TEA IFA &amp; EDA payments to Debt Service account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comments4.xml><?xml version="1.0" encoding="utf-8"?>
<comments xmlns="http://schemas.openxmlformats.org/spreadsheetml/2006/main">
  <authors>
    <author>BETH EULER</author>
  </authors>
  <commentList>
    <comment ref="I13" authorId="0">
      <text>
        <r>
          <rPr>
            <b/>
            <sz val="9"/>
            <color indexed="81"/>
            <rFont val="Tahoma"/>
            <family val="2"/>
          </rPr>
          <t>TEA IFA &amp; EDA payments</t>
        </r>
      </text>
    </comment>
  </commentList>
</comments>
</file>

<file path=xl/sharedStrings.xml><?xml version="1.0" encoding="utf-8"?>
<sst xmlns="http://schemas.openxmlformats.org/spreadsheetml/2006/main" count="922" uniqueCount="429">
  <si>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</si>
  <si>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</si>
  <si>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</si>
  <si>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</si>
  <si>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</si>
  <si>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</si>
  <si>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</si>
  <si>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</si>
  <si>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</si>
  <si>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</si>
  <si>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</si>
  <si>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</si>
  <si>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</si>
  <si>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</si>
  <si>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</si>
  <si>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</si>
  <si>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</si>
  <si>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</si>
  <si>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</si>
  <si>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</si>
  <si>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</si>
  <si>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</si>
  <si>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</si>
  <si>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</si>
  <si>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</si>
  <si>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</si>
  <si>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</si>
  <si>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</si>
  <si>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</si>
  <si>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</si>
  <si>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</si>
  <si>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</si>
  <si>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</si>
  <si>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</si>
  <si>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</si>
  <si>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</si>
  <si>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</si>
  <si>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</si>
  <si>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</si>
  <si>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</si>
  <si>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</si>
  <si>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</si>
  <si>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</si>
  <si>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</si>
  <si>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</si>
  <si>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</si>
  <si>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</si>
  <si>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</si>
  <si>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</si>
  <si>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</si>
  <si>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</si>
  <si>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</si>
  <si>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</si>
  <si>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</si>
  <si>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</si>
  <si>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</si>
  <si>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</si>
  <si>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</si>
  <si>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</si>
  <si>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</si>
  <si>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</si>
  <si>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</si>
  <si>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</si>
  <si>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</si>
  <si>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</si>
  <si>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</si>
  <si>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</si>
  <si>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</si>
  <si>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</si>
  <si>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</si>
  <si>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</si>
  <si>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</si>
  <si>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</si>
  <si>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</si>
  <si>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</si>
  <si>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</si>
  <si>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</si>
  <si>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</si>
  <si>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</si>
  <si>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</si>
  <si>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</si>
  <si>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</si>
  <si>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</si>
  <si>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</si>
  <si>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</si>
  <si>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</si>
  <si>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</si>
  <si>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</si>
  <si>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</si>
  <si>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</si>
  <si>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</si>
  <si>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</si>
  <si>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</si>
  <si>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</si>
  <si>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</si>
  <si>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</si>
  <si>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</si>
  <si>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</si>
  <si>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</si>
  <si>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</si>
  <si>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</si>
  <si>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</si>
  <si>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</si>
  <si>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</si>
  <si>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</si>
  <si>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</si>
  <si>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</si>
  <si>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</si>
  <si>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</si>
  <si>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</si>
  <si>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</si>
  <si>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</si>
  <si>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</si>
  <si>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</si>
  <si>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</si>
  <si>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</si>
  <si>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</si>
  <si>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</si>
  <si>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</si>
  <si>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</si>
  <si>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</si>
  <si>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</si>
  <si>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</si>
  <si>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</si>
  <si>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</si>
  <si>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</si>
  <si>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</si>
  <si>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</si>
  <si>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</si>
  <si>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</si>
  <si>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</si>
  <si>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</si>
  <si>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</si>
  <si>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</si>
  <si>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</si>
  <si>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</si>
  <si>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</si>
  <si>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</si>
  <si>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</si>
  <si>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</si>
  <si>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</si>
  <si>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</si>
  <si>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</si>
  <si>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</si>
  <si>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</si>
  <si>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</si>
  <si>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</si>
  <si>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</si>
  <si>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</si>
  <si>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</si>
  <si>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</si>
  <si>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</si>
  <si>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</si>
  <si>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</si>
  <si>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</si>
  <si>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</si>
  <si>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</si>
  <si>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</si>
  <si>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</si>
  <si>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</si>
  <si>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</si>
  <si>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</si>
  <si>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</si>
  <si>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</si>
  <si>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</si>
  <si>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</si>
  <si>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</si>
  <si>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</si>
  <si>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</si>
  <si>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</si>
  <si>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</si>
  <si>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</si>
  <si>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</si>
  <si>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</si>
  <si>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</si>
  <si>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</si>
  <si>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</si>
  <si>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</si>
  <si>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</si>
  <si>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</si>
  <si>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</si>
  <si>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</si>
  <si>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</si>
  <si>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</si>
  <si>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</si>
  <si>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</si>
  <si>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</si>
  <si>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</si>
  <si>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</si>
  <si>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</si>
  <si>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</si>
  <si>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</si>
  <si>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</si>
  <si>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</si>
  <si>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</si>
  <si>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</si>
  <si>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</si>
  <si>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</si>
  <si>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</si>
  <si>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</si>
  <si>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</si>
  <si>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</si>
  <si>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</si>
  <si>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</si>
  <si>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</si>
  <si>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</si>
  <si>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</si>
  <si>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</si>
  <si>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</si>
  <si>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</si>
  <si>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</si>
  <si>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</si>
  <si>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</si>
  <si>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</si>
  <si>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</si>
  <si>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</si>
  <si>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</si>
  <si>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</si>
  <si>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</si>
  <si>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</si>
  <si>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</si>
  <si>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</si>
  <si>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</si>
  <si>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</si>
  <si>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</si>
  <si>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</si>
  <si>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</si>
  <si>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</si>
  <si>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</si>
  <si>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</si>
  <si>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</si>
  <si>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</si>
  <si>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</si>
  <si>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</si>
  <si>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</si>
  <si>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</si>
  <si>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</si>
  <si>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</si>
  <si>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</si>
  <si>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</si>
  <si>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</si>
  <si>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</si>
  <si>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</si>
  <si>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</si>
  <si>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</si>
  <si>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</si>
  <si>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</si>
  <si>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</si>
  <si>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</si>
  <si>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</si>
  <si>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</si>
  <si>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</si>
  <si>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</si>
  <si>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</si>
  <si>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</si>
  <si>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</si>
  <si>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</si>
  <si>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</si>
  <si>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</si>
  <si>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</si>
  <si>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</si>
  <si>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</si>
  <si>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</si>
  <si>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</si>
  <si>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</si>
  <si>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</si>
  <si>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</si>
  <si>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</si>
  <si>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</si>
  <si>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</si>
  <si>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</si>
  <si>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</si>
  <si>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</si>
  <si>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</si>
  <si>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</si>
  <si>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</si>
  <si>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</si>
  <si>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</si>
  <si>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</si>
  <si>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</si>
  <si>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</si>
  <si>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</si>
  <si>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</si>
  <si>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</si>
  <si>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</si>
  <si>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</si>
  <si>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</si>
  <si>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</si>
  <si>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</si>
  <si>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</si>
  <si>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</si>
  <si>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</si>
  <si>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</si>
  <si>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</si>
  <si>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</si>
  <si>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</si>
  <si>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</si>
  <si>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</si>
  <si>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</si>
  <si>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</si>
  <si>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</si>
  <si>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</si>
  <si>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</si>
  <si>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</si>
  <si>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</si>
  <si>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</si>
  <si>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</si>
  <si>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</si>
  <si>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</si>
  <si>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</si>
  <si>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</si>
  <si>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</si>
  <si>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</si>
  <si>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</si>
  <si>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</si>
  <si>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</si>
  <si>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</si>
  <si>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</si>
  <si>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</si>
  <si>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</si>
  <si>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</si>
  <si>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</si>
  <si>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</si>
  <si>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</si>
  <si>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</si>
  <si>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</si>
  <si>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</si>
  <si>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t>Fund Balance 08/31/14</t>
  </si>
  <si>
    <t>2012 &amp; 2014 Bonds</t>
  </si>
  <si>
    <r>
      <t xml:space="preserve">Cumulative (From 10/01/14 thru </t>
    </r>
    <r>
      <rPr>
        <sz val="12"/>
        <color theme="4"/>
        <rFont val="Arial"/>
        <family val="2"/>
      </rPr>
      <t>12/31/14</t>
    </r>
    <r>
      <rPr>
        <sz val="12"/>
        <color indexed="8"/>
        <rFont val="Arial"/>
        <family val="2"/>
      </rPr>
      <t>)</t>
    </r>
  </si>
  <si>
    <t>as of January 31, 2015</t>
  </si>
  <si>
    <r>
      <t xml:space="preserve">EST FUND BALANCE </t>
    </r>
    <r>
      <rPr>
        <b/>
        <sz val="10"/>
        <color theme="3" tint="0.39997558519241921"/>
        <rFont val="Geneva"/>
      </rPr>
      <t>01/31/15</t>
    </r>
  </si>
  <si>
    <t>As of January 31, 2015</t>
  </si>
  <si>
    <t>Accounting Period: 01</t>
  </si>
  <si>
    <t>Summary of Revenue &amp; Expenditures As Of  01/31/15</t>
  </si>
  <si>
    <t>Month of January</t>
  </si>
  <si>
    <t>10/1/14 thru 01/31/15</t>
  </si>
  <si>
    <t>January 2015</t>
  </si>
  <si>
    <t>January 2014</t>
  </si>
  <si>
    <r>
      <t>Tax Levy Remaining as of</t>
    </r>
    <r>
      <rPr>
        <sz val="12"/>
        <color theme="4"/>
        <rFont val="Arial"/>
        <family val="2"/>
      </rPr>
      <t xml:space="preserve"> 01/01/15</t>
    </r>
  </si>
  <si>
    <r>
      <t xml:space="preserve">Remaining Levy as of </t>
    </r>
    <r>
      <rPr>
        <sz val="12"/>
        <color theme="4"/>
        <rFont val="Arial"/>
        <family val="2"/>
      </rPr>
      <t xml:space="preserve"> 01/31/15</t>
    </r>
  </si>
  <si>
    <r>
      <t xml:space="preserve">Remaining Levy as of  </t>
    </r>
    <r>
      <rPr>
        <sz val="12"/>
        <color theme="3" tint="0.39997558519241921"/>
        <rFont val="Arial"/>
        <family val="2"/>
      </rPr>
      <t>01/31/15</t>
    </r>
  </si>
  <si>
    <t>MONTH ENDED:  January 31, 2015</t>
  </si>
  <si>
    <t>MONTH ENDED: January 31, 2015</t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</si>
  <si>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</si>
  <si>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</si>
  <si>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</si>
  <si>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</si>
  <si>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</si>
  <si>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</si>
  <si>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</si>
  <si>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</si>
  <si>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</si>
  <si>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</si>
  <si>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</si>
  <si>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</si>
  <si>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</si>
  <si>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</si>
  <si>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02/26/15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</si>
  <si>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</si>
  <si>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</si>
  <si>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</si>
  <si>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</si>
  <si>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</si>
  <si>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</si>
  <si>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</si>
  <si>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</si>
  <si>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</si>
  <si>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Closeout Not Yet Paid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</si>
  <si>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</si>
  <si>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</si>
  <si>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</si>
  <si>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</si>
  <si>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</si>
  <si>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</si>
  <si>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</si>
  <si>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</si>
  <si>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</si>
  <si>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</si>
  <si>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</si>
  <si>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</si>
  <si>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</si>
  <si>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</si>
  <si>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</si>
  <si>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</si>
  <si>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</si>
  <si>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</si>
  <si>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</si>
  <si>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</si>
  <si>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</si>
  <si>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</si>
  <si>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</si>
  <si>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</si>
  <si>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LAKESIDE MIDDLE SCHOOL RENOVATION PROJECT</t>
  </si>
  <si>
    <t>Preliminary</t>
  </si>
  <si>
    <t>Savings</t>
  </si>
  <si>
    <t>Project Budget</t>
  </si>
  <si>
    <t>Less Retainage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</si>
  <si>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</si>
  <si>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</si>
  <si>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</si>
  <si>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</si>
  <si>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</si>
  <si>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</si>
  <si>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Current Year Expenditures to Date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</si>
  <si>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</si>
  <si>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</si>
  <si>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</si>
  <si>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</si>
  <si>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</si>
  <si>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</si>
  <si>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</si>
  <si>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</si>
  <si>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</si>
  <si>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</si>
  <si>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To increase the budget by the amount of donation received.</t>
  </si>
  <si>
    <t>To reallocate fund to cover extra duty pay</t>
  </si>
  <si>
    <t>To reallocate funds to cover technology equip repairs</t>
  </si>
  <si>
    <t>To reallocate funds to cover equipment purchase</t>
  </si>
  <si>
    <t>To reallocate funds to cover computer purchase</t>
  </si>
  <si>
    <t>To reallocate funds to cover band student travel</t>
  </si>
  <si>
    <t>To reallocate funds to new org for Deputy Superintendent</t>
  </si>
  <si>
    <t>To reallocate funds to cover transportation for evening tutoring program</t>
  </si>
  <si>
    <t>Rollforward FY 13-14 MS Renovations construction balance to cover current year payments</t>
  </si>
  <si>
    <t>Rollforward FY 13-14 STEM construction balance to cover current year payments</t>
  </si>
  <si>
    <t>Fund renovations for LEHS Classrooms formerly Support Center offices</t>
  </si>
  <si>
    <t>Fund renovations for Trade &amp; Industry Lab/Classroom</t>
  </si>
  <si>
    <t>Fund renovations for Zellars Office Project</t>
  </si>
  <si>
    <t>Fund repair of exterior band practice area at LEHS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</si>
</sst>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  <numFmt numFmtId="174" formatCode="000"/>
    <numFmt numFmtId="175" formatCode="00"/>
  </numFmts>
  <fonts count="53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10"/>
      <color theme="3" tint="0.39997558519241921"/>
      <name val="Geneva"/>
    </font>
    <font>
      <sz val="12"/>
      <color theme="3" tint="0.39997558519241921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629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172" fontId="29" fillId="0" borderId="0" xfId="12" applyNumberFormat="1" applyFont="1" applyAlignment="1" applyProtection="1">
      <alignment horizontal="centerContinuous"/>
      <protection locked="0"/>
    </xf>
    <xf numFmtId="43" fontId="7" fillId="4" borderId="5" xfId="9" applyNumberFormat="1" applyFill="1" applyBorder="1"/>
    <xf numFmtId="43" fontId="36" fillId="4" borderId="5" xfId="9" applyNumberFormat="1" applyFont="1" applyFill="1" applyBorder="1"/>
    <xf numFmtId="43" fontId="7" fillId="4" borderId="7" xfId="9" applyNumberFormat="1" applyFill="1" applyBorder="1"/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3" fontId="7" fillId="0" borderId="40" xfId="13" applyNumberFormat="1" applyFont="1" applyBorder="1" applyAlignment="1">
      <alignment horizontal="center" wrapText="1"/>
    </xf>
    <xf numFmtId="0" fontId="3" fillId="0" borderId="0" xfId="14"/>
    <xf numFmtId="0" fontId="8" fillId="0" borderId="40" xfId="13" applyFont="1" applyBorder="1" applyAlignment="1">
      <alignment horizontal="center"/>
    </xf>
    <xf numFmtId="3" fontId="8" fillId="0" borderId="40" xfId="13" applyNumberFormat="1" applyFont="1" applyBorder="1" applyAlignment="1"/>
    <xf numFmtId="3" fontId="8" fillId="0" borderId="40" xfId="13" applyNumberFormat="1" applyFont="1" applyBorder="1" applyAlignment="1">
      <alignment horizontal="center"/>
    </xf>
    <xf numFmtId="0" fontId="8" fillId="0" borderId="40" xfId="13" applyFont="1" applyBorder="1" applyAlignment="1">
      <alignment horizontal="left"/>
    </xf>
    <xf numFmtId="3" fontId="7" fillId="0" borderId="40" xfId="13" applyNumberFormat="1" applyFont="1" applyBorder="1"/>
    <xf numFmtId="3" fontId="7" fillId="0" borderId="40" xfId="13" applyNumberFormat="1" applyFont="1" applyBorder="1" applyAlignment="1"/>
    <xf numFmtId="0" fontId="7" fillId="0" borderId="40" xfId="13" applyFont="1" applyBorder="1"/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3" fontId="7" fillId="0" borderId="0" xfId="13" applyNumberFormat="1" applyFont="1" applyBorder="1" applyAlignment="1">
      <alignment horizontal="center"/>
    </xf>
    <xf numFmtId="3" fontId="7" fillId="0" borderId="0" xfId="13" applyNumberFormat="1" applyFont="1" applyBorder="1" applyAlignment="1"/>
    <xf numFmtId="0" fontId="45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3" fontId="32" fillId="0" borderId="0" xfId="13" applyNumberFormat="1" applyFont="1" applyAlignment="1"/>
    <xf numFmtId="0" fontId="32" fillId="0" borderId="0" xfId="13" applyFont="1" applyAlignment="1">
      <alignment horizontal="left"/>
    </xf>
    <xf numFmtId="0" fontId="46" fillId="0" borderId="0" xfId="13" applyFont="1"/>
    <xf numFmtId="0" fontId="46" fillId="0" borderId="0" xfId="13" applyFont="1" applyAlignment="1">
      <alignment horizontal="center"/>
    </xf>
    <xf numFmtId="3" fontId="46" fillId="0" borderId="0" xfId="13" applyNumberFormat="1" applyFont="1"/>
    <xf numFmtId="3" fontId="46" fillId="0" borderId="0" xfId="13" applyNumberFormat="1" applyFont="1" applyAlignment="1">
      <alignment horizontal="center"/>
    </xf>
    <xf numFmtId="3" fontId="46" fillId="0" borderId="0" xfId="13" applyNumberFormat="1" applyFont="1" applyAlignment="1"/>
    <xf numFmtId="0" fontId="46" fillId="0" borderId="0" xfId="13" applyFont="1" applyAlignment="1">
      <alignment horizontal="left"/>
    </xf>
    <xf numFmtId="0" fontId="28" fillId="0" borderId="0" xfId="13" applyFont="1" applyAlignment="1">
      <alignment horizontal="left"/>
    </xf>
    <xf numFmtId="174" fontId="7" fillId="0" borderId="40" xfId="13" applyNumberFormat="1" applyFont="1" applyBorder="1" applyAlignment="1">
      <alignment horizontal="center"/>
    </xf>
    <xf numFmtId="174" fontId="8" fillId="0" borderId="40" xfId="13" applyNumberFormat="1" applyFont="1" applyBorder="1" applyAlignment="1"/>
    <xf numFmtId="174" fontId="7" fillId="0" borderId="40" xfId="13" applyNumberFormat="1" applyFont="1" applyBorder="1" applyAlignment="1"/>
    <xf numFmtId="174" fontId="7" fillId="0" borderId="40" xfId="13" applyNumberFormat="1" applyFont="1" applyBorder="1" applyAlignment="1">
      <alignment horizontal="right"/>
    </xf>
    <xf numFmtId="174" fontId="7" fillId="0" borderId="40" xfId="13" applyNumberFormat="1" applyFont="1" applyBorder="1"/>
    <xf numFmtId="174" fontId="28" fillId="0" borderId="0" xfId="13" applyNumberFormat="1" applyFont="1" applyAlignment="1"/>
    <xf numFmtId="174" fontId="46" fillId="0" borderId="0" xfId="13" applyNumberFormat="1" applyFont="1" applyAlignment="1"/>
    <xf numFmtId="174" fontId="3" fillId="0" borderId="0" xfId="14" applyNumberFormat="1"/>
    <xf numFmtId="175" fontId="7" fillId="0" borderId="40" xfId="13" applyNumberFormat="1" applyFont="1" applyBorder="1" applyAlignment="1">
      <alignment horizontal="center"/>
    </xf>
    <xf numFmtId="175" fontId="8" fillId="0" borderId="40" xfId="13" applyNumberFormat="1" applyFont="1" applyBorder="1" applyAlignment="1">
      <alignment horizontal="center"/>
    </xf>
    <xf numFmtId="175" fontId="28" fillId="0" borderId="0" xfId="13" applyNumberFormat="1" applyFont="1" applyAlignment="1">
      <alignment horizontal="center"/>
    </xf>
    <xf numFmtId="175" fontId="46" fillId="0" borderId="0" xfId="13" applyNumberFormat="1" applyFont="1" applyAlignment="1">
      <alignment horizontal="center"/>
    </xf>
    <xf numFmtId="175" fontId="3" fillId="0" borderId="0" xfId="14" applyNumberFormat="1"/>
    <xf numFmtId="3" fontId="7" fillId="4" borderId="40" xfId="13" applyNumberFormat="1" applyFont="1" applyFill="1" applyBorder="1" applyAlignment="1">
      <alignment horizontal="center"/>
    </xf>
    <xf numFmtId="0" fontId="48" fillId="0" borderId="0" xfId="27" applyFont="1"/>
    <xf numFmtId="0" fontId="49" fillId="0" borderId="0" xfId="27" applyFont="1"/>
    <xf numFmtId="43" fontId="49" fillId="0" borderId="0" xfId="16" applyFont="1"/>
    <xf numFmtId="43" fontId="7" fillId="0" borderId="0" xfId="16" applyFont="1"/>
    <xf numFmtId="0" fontId="7" fillId="0" borderId="0" xfId="27"/>
    <xf numFmtId="43" fontId="50" fillId="0" borderId="0" xfId="16" applyFont="1" applyBorder="1"/>
    <xf numFmtId="0" fontId="7" fillId="0" borderId="0" xfId="27" applyFont="1"/>
    <xf numFmtId="43" fontId="50" fillId="0" borderId="26" xfId="16" applyFont="1" applyBorder="1"/>
    <xf numFmtId="44" fontId="50" fillId="0" borderId="0" xfId="19" applyFont="1" applyBorder="1"/>
    <xf numFmtId="0" fontId="51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50" fillId="8" borderId="40" xfId="27" applyFont="1" applyFill="1" applyBorder="1" applyAlignment="1">
      <alignment horizontal="center" wrapText="1"/>
    </xf>
    <xf numFmtId="0" fontId="50" fillId="8" borderId="40" xfId="27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/>
    </xf>
    <xf numFmtId="43" fontId="50" fillId="6" borderId="43" xfId="16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 wrapText="1"/>
    </xf>
    <xf numFmtId="0" fontId="50" fillId="7" borderId="40" xfId="27" applyFont="1" applyFill="1" applyBorder="1" applyAlignment="1">
      <alignment horizontal="center" wrapText="1"/>
    </xf>
    <xf numFmtId="0" fontId="50" fillId="7" borderId="41" xfId="27" applyFont="1" applyFill="1" applyBorder="1" applyAlignment="1">
      <alignment horizontal="center" wrapText="1"/>
    </xf>
    <xf numFmtId="0" fontId="50" fillId="7" borderId="2" xfId="27" applyFont="1" applyFill="1" applyBorder="1" applyAlignment="1">
      <alignment horizontal="center" wrapText="1"/>
    </xf>
    <xf numFmtId="0" fontId="50" fillId="8" borderId="43" xfId="27" applyFont="1" applyFill="1" applyBorder="1" applyAlignment="1">
      <alignment horizontal="center" wrapText="1"/>
    </xf>
    <xf numFmtId="43" fontId="50" fillId="8" borderId="40" xfId="16" applyFont="1" applyFill="1" applyBorder="1" applyAlignment="1">
      <alignment horizontal="center" wrapText="1"/>
    </xf>
    <xf numFmtId="0" fontId="50" fillId="0" borderId="40" xfId="27" applyFont="1" applyBorder="1"/>
    <xf numFmtId="6" fontId="50" fillId="0" borderId="40" xfId="27" applyNumberFormat="1" applyFont="1" applyBorder="1"/>
    <xf numFmtId="43" fontId="50" fillId="0" borderId="40" xfId="16" applyFont="1" applyBorder="1"/>
    <xf numFmtId="43" fontId="50" fillId="0" borderId="43" xfId="16" applyFont="1" applyBorder="1"/>
    <xf numFmtId="1" fontId="50" fillId="0" borderId="40" xfId="27" applyNumberFormat="1" applyFont="1" applyBorder="1" applyAlignment="1">
      <alignment horizontal="center"/>
    </xf>
    <xf numFmtId="43" fontId="50" fillId="0" borderId="40" xfId="17" applyFont="1" applyBorder="1"/>
    <xf numFmtId="43" fontId="50" fillId="4" borderId="40" xfId="17" applyFont="1" applyFill="1" applyBorder="1"/>
    <xf numFmtId="9" fontId="50" fillId="0" borderId="40" xfId="39" applyFont="1" applyBorder="1"/>
    <xf numFmtId="43" fontId="50" fillId="0" borderId="25" xfId="16" applyFont="1" applyBorder="1"/>
    <xf numFmtId="0" fontId="50" fillId="0" borderId="40" xfId="27" applyFont="1" applyBorder="1" applyAlignment="1">
      <alignment wrapText="1"/>
    </xf>
    <xf numFmtId="165" fontId="50" fillId="0" borderId="43" xfId="16" applyNumberFormat="1" applyFont="1" applyBorder="1" applyAlignment="1">
      <alignment wrapText="1"/>
    </xf>
    <xf numFmtId="1" fontId="50" fillId="0" borderId="40" xfId="27" applyNumberFormat="1" applyFont="1" applyBorder="1"/>
    <xf numFmtId="43" fontId="14" fillId="0" borderId="40" xfId="17" applyFont="1" applyBorder="1"/>
    <xf numFmtId="0" fontId="50" fillId="8" borderId="40" xfId="27" applyFont="1" applyFill="1" applyBorder="1"/>
    <xf numFmtId="43" fontId="50" fillId="6" borderId="40" xfId="16" applyFont="1" applyFill="1" applyBorder="1"/>
    <xf numFmtId="43" fontId="50" fillId="7" borderId="40" xfId="16" applyFont="1" applyFill="1" applyBorder="1"/>
    <xf numFmtId="43" fontId="50" fillId="8" borderId="40" xfId="17" applyFont="1" applyFill="1" applyBorder="1"/>
    <xf numFmtId="43" fontId="50" fillId="8" borderId="40" xfId="16" applyFont="1" applyFill="1" applyBorder="1"/>
    <xf numFmtId="9" fontId="50" fillId="8" borderId="40" xfId="39" applyFont="1" applyFill="1" applyBorder="1"/>
    <xf numFmtId="0" fontId="50" fillId="8" borderId="27" xfId="27" applyFont="1" applyFill="1" applyBorder="1" applyAlignment="1">
      <alignment horizontal="center" wrapText="1"/>
    </xf>
    <xf numFmtId="0" fontId="50" fillId="8" borderId="27" xfId="27" applyFont="1" applyFill="1" applyBorder="1" applyAlignment="1">
      <alignment horizontal="center"/>
    </xf>
    <xf numFmtId="0" fontId="50" fillId="8" borderId="40" xfId="27" applyFont="1" applyFill="1" applyBorder="1" applyAlignment="1">
      <alignment horizontal="centerContinuous" wrapText="1"/>
    </xf>
    <xf numFmtId="0" fontId="50" fillId="8" borderId="2" xfId="27" applyFont="1" applyFill="1" applyBorder="1" applyAlignment="1">
      <alignment horizontal="center" wrapText="1"/>
    </xf>
    <xf numFmtId="0" fontId="50" fillId="8" borderId="2" xfId="27" applyFont="1" applyFill="1" applyBorder="1" applyAlignment="1">
      <alignment horizontal="center"/>
    </xf>
    <xf numFmtId="44" fontId="50" fillId="0" borderId="40" xfId="19" applyFont="1" applyBorder="1"/>
    <xf numFmtId="43" fontId="50" fillId="4" borderId="40" xfId="16" applyFont="1" applyFill="1" applyBorder="1"/>
    <xf numFmtId="43" fontId="14" fillId="0" borderId="40" xfId="16" applyFont="1" applyBorder="1"/>
    <xf numFmtId="0" fontId="7" fillId="0" borderId="0" xfId="27" applyBorder="1"/>
    <xf numFmtId="7" fontId="50" fillId="0" borderId="0" xfId="19" applyNumberFormat="1" applyFont="1" applyBorder="1"/>
    <xf numFmtId="0" fontId="52" fillId="0" borderId="0" xfId="27" applyFont="1"/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eisd.ws/Users/rmiller.LEISD/Downloads/Construction%20Balances%20Updated%20Template%2002%2026%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-8 STEM ACADEMY "/>
      <sheetName val="BUS BARN"/>
      <sheetName val="LMS RENOVATION 2014"/>
      <sheetName val="ROOFS"/>
    </sheetNames>
    <sheetDataSet>
      <sheetData sheetId="0">
        <row r="12">
          <cell r="A12" t="str">
            <v>Expenditures as of 02/26/15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workbookViewId="0">
      <selection activeCell="H56" sqref="H56"/>
    </sheetView>
  </sheetViews>
  <sheetFormatPr defaultRowHeight="12.75"/>
  <cols>
    <col min="1" max="1" width="4" style="521" customWidth="1"/>
    <col min="2" max="2" width="6.28515625" style="521" customWidth="1"/>
    <col min="3" max="3" width="3.7109375" style="559" customWidth="1"/>
    <col min="4" max="4" width="14" style="521" customWidth="1"/>
    <col min="5" max="5" width="5" style="521" customWidth="1"/>
    <col min="6" max="6" width="11.42578125" style="521" bestFit="1" customWidth="1"/>
    <col min="7" max="7" width="5.85546875" style="554" customWidth="1"/>
    <col min="8" max="8" width="11.42578125" style="521" bestFit="1" customWidth="1"/>
    <col min="9" max="9" width="21.28515625" style="521" customWidth="1"/>
    <col min="10" max="256" width="9.140625" style="521"/>
    <col min="257" max="257" width="4" style="521" customWidth="1"/>
    <col min="258" max="258" width="6.28515625" style="521" customWidth="1"/>
    <col min="259" max="259" width="3.7109375" style="521" customWidth="1"/>
    <col min="260" max="260" width="14" style="521" customWidth="1"/>
    <col min="261" max="261" width="5" style="521" customWidth="1"/>
    <col min="262" max="262" width="11.42578125" style="521" bestFit="1" customWidth="1"/>
    <col min="263" max="263" width="5.85546875" style="521" customWidth="1"/>
    <col min="264" max="264" width="11.42578125" style="521" bestFit="1" customWidth="1"/>
    <col min="265" max="265" width="21.28515625" style="521" customWidth="1"/>
    <col min="266" max="512" width="9.140625" style="521"/>
    <col min="513" max="513" width="4" style="521" customWidth="1"/>
    <col min="514" max="514" width="6.28515625" style="521" customWidth="1"/>
    <col min="515" max="515" width="3.7109375" style="521" customWidth="1"/>
    <col min="516" max="516" width="14" style="521" customWidth="1"/>
    <col min="517" max="517" width="5" style="521" customWidth="1"/>
    <col min="518" max="518" width="11.42578125" style="521" bestFit="1" customWidth="1"/>
    <col min="519" max="519" width="5.85546875" style="521" customWidth="1"/>
    <col min="520" max="520" width="11.42578125" style="521" bestFit="1" customWidth="1"/>
    <col min="521" max="521" width="21.28515625" style="521" customWidth="1"/>
    <col min="522" max="768" width="9.140625" style="521"/>
    <col min="769" max="769" width="4" style="521" customWidth="1"/>
    <col min="770" max="770" width="6.28515625" style="521" customWidth="1"/>
    <col min="771" max="771" width="3.7109375" style="521" customWidth="1"/>
    <col min="772" max="772" width="14" style="521" customWidth="1"/>
    <col min="773" max="773" width="5" style="521" customWidth="1"/>
    <col min="774" max="774" width="11.42578125" style="521" bestFit="1" customWidth="1"/>
    <col min="775" max="775" width="5.85546875" style="521" customWidth="1"/>
    <col min="776" max="776" width="11.42578125" style="521" bestFit="1" customWidth="1"/>
    <col min="777" max="777" width="21.28515625" style="521" customWidth="1"/>
    <col min="778" max="1024" width="9.140625" style="521"/>
    <col min="1025" max="1025" width="4" style="521" customWidth="1"/>
    <col min="1026" max="1026" width="6.28515625" style="521" customWidth="1"/>
    <col min="1027" max="1027" width="3.7109375" style="521" customWidth="1"/>
    <col min="1028" max="1028" width="14" style="521" customWidth="1"/>
    <col min="1029" max="1029" width="5" style="521" customWidth="1"/>
    <col min="1030" max="1030" width="11.42578125" style="521" bestFit="1" customWidth="1"/>
    <col min="1031" max="1031" width="5.85546875" style="521" customWidth="1"/>
    <col min="1032" max="1032" width="11.42578125" style="521" bestFit="1" customWidth="1"/>
    <col min="1033" max="1033" width="21.28515625" style="521" customWidth="1"/>
    <col min="1034" max="1280" width="9.140625" style="521"/>
    <col min="1281" max="1281" width="4" style="521" customWidth="1"/>
    <col min="1282" max="1282" width="6.28515625" style="521" customWidth="1"/>
    <col min="1283" max="1283" width="3.7109375" style="521" customWidth="1"/>
    <col min="1284" max="1284" width="14" style="521" customWidth="1"/>
    <col min="1285" max="1285" width="5" style="521" customWidth="1"/>
    <col min="1286" max="1286" width="11.42578125" style="521" bestFit="1" customWidth="1"/>
    <col min="1287" max="1287" width="5.85546875" style="521" customWidth="1"/>
    <col min="1288" max="1288" width="11.42578125" style="521" bestFit="1" customWidth="1"/>
    <col min="1289" max="1289" width="21.28515625" style="521" customWidth="1"/>
    <col min="1290" max="1536" width="9.140625" style="521"/>
    <col min="1537" max="1537" width="4" style="521" customWidth="1"/>
    <col min="1538" max="1538" width="6.28515625" style="521" customWidth="1"/>
    <col min="1539" max="1539" width="3.7109375" style="521" customWidth="1"/>
    <col min="1540" max="1540" width="14" style="521" customWidth="1"/>
    <col min="1541" max="1541" width="5" style="521" customWidth="1"/>
    <col min="1542" max="1542" width="11.42578125" style="521" bestFit="1" customWidth="1"/>
    <col min="1543" max="1543" width="5.85546875" style="521" customWidth="1"/>
    <col min="1544" max="1544" width="11.42578125" style="521" bestFit="1" customWidth="1"/>
    <col min="1545" max="1545" width="21.28515625" style="521" customWidth="1"/>
    <col min="1546" max="1792" width="9.140625" style="521"/>
    <col min="1793" max="1793" width="4" style="521" customWidth="1"/>
    <col min="1794" max="1794" width="6.28515625" style="521" customWidth="1"/>
    <col min="1795" max="1795" width="3.7109375" style="521" customWidth="1"/>
    <col min="1796" max="1796" width="14" style="521" customWidth="1"/>
    <col min="1797" max="1797" width="5" style="521" customWidth="1"/>
    <col min="1798" max="1798" width="11.42578125" style="521" bestFit="1" customWidth="1"/>
    <col min="1799" max="1799" width="5.85546875" style="521" customWidth="1"/>
    <col min="1800" max="1800" width="11.42578125" style="521" bestFit="1" customWidth="1"/>
    <col min="1801" max="1801" width="21.28515625" style="521" customWidth="1"/>
    <col min="1802" max="2048" width="9.140625" style="521"/>
    <col min="2049" max="2049" width="4" style="521" customWidth="1"/>
    <col min="2050" max="2050" width="6.28515625" style="521" customWidth="1"/>
    <col min="2051" max="2051" width="3.7109375" style="521" customWidth="1"/>
    <col min="2052" max="2052" width="14" style="521" customWidth="1"/>
    <col min="2053" max="2053" width="5" style="521" customWidth="1"/>
    <col min="2054" max="2054" width="11.42578125" style="521" bestFit="1" customWidth="1"/>
    <col min="2055" max="2055" width="5.85546875" style="521" customWidth="1"/>
    <col min="2056" max="2056" width="11.42578125" style="521" bestFit="1" customWidth="1"/>
    <col min="2057" max="2057" width="21.28515625" style="521" customWidth="1"/>
    <col min="2058" max="2304" width="9.140625" style="521"/>
    <col min="2305" max="2305" width="4" style="521" customWidth="1"/>
    <col min="2306" max="2306" width="6.28515625" style="521" customWidth="1"/>
    <col min="2307" max="2307" width="3.7109375" style="521" customWidth="1"/>
    <col min="2308" max="2308" width="14" style="521" customWidth="1"/>
    <col min="2309" max="2309" width="5" style="521" customWidth="1"/>
    <col min="2310" max="2310" width="11.42578125" style="521" bestFit="1" customWidth="1"/>
    <col min="2311" max="2311" width="5.85546875" style="521" customWidth="1"/>
    <col min="2312" max="2312" width="11.42578125" style="521" bestFit="1" customWidth="1"/>
    <col min="2313" max="2313" width="21.28515625" style="521" customWidth="1"/>
    <col min="2314" max="2560" width="9.140625" style="521"/>
    <col min="2561" max="2561" width="4" style="521" customWidth="1"/>
    <col min="2562" max="2562" width="6.28515625" style="521" customWidth="1"/>
    <col min="2563" max="2563" width="3.7109375" style="521" customWidth="1"/>
    <col min="2564" max="2564" width="14" style="521" customWidth="1"/>
    <col min="2565" max="2565" width="5" style="521" customWidth="1"/>
    <col min="2566" max="2566" width="11.42578125" style="521" bestFit="1" customWidth="1"/>
    <col min="2567" max="2567" width="5.85546875" style="521" customWidth="1"/>
    <col min="2568" max="2568" width="11.42578125" style="521" bestFit="1" customWidth="1"/>
    <col min="2569" max="2569" width="21.28515625" style="521" customWidth="1"/>
    <col min="2570" max="2816" width="9.140625" style="521"/>
    <col min="2817" max="2817" width="4" style="521" customWidth="1"/>
    <col min="2818" max="2818" width="6.28515625" style="521" customWidth="1"/>
    <col min="2819" max="2819" width="3.7109375" style="521" customWidth="1"/>
    <col min="2820" max="2820" width="14" style="521" customWidth="1"/>
    <col min="2821" max="2821" width="5" style="521" customWidth="1"/>
    <col min="2822" max="2822" width="11.42578125" style="521" bestFit="1" customWidth="1"/>
    <col min="2823" max="2823" width="5.85546875" style="521" customWidth="1"/>
    <col min="2824" max="2824" width="11.42578125" style="521" bestFit="1" customWidth="1"/>
    <col min="2825" max="2825" width="21.28515625" style="521" customWidth="1"/>
    <col min="2826" max="3072" width="9.140625" style="521"/>
    <col min="3073" max="3073" width="4" style="521" customWidth="1"/>
    <col min="3074" max="3074" width="6.28515625" style="521" customWidth="1"/>
    <col min="3075" max="3075" width="3.7109375" style="521" customWidth="1"/>
    <col min="3076" max="3076" width="14" style="521" customWidth="1"/>
    <col min="3077" max="3077" width="5" style="521" customWidth="1"/>
    <col min="3078" max="3078" width="11.42578125" style="521" bestFit="1" customWidth="1"/>
    <col min="3079" max="3079" width="5.85546875" style="521" customWidth="1"/>
    <col min="3080" max="3080" width="11.42578125" style="521" bestFit="1" customWidth="1"/>
    <col min="3081" max="3081" width="21.28515625" style="521" customWidth="1"/>
    <col min="3082" max="3328" width="9.140625" style="521"/>
    <col min="3329" max="3329" width="4" style="521" customWidth="1"/>
    <col min="3330" max="3330" width="6.28515625" style="521" customWidth="1"/>
    <col min="3331" max="3331" width="3.7109375" style="521" customWidth="1"/>
    <col min="3332" max="3332" width="14" style="521" customWidth="1"/>
    <col min="3333" max="3333" width="5" style="521" customWidth="1"/>
    <col min="3334" max="3334" width="11.42578125" style="521" bestFit="1" customWidth="1"/>
    <col min="3335" max="3335" width="5.85546875" style="521" customWidth="1"/>
    <col min="3336" max="3336" width="11.42578125" style="521" bestFit="1" customWidth="1"/>
    <col min="3337" max="3337" width="21.28515625" style="521" customWidth="1"/>
    <col min="3338" max="3584" width="9.140625" style="521"/>
    <col min="3585" max="3585" width="4" style="521" customWidth="1"/>
    <col min="3586" max="3586" width="6.28515625" style="521" customWidth="1"/>
    <col min="3587" max="3587" width="3.7109375" style="521" customWidth="1"/>
    <col min="3588" max="3588" width="14" style="521" customWidth="1"/>
    <col min="3589" max="3589" width="5" style="521" customWidth="1"/>
    <col min="3590" max="3590" width="11.42578125" style="521" bestFit="1" customWidth="1"/>
    <col min="3591" max="3591" width="5.85546875" style="521" customWidth="1"/>
    <col min="3592" max="3592" width="11.42578125" style="521" bestFit="1" customWidth="1"/>
    <col min="3593" max="3593" width="21.28515625" style="521" customWidth="1"/>
    <col min="3594" max="3840" width="9.140625" style="521"/>
    <col min="3841" max="3841" width="4" style="521" customWidth="1"/>
    <col min="3842" max="3842" width="6.28515625" style="521" customWidth="1"/>
    <col min="3843" max="3843" width="3.7109375" style="521" customWidth="1"/>
    <col min="3844" max="3844" width="14" style="521" customWidth="1"/>
    <col min="3845" max="3845" width="5" style="521" customWidth="1"/>
    <col min="3846" max="3846" width="11.42578125" style="521" bestFit="1" customWidth="1"/>
    <col min="3847" max="3847" width="5.85546875" style="521" customWidth="1"/>
    <col min="3848" max="3848" width="11.42578125" style="521" bestFit="1" customWidth="1"/>
    <col min="3849" max="3849" width="21.28515625" style="521" customWidth="1"/>
    <col min="3850" max="4096" width="9.140625" style="521"/>
    <col min="4097" max="4097" width="4" style="521" customWidth="1"/>
    <col min="4098" max="4098" width="6.28515625" style="521" customWidth="1"/>
    <col min="4099" max="4099" width="3.7109375" style="521" customWidth="1"/>
    <col min="4100" max="4100" width="14" style="521" customWidth="1"/>
    <col min="4101" max="4101" width="5" style="521" customWidth="1"/>
    <col min="4102" max="4102" width="11.42578125" style="521" bestFit="1" customWidth="1"/>
    <col min="4103" max="4103" width="5.85546875" style="521" customWidth="1"/>
    <col min="4104" max="4104" width="11.42578125" style="521" bestFit="1" customWidth="1"/>
    <col min="4105" max="4105" width="21.28515625" style="521" customWidth="1"/>
    <col min="4106" max="4352" width="9.140625" style="521"/>
    <col min="4353" max="4353" width="4" style="521" customWidth="1"/>
    <col min="4354" max="4354" width="6.28515625" style="521" customWidth="1"/>
    <col min="4355" max="4355" width="3.7109375" style="521" customWidth="1"/>
    <col min="4356" max="4356" width="14" style="521" customWidth="1"/>
    <col min="4357" max="4357" width="5" style="521" customWidth="1"/>
    <col min="4358" max="4358" width="11.42578125" style="521" bestFit="1" customWidth="1"/>
    <col min="4359" max="4359" width="5.85546875" style="521" customWidth="1"/>
    <col min="4360" max="4360" width="11.42578125" style="521" bestFit="1" customWidth="1"/>
    <col min="4361" max="4361" width="21.28515625" style="521" customWidth="1"/>
    <col min="4362" max="4608" width="9.140625" style="521"/>
    <col min="4609" max="4609" width="4" style="521" customWidth="1"/>
    <col min="4610" max="4610" width="6.28515625" style="521" customWidth="1"/>
    <col min="4611" max="4611" width="3.7109375" style="521" customWidth="1"/>
    <col min="4612" max="4612" width="14" style="521" customWidth="1"/>
    <col min="4613" max="4613" width="5" style="521" customWidth="1"/>
    <col min="4614" max="4614" width="11.42578125" style="521" bestFit="1" customWidth="1"/>
    <col min="4615" max="4615" width="5.85546875" style="521" customWidth="1"/>
    <col min="4616" max="4616" width="11.42578125" style="521" bestFit="1" customWidth="1"/>
    <col min="4617" max="4617" width="21.28515625" style="521" customWidth="1"/>
    <col min="4618" max="4864" width="9.140625" style="521"/>
    <col min="4865" max="4865" width="4" style="521" customWidth="1"/>
    <col min="4866" max="4866" width="6.28515625" style="521" customWidth="1"/>
    <col min="4867" max="4867" width="3.7109375" style="521" customWidth="1"/>
    <col min="4868" max="4868" width="14" style="521" customWidth="1"/>
    <col min="4869" max="4869" width="5" style="521" customWidth="1"/>
    <col min="4870" max="4870" width="11.42578125" style="521" bestFit="1" customWidth="1"/>
    <col min="4871" max="4871" width="5.85546875" style="521" customWidth="1"/>
    <col min="4872" max="4872" width="11.42578125" style="521" bestFit="1" customWidth="1"/>
    <col min="4873" max="4873" width="21.28515625" style="521" customWidth="1"/>
    <col min="4874" max="5120" width="9.140625" style="521"/>
    <col min="5121" max="5121" width="4" style="521" customWidth="1"/>
    <col min="5122" max="5122" width="6.28515625" style="521" customWidth="1"/>
    <col min="5123" max="5123" width="3.7109375" style="521" customWidth="1"/>
    <col min="5124" max="5124" width="14" style="521" customWidth="1"/>
    <col min="5125" max="5125" width="5" style="521" customWidth="1"/>
    <col min="5126" max="5126" width="11.42578125" style="521" bestFit="1" customWidth="1"/>
    <col min="5127" max="5127" width="5.85546875" style="521" customWidth="1"/>
    <col min="5128" max="5128" width="11.42578125" style="521" bestFit="1" customWidth="1"/>
    <col min="5129" max="5129" width="21.28515625" style="521" customWidth="1"/>
    <col min="5130" max="5376" width="9.140625" style="521"/>
    <col min="5377" max="5377" width="4" style="521" customWidth="1"/>
    <col min="5378" max="5378" width="6.28515625" style="521" customWidth="1"/>
    <col min="5379" max="5379" width="3.7109375" style="521" customWidth="1"/>
    <col min="5380" max="5380" width="14" style="521" customWidth="1"/>
    <col min="5381" max="5381" width="5" style="521" customWidth="1"/>
    <col min="5382" max="5382" width="11.42578125" style="521" bestFit="1" customWidth="1"/>
    <col min="5383" max="5383" width="5.85546875" style="521" customWidth="1"/>
    <col min="5384" max="5384" width="11.42578125" style="521" bestFit="1" customWidth="1"/>
    <col min="5385" max="5385" width="21.28515625" style="521" customWidth="1"/>
    <col min="5386" max="5632" width="9.140625" style="521"/>
    <col min="5633" max="5633" width="4" style="521" customWidth="1"/>
    <col min="5634" max="5634" width="6.28515625" style="521" customWidth="1"/>
    <col min="5635" max="5635" width="3.7109375" style="521" customWidth="1"/>
    <col min="5636" max="5636" width="14" style="521" customWidth="1"/>
    <col min="5637" max="5637" width="5" style="521" customWidth="1"/>
    <col min="5638" max="5638" width="11.42578125" style="521" bestFit="1" customWidth="1"/>
    <col min="5639" max="5639" width="5.85546875" style="521" customWidth="1"/>
    <col min="5640" max="5640" width="11.42578125" style="521" bestFit="1" customWidth="1"/>
    <col min="5641" max="5641" width="21.28515625" style="521" customWidth="1"/>
    <col min="5642" max="5888" width="9.140625" style="521"/>
    <col min="5889" max="5889" width="4" style="521" customWidth="1"/>
    <col min="5890" max="5890" width="6.28515625" style="521" customWidth="1"/>
    <col min="5891" max="5891" width="3.7109375" style="521" customWidth="1"/>
    <col min="5892" max="5892" width="14" style="521" customWidth="1"/>
    <col min="5893" max="5893" width="5" style="521" customWidth="1"/>
    <col min="5894" max="5894" width="11.42578125" style="521" bestFit="1" customWidth="1"/>
    <col min="5895" max="5895" width="5.85546875" style="521" customWidth="1"/>
    <col min="5896" max="5896" width="11.42578125" style="521" bestFit="1" customWidth="1"/>
    <col min="5897" max="5897" width="21.28515625" style="521" customWidth="1"/>
    <col min="5898" max="6144" width="9.140625" style="521"/>
    <col min="6145" max="6145" width="4" style="521" customWidth="1"/>
    <col min="6146" max="6146" width="6.28515625" style="521" customWidth="1"/>
    <col min="6147" max="6147" width="3.7109375" style="521" customWidth="1"/>
    <col min="6148" max="6148" width="14" style="521" customWidth="1"/>
    <col min="6149" max="6149" width="5" style="521" customWidth="1"/>
    <col min="6150" max="6150" width="11.42578125" style="521" bestFit="1" customWidth="1"/>
    <col min="6151" max="6151" width="5.85546875" style="521" customWidth="1"/>
    <col min="6152" max="6152" width="11.42578125" style="521" bestFit="1" customWidth="1"/>
    <col min="6153" max="6153" width="21.28515625" style="521" customWidth="1"/>
    <col min="6154" max="6400" width="9.140625" style="521"/>
    <col min="6401" max="6401" width="4" style="521" customWidth="1"/>
    <col min="6402" max="6402" width="6.28515625" style="521" customWidth="1"/>
    <col min="6403" max="6403" width="3.7109375" style="521" customWidth="1"/>
    <col min="6404" max="6404" width="14" style="521" customWidth="1"/>
    <col min="6405" max="6405" width="5" style="521" customWidth="1"/>
    <col min="6406" max="6406" width="11.42578125" style="521" bestFit="1" customWidth="1"/>
    <col min="6407" max="6407" width="5.85546875" style="521" customWidth="1"/>
    <col min="6408" max="6408" width="11.42578125" style="521" bestFit="1" customWidth="1"/>
    <col min="6409" max="6409" width="21.28515625" style="521" customWidth="1"/>
    <col min="6410" max="6656" width="9.140625" style="521"/>
    <col min="6657" max="6657" width="4" style="521" customWidth="1"/>
    <col min="6658" max="6658" width="6.28515625" style="521" customWidth="1"/>
    <col min="6659" max="6659" width="3.7109375" style="521" customWidth="1"/>
    <col min="6660" max="6660" width="14" style="521" customWidth="1"/>
    <col min="6661" max="6661" width="5" style="521" customWidth="1"/>
    <col min="6662" max="6662" width="11.42578125" style="521" bestFit="1" customWidth="1"/>
    <col min="6663" max="6663" width="5.85546875" style="521" customWidth="1"/>
    <col min="6664" max="6664" width="11.42578125" style="521" bestFit="1" customWidth="1"/>
    <col min="6665" max="6665" width="21.28515625" style="521" customWidth="1"/>
    <col min="6666" max="6912" width="9.140625" style="521"/>
    <col min="6913" max="6913" width="4" style="521" customWidth="1"/>
    <col min="6914" max="6914" width="6.28515625" style="521" customWidth="1"/>
    <col min="6915" max="6915" width="3.7109375" style="521" customWidth="1"/>
    <col min="6916" max="6916" width="14" style="521" customWidth="1"/>
    <col min="6917" max="6917" width="5" style="521" customWidth="1"/>
    <col min="6918" max="6918" width="11.42578125" style="521" bestFit="1" customWidth="1"/>
    <col min="6919" max="6919" width="5.85546875" style="521" customWidth="1"/>
    <col min="6920" max="6920" width="11.42578125" style="521" bestFit="1" customWidth="1"/>
    <col min="6921" max="6921" width="21.28515625" style="521" customWidth="1"/>
    <col min="6922" max="7168" width="9.140625" style="521"/>
    <col min="7169" max="7169" width="4" style="521" customWidth="1"/>
    <col min="7170" max="7170" width="6.28515625" style="521" customWidth="1"/>
    <col min="7171" max="7171" width="3.7109375" style="521" customWidth="1"/>
    <col min="7172" max="7172" width="14" style="521" customWidth="1"/>
    <col min="7173" max="7173" width="5" style="521" customWidth="1"/>
    <col min="7174" max="7174" width="11.42578125" style="521" bestFit="1" customWidth="1"/>
    <col min="7175" max="7175" width="5.85546875" style="521" customWidth="1"/>
    <col min="7176" max="7176" width="11.42578125" style="521" bestFit="1" customWidth="1"/>
    <col min="7177" max="7177" width="21.28515625" style="521" customWidth="1"/>
    <col min="7178" max="7424" width="9.140625" style="521"/>
    <col min="7425" max="7425" width="4" style="521" customWidth="1"/>
    <col min="7426" max="7426" width="6.28515625" style="521" customWidth="1"/>
    <col min="7427" max="7427" width="3.7109375" style="521" customWidth="1"/>
    <col min="7428" max="7428" width="14" style="521" customWidth="1"/>
    <col min="7429" max="7429" width="5" style="521" customWidth="1"/>
    <col min="7430" max="7430" width="11.42578125" style="521" bestFit="1" customWidth="1"/>
    <col min="7431" max="7431" width="5.85546875" style="521" customWidth="1"/>
    <col min="7432" max="7432" width="11.42578125" style="521" bestFit="1" customWidth="1"/>
    <col min="7433" max="7433" width="21.28515625" style="521" customWidth="1"/>
    <col min="7434" max="7680" width="9.140625" style="521"/>
    <col min="7681" max="7681" width="4" style="521" customWidth="1"/>
    <col min="7682" max="7682" width="6.28515625" style="521" customWidth="1"/>
    <col min="7683" max="7683" width="3.7109375" style="521" customWidth="1"/>
    <col min="7684" max="7684" width="14" style="521" customWidth="1"/>
    <col min="7685" max="7685" width="5" style="521" customWidth="1"/>
    <col min="7686" max="7686" width="11.42578125" style="521" bestFit="1" customWidth="1"/>
    <col min="7687" max="7687" width="5.85546875" style="521" customWidth="1"/>
    <col min="7688" max="7688" width="11.42578125" style="521" bestFit="1" customWidth="1"/>
    <col min="7689" max="7689" width="21.28515625" style="521" customWidth="1"/>
    <col min="7690" max="7936" width="9.140625" style="521"/>
    <col min="7937" max="7937" width="4" style="521" customWidth="1"/>
    <col min="7938" max="7938" width="6.28515625" style="521" customWidth="1"/>
    <col min="7939" max="7939" width="3.7109375" style="521" customWidth="1"/>
    <col min="7940" max="7940" width="14" style="521" customWidth="1"/>
    <col min="7941" max="7941" width="5" style="521" customWidth="1"/>
    <col min="7942" max="7942" width="11.42578125" style="521" bestFit="1" customWidth="1"/>
    <col min="7943" max="7943" width="5.85546875" style="521" customWidth="1"/>
    <col min="7944" max="7944" width="11.42578125" style="521" bestFit="1" customWidth="1"/>
    <col min="7945" max="7945" width="21.28515625" style="521" customWidth="1"/>
    <col min="7946" max="8192" width="9.140625" style="521"/>
    <col min="8193" max="8193" width="4" style="521" customWidth="1"/>
    <col min="8194" max="8194" width="6.28515625" style="521" customWidth="1"/>
    <col min="8195" max="8195" width="3.7109375" style="521" customWidth="1"/>
    <col min="8196" max="8196" width="14" style="521" customWidth="1"/>
    <col min="8197" max="8197" width="5" style="521" customWidth="1"/>
    <col min="8198" max="8198" width="11.42578125" style="521" bestFit="1" customWidth="1"/>
    <col min="8199" max="8199" width="5.85546875" style="521" customWidth="1"/>
    <col min="8200" max="8200" width="11.42578125" style="521" bestFit="1" customWidth="1"/>
    <col min="8201" max="8201" width="21.28515625" style="521" customWidth="1"/>
    <col min="8202" max="8448" width="9.140625" style="521"/>
    <col min="8449" max="8449" width="4" style="521" customWidth="1"/>
    <col min="8450" max="8450" width="6.28515625" style="521" customWidth="1"/>
    <col min="8451" max="8451" width="3.7109375" style="521" customWidth="1"/>
    <col min="8452" max="8452" width="14" style="521" customWidth="1"/>
    <col min="8453" max="8453" width="5" style="521" customWidth="1"/>
    <col min="8454" max="8454" width="11.42578125" style="521" bestFit="1" customWidth="1"/>
    <col min="8455" max="8455" width="5.85546875" style="521" customWidth="1"/>
    <col min="8456" max="8456" width="11.42578125" style="521" bestFit="1" customWidth="1"/>
    <col min="8457" max="8457" width="21.28515625" style="521" customWidth="1"/>
    <col min="8458" max="8704" width="9.140625" style="521"/>
    <col min="8705" max="8705" width="4" style="521" customWidth="1"/>
    <col min="8706" max="8706" width="6.28515625" style="521" customWidth="1"/>
    <col min="8707" max="8707" width="3.7109375" style="521" customWidth="1"/>
    <col min="8708" max="8708" width="14" style="521" customWidth="1"/>
    <col min="8709" max="8709" width="5" style="521" customWidth="1"/>
    <col min="8710" max="8710" width="11.42578125" style="521" bestFit="1" customWidth="1"/>
    <col min="8711" max="8711" width="5.85546875" style="521" customWidth="1"/>
    <col min="8712" max="8712" width="11.42578125" style="521" bestFit="1" customWidth="1"/>
    <col min="8713" max="8713" width="21.28515625" style="521" customWidth="1"/>
    <col min="8714" max="8960" width="9.140625" style="521"/>
    <col min="8961" max="8961" width="4" style="521" customWidth="1"/>
    <col min="8962" max="8962" width="6.28515625" style="521" customWidth="1"/>
    <col min="8963" max="8963" width="3.7109375" style="521" customWidth="1"/>
    <col min="8964" max="8964" width="14" style="521" customWidth="1"/>
    <col min="8965" max="8965" width="5" style="521" customWidth="1"/>
    <col min="8966" max="8966" width="11.42578125" style="521" bestFit="1" customWidth="1"/>
    <col min="8967" max="8967" width="5.85546875" style="521" customWidth="1"/>
    <col min="8968" max="8968" width="11.42578125" style="521" bestFit="1" customWidth="1"/>
    <col min="8969" max="8969" width="21.28515625" style="521" customWidth="1"/>
    <col min="8970" max="9216" width="9.140625" style="521"/>
    <col min="9217" max="9217" width="4" style="521" customWidth="1"/>
    <col min="9218" max="9218" width="6.28515625" style="521" customWidth="1"/>
    <col min="9219" max="9219" width="3.7109375" style="521" customWidth="1"/>
    <col min="9220" max="9220" width="14" style="521" customWidth="1"/>
    <col min="9221" max="9221" width="5" style="521" customWidth="1"/>
    <col min="9222" max="9222" width="11.42578125" style="521" bestFit="1" customWidth="1"/>
    <col min="9223" max="9223" width="5.85546875" style="521" customWidth="1"/>
    <col min="9224" max="9224" width="11.42578125" style="521" bestFit="1" customWidth="1"/>
    <col min="9225" max="9225" width="21.28515625" style="521" customWidth="1"/>
    <col min="9226" max="9472" width="9.140625" style="521"/>
    <col min="9473" max="9473" width="4" style="521" customWidth="1"/>
    <col min="9474" max="9474" width="6.28515625" style="521" customWidth="1"/>
    <col min="9475" max="9475" width="3.7109375" style="521" customWidth="1"/>
    <col min="9476" max="9476" width="14" style="521" customWidth="1"/>
    <col min="9477" max="9477" width="5" style="521" customWidth="1"/>
    <col min="9478" max="9478" width="11.42578125" style="521" bestFit="1" customWidth="1"/>
    <col min="9479" max="9479" width="5.85546875" style="521" customWidth="1"/>
    <col min="9480" max="9480" width="11.42578125" style="521" bestFit="1" customWidth="1"/>
    <col min="9481" max="9481" width="21.28515625" style="521" customWidth="1"/>
    <col min="9482" max="9728" width="9.140625" style="521"/>
    <col min="9729" max="9729" width="4" style="521" customWidth="1"/>
    <col min="9730" max="9730" width="6.28515625" style="521" customWidth="1"/>
    <col min="9731" max="9731" width="3.7109375" style="521" customWidth="1"/>
    <col min="9732" max="9732" width="14" style="521" customWidth="1"/>
    <col min="9733" max="9733" width="5" style="521" customWidth="1"/>
    <col min="9734" max="9734" width="11.42578125" style="521" bestFit="1" customWidth="1"/>
    <col min="9735" max="9735" width="5.85546875" style="521" customWidth="1"/>
    <col min="9736" max="9736" width="11.42578125" style="521" bestFit="1" customWidth="1"/>
    <col min="9737" max="9737" width="21.28515625" style="521" customWidth="1"/>
    <col min="9738" max="9984" width="9.140625" style="521"/>
    <col min="9985" max="9985" width="4" style="521" customWidth="1"/>
    <col min="9986" max="9986" width="6.28515625" style="521" customWidth="1"/>
    <col min="9987" max="9987" width="3.7109375" style="521" customWidth="1"/>
    <col min="9988" max="9988" width="14" style="521" customWidth="1"/>
    <col min="9989" max="9989" width="5" style="521" customWidth="1"/>
    <col min="9990" max="9990" width="11.42578125" style="521" bestFit="1" customWidth="1"/>
    <col min="9991" max="9991" width="5.85546875" style="521" customWidth="1"/>
    <col min="9992" max="9992" width="11.42578125" style="521" bestFit="1" customWidth="1"/>
    <col min="9993" max="9993" width="21.28515625" style="521" customWidth="1"/>
    <col min="9994" max="10240" width="9.140625" style="521"/>
    <col min="10241" max="10241" width="4" style="521" customWidth="1"/>
    <col min="10242" max="10242" width="6.28515625" style="521" customWidth="1"/>
    <col min="10243" max="10243" width="3.7109375" style="521" customWidth="1"/>
    <col min="10244" max="10244" width="14" style="521" customWidth="1"/>
    <col min="10245" max="10245" width="5" style="521" customWidth="1"/>
    <col min="10246" max="10246" width="11.42578125" style="521" bestFit="1" customWidth="1"/>
    <col min="10247" max="10247" width="5.85546875" style="521" customWidth="1"/>
    <col min="10248" max="10248" width="11.42578125" style="521" bestFit="1" customWidth="1"/>
    <col min="10249" max="10249" width="21.28515625" style="521" customWidth="1"/>
    <col min="10250" max="10496" width="9.140625" style="521"/>
    <col min="10497" max="10497" width="4" style="521" customWidth="1"/>
    <col min="10498" max="10498" width="6.28515625" style="521" customWidth="1"/>
    <col min="10499" max="10499" width="3.7109375" style="521" customWidth="1"/>
    <col min="10500" max="10500" width="14" style="521" customWidth="1"/>
    <col min="10501" max="10501" width="5" style="521" customWidth="1"/>
    <col min="10502" max="10502" width="11.42578125" style="521" bestFit="1" customWidth="1"/>
    <col min="10503" max="10503" width="5.85546875" style="521" customWidth="1"/>
    <col min="10504" max="10504" width="11.42578125" style="521" bestFit="1" customWidth="1"/>
    <col min="10505" max="10505" width="21.28515625" style="521" customWidth="1"/>
    <col min="10506" max="10752" width="9.140625" style="521"/>
    <col min="10753" max="10753" width="4" style="521" customWidth="1"/>
    <col min="10754" max="10754" width="6.28515625" style="521" customWidth="1"/>
    <col min="10755" max="10755" width="3.7109375" style="521" customWidth="1"/>
    <col min="10756" max="10756" width="14" style="521" customWidth="1"/>
    <col min="10757" max="10757" width="5" style="521" customWidth="1"/>
    <col min="10758" max="10758" width="11.42578125" style="521" bestFit="1" customWidth="1"/>
    <col min="10759" max="10759" width="5.85546875" style="521" customWidth="1"/>
    <col min="10760" max="10760" width="11.42578125" style="521" bestFit="1" customWidth="1"/>
    <col min="10761" max="10761" width="21.28515625" style="521" customWidth="1"/>
    <col min="10762" max="11008" width="9.140625" style="521"/>
    <col min="11009" max="11009" width="4" style="521" customWidth="1"/>
    <col min="11010" max="11010" width="6.28515625" style="521" customWidth="1"/>
    <col min="11011" max="11011" width="3.7109375" style="521" customWidth="1"/>
    <col min="11012" max="11012" width="14" style="521" customWidth="1"/>
    <col min="11013" max="11013" width="5" style="521" customWidth="1"/>
    <col min="11014" max="11014" width="11.42578125" style="521" bestFit="1" customWidth="1"/>
    <col min="11015" max="11015" width="5.85546875" style="521" customWidth="1"/>
    <col min="11016" max="11016" width="11.42578125" style="521" bestFit="1" customWidth="1"/>
    <col min="11017" max="11017" width="21.28515625" style="521" customWidth="1"/>
    <col min="11018" max="11264" width="9.140625" style="521"/>
    <col min="11265" max="11265" width="4" style="521" customWidth="1"/>
    <col min="11266" max="11266" width="6.28515625" style="521" customWidth="1"/>
    <col min="11267" max="11267" width="3.7109375" style="521" customWidth="1"/>
    <col min="11268" max="11268" width="14" style="521" customWidth="1"/>
    <col min="11269" max="11269" width="5" style="521" customWidth="1"/>
    <col min="11270" max="11270" width="11.42578125" style="521" bestFit="1" customWidth="1"/>
    <col min="11271" max="11271" width="5.85546875" style="521" customWidth="1"/>
    <col min="11272" max="11272" width="11.42578125" style="521" bestFit="1" customWidth="1"/>
    <col min="11273" max="11273" width="21.28515625" style="521" customWidth="1"/>
    <col min="11274" max="11520" width="9.140625" style="521"/>
    <col min="11521" max="11521" width="4" style="521" customWidth="1"/>
    <col min="11522" max="11522" width="6.28515625" style="521" customWidth="1"/>
    <col min="11523" max="11523" width="3.7109375" style="521" customWidth="1"/>
    <col min="11524" max="11524" width="14" style="521" customWidth="1"/>
    <col min="11525" max="11525" width="5" style="521" customWidth="1"/>
    <col min="11526" max="11526" width="11.42578125" style="521" bestFit="1" customWidth="1"/>
    <col min="11527" max="11527" width="5.85546875" style="521" customWidth="1"/>
    <col min="11528" max="11528" width="11.42578125" style="521" bestFit="1" customWidth="1"/>
    <col min="11529" max="11529" width="21.28515625" style="521" customWidth="1"/>
    <col min="11530" max="11776" width="9.140625" style="521"/>
    <col min="11777" max="11777" width="4" style="521" customWidth="1"/>
    <col min="11778" max="11778" width="6.28515625" style="521" customWidth="1"/>
    <col min="11779" max="11779" width="3.7109375" style="521" customWidth="1"/>
    <col min="11780" max="11780" width="14" style="521" customWidth="1"/>
    <col min="11781" max="11781" width="5" style="521" customWidth="1"/>
    <col min="11782" max="11782" width="11.42578125" style="521" bestFit="1" customWidth="1"/>
    <col min="11783" max="11783" width="5.85546875" style="521" customWidth="1"/>
    <col min="11784" max="11784" width="11.42578125" style="521" bestFit="1" customWidth="1"/>
    <col min="11785" max="11785" width="21.28515625" style="521" customWidth="1"/>
    <col min="11786" max="12032" width="9.140625" style="521"/>
    <col min="12033" max="12033" width="4" style="521" customWidth="1"/>
    <col min="12034" max="12034" width="6.28515625" style="521" customWidth="1"/>
    <col min="12035" max="12035" width="3.7109375" style="521" customWidth="1"/>
    <col min="12036" max="12036" width="14" style="521" customWidth="1"/>
    <col min="12037" max="12037" width="5" style="521" customWidth="1"/>
    <col min="12038" max="12038" width="11.42578125" style="521" bestFit="1" customWidth="1"/>
    <col min="12039" max="12039" width="5.85546875" style="521" customWidth="1"/>
    <col min="12040" max="12040" width="11.42578125" style="521" bestFit="1" customWidth="1"/>
    <col min="12041" max="12041" width="21.28515625" style="521" customWidth="1"/>
    <col min="12042" max="12288" width="9.140625" style="521"/>
    <col min="12289" max="12289" width="4" style="521" customWidth="1"/>
    <col min="12290" max="12290" width="6.28515625" style="521" customWidth="1"/>
    <col min="12291" max="12291" width="3.7109375" style="521" customWidth="1"/>
    <col min="12292" max="12292" width="14" style="521" customWidth="1"/>
    <col min="12293" max="12293" width="5" style="521" customWidth="1"/>
    <col min="12294" max="12294" width="11.42578125" style="521" bestFit="1" customWidth="1"/>
    <col min="12295" max="12295" width="5.85546875" style="521" customWidth="1"/>
    <col min="12296" max="12296" width="11.42578125" style="521" bestFit="1" customWidth="1"/>
    <col min="12297" max="12297" width="21.28515625" style="521" customWidth="1"/>
    <col min="12298" max="12544" width="9.140625" style="521"/>
    <col min="12545" max="12545" width="4" style="521" customWidth="1"/>
    <col min="12546" max="12546" width="6.28515625" style="521" customWidth="1"/>
    <col min="12547" max="12547" width="3.7109375" style="521" customWidth="1"/>
    <col min="12548" max="12548" width="14" style="521" customWidth="1"/>
    <col min="12549" max="12549" width="5" style="521" customWidth="1"/>
    <col min="12550" max="12550" width="11.42578125" style="521" bestFit="1" customWidth="1"/>
    <col min="12551" max="12551" width="5.85546875" style="521" customWidth="1"/>
    <col min="12552" max="12552" width="11.42578125" style="521" bestFit="1" customWidth="1"/>
    <col min="12553" max="12553" width="21.28515625" style="521" customWidth="1"/>
    <col min="12554" max="12800" width="9.140625" style="521"/>
    <col min="12801" max="12801" width="4" style="521" customWidth="1"/>
    <col min="12802" max="12802" width="6.28515625" style="521" customWidth="1"/>
    <col min="12803" max="12803" width="3.7109375" style="521" customWidth="1"/>
    <col min="12804" max="12804" width="14" style="521" customWidth="1"/>
    <col min="12805" max="12805" width="5" style="521" customWidth="1"/>
    <col min="12806" max="12806" width="11.42578125" style="521" bestFit="1" customWidth="1"/>
    <col min="12807" max="12807" width="5.85546875" style="521" customWidth="1"/>
    <col min="12808" max="12808" width="11.42578125" style="521" bestFit="1" customWidth="1"/>
    <col min="12809" max="12809" width="21.28515625" style="521" customWidth="1"/>
    <col min="12810" max="13056" width="9.140625" style="521"/>
    <col min="13057" max="13057" width="4" style="521" customWidth="1"/>
    <col min="13058" max="13058" width="6.28515625" style="521" customWidth="1"/>
    <col min="13059" max="13059" width="3.7109375" style="521" customWidth="1"/>
    <col min="13060" max="13060" width="14" style="521" customWidth="1"/>
    <col min="13061" max="13061" width="5" style="521" customWidth="1"/>
    <col min="13062" max="13062" width="11.42578125" style="521" bestFit="1" customWidth="1"/>
    <col min="13063" max="13063" width="5.85546875" style="521" customWidth="1"/>
    <col min="13064" max="13064" width="11.42578125" style="521" bestFit="1" customWidth="1"/>
    <col min="13065" max="13065" width="21.28515625" style="521" customWidth="1"/>
    <col min="13066" max="13312" width="9.140625" style="521"/>
    <col min="13313" max="13313" width="4" style="521" customWidth="1"/>
    <col min="13314" max="13314" width="6.28515625" style="521" customWidth="1"/>
    <col min="13315" max="13315" width="3.7109375" style="521" customWidth="1"/>
    <col min="13316" max="13316" width="14" style="521" customWidth="1"/>
    <col min="13317" max="13317" width="5" style="521" customWidth="1"/>
    <col min="13318" max="13318" width="11.42578125" style="521" bestFit="1" customWidth="1"/>
    <col min="13319" max="13319" width="5.85546875" style="521" customWidth="1"/>
    <col min="13320" max="13320" width="11.42578125" style="521" bestFit="1" customWidth="1"/>
    <col min="13321" max="13321" width="21.28515625" style="521" customWidth="1"/>
    <col min="13322" max="13568" width="9.140625" style="521"/>
    <col min="13569" max="13569" width="4" style="521" customWidth="1"/>
    <col min="13570" max="13570" width="6.28515625" style="521" customWidth="1"/>
    <col min="13571" max="13571" width="3.7109375" style="521" customWidth="1"/>
    <col min="13572" max="13572" width="14" style="521" customWidth="1"/>
    <col min="13573" max="13573" width="5" style="521" customWidth="1"/>
    <col min="13574" max="13574" width="11.42578125" style="521" bestFit="1" customWidth="1"/>
    <col min="13575" max="13575" width="5.85546875" style="521" customWidth="1"/>
    <col min="13576" max="13576" width="11.42578125" style="521" bestFit="1" customWidth="1"/>
    <col min="13577" max="13577" width="21.28515625" style="521" customWidth="1"/>
    <col min="13578" max="13824" width="9.140625" style="521"/>
    <col min="13825" max="13825" width="4" style="521" customWidth="1"/>
    <col min="13826" max="13826" width="6.28515625" style="521" customWidth="1"/>
    <col min="13827" max="13827" width="3.7109375" style="521" customWidth="1"/>
    <col min="13828" max="13828" width="14" style="521" customWidth="1"/>
    <col min="13829" max="13829" width="5" style="521" customWidth="1"/>
    <col min="13830" max="13830" width="11.42578125" style="521" bestFit="1" customWidth="1"/>
    <col min="13831" max="13831" width="5.85546875" style="521" customWidth="1"/>
    <col min="13832" max="13832" width="11.42578125" style="521" bestFit="1" customWidth="1"/>
    <col min="13833" max="13833" width="21.28515625" style="521" customWidth="1"/>
    <col min="13834" max="14080" width="9.140625" style="521"/>
    <col min="14081" max="14081" width="4" style="521" customWidth="1"/>
    <col min="14082" max="14082" width="6.28515625" style="521" customWidth="1"/>
    <col min="14083" max="14083" width="3.7109375" style="521" customWidth="1"/>
    <col min="14084" max="14084" width="14" style="521" customWidth="1"/>
    <col min="14085" max="14085" width="5" style="521" customWidth="1"/>
    <col min="14086" max="14086" width="11.42578125" style="521" bestFit="1" customWidth="1"/>
    <col min="14087" max="14087" width="5.85546875" style="521" customWidth="1"/>
    <col min="14088" max="14088" width="11.42578125" style="521" bestFit="1" customWidth="1"/>
    <col min="14089" max="14089" width="21.28515625" style="521" customWidth="1"/>
    <col min="14090" max="14336" width="9.140625" style="521"/>
    <col min="14337" max="14337" width="4" style="521" customWidth="1"/>
    <col min="14338" max="14338" width="6.28515625" style="521" customWidth="1"/>
    <col min="14339" max="14339" width="3.7109375" style="521" customWidth="1"/>
    <col min="14340" max="14340" width="14" style="521" customWidth="1"/>
    <col min="14341" max="14341" width="5" style="521" customWidth="1"/>
    <col min="14342" max="14342" width="11.42578125" style="521" bestFit="1" customWidth="1"/>
    <col min="14343" max="14343" width="5.85546875" style="521" customWidth="1"/>
    <col min="14344" max="14344" width="11.42578125" style="521" bestFit="1" customWidth="1"/>
    <col min="14345" max="14345" width="21.28515625" style="521" customWidth="1"/>
    <col min="14346" max="14592" width="9.140625" style="521"/>
    <col min="14593" max="14593" width="4" style="521" customWidth="1"/>
    <col min="14594" max="14594" width="6.28515625" style="521" customWidth="1"/>
    <col min="14595" max="14595" width="3.7109375" style="521" customWidth="1"/>
    <col min="14596" max="14596" width="14" style="521" customWidth="1"/>
    <col min="14597" max="14597" width="5" style="521" customWidth="1"/>
    <col min="14598" max="14598" width="11.42578125" style="521" bestFit="1" customWidth="1"/>
    <col min="14599" max="14599" width="5.85546875" style="521" customWidth="1"/>
    <col min="14600" max="14600" width="11.42578125" style="521" bestFit="1" customWidth="1"/>
    <col min="14601" max="14601" width="21.28515625" style="521" customWidth="1"/>
    <col min="14602" max="14848" width="9.140625" style="521"/>
    <col min="14849" max="14849" width="4" style="521" customWidth="1"/>
    <col min="14850" max="14850" width="6.28515625" style="521" customWidth="1"/>
    <col min="14851" max="14851" width="3.7109375" style="521" customWidth="1"/>
    <col min="14852" max="14852" width="14" style="521" customWidth="1"/>
    <col min="14853" max="14853" width="5" style="521" customWidth="1"/>
    <col min="14854" max="14854" width="11.42578125" style="521" bestFit="1" customWidth="1"/>
    <col min="14855" max="14855" width="5.85546875" style="521" customWidth="1"/>
    <col min="14856" max="14856" width="11.42578125" style="521" bestFit="1" customWidth="1"/>
    <col min="14857" max="14857" width="21.28515625" style="521" customWidth="1"/>
    <col min="14858" max="15104" width="9.140625" style="521"/>
    <col min="15105" max="15105" width="4" style="521" customWidth="1"/>
    <col min="15106" max="15106" width="6.28515625" style="521" customWidth="1"/>
    <col min="15107" max="15107" width="3.7109375" style="521" customWidth="1"/>
    <col min="15108" max="15108" width="14" style="521" customWidth="1"/>
    <col min="15109" max="15109" width="5" style="521" customWidth="1"/>
    <col min="15110" max="15110" width="11.42578125" style="521" bestFit="1" customWidth="1"/>
    <col min="15111" max="15111" width="5.85546875" style="521" customWidth="1"/>
    <col min="15112" max="15112" width="11.42578125" style="521" bestFit="1" customWidth="1"/>
    <col min="15113" max="15113" width="21.28515625" style="521" customWidth="1"/>
    <col min="15114" max="15360" width="9.140625" style="521"/>
    <col min="15361" max="15361" width="4" style="521" customWidth="1"/>
    <col min="15362" max="15362" width="6.28515625" style="521" customWidth="1"/>
    <col min="15363" max="15363" width="3.7109375" style="521" customWidth="1"/>
    <col min="15364" max="15364" width="14" style="521" customWidth="1"/>
    <col min="15365" max="15365" width="5" style="521" customWidth="1"/>
    <col min="15366" max="15366" width="11.42578125" style="521" bestFit="1" customWidth="1"/>
    <col min="15367" max="15367" width="5.85546875" style="521" customWidth="1"/>
    <col min="15368" max="15368" width="11.42578125" style="521" bestFit="1" customWidth="1"/>
    <col min="15369" max="15369" width="21.28515625" style="521" customWidth="1"/>
    <col min="15370" max="15616" width="9.140625" style="521"/>
    <col min="15617" max="15617" width="4" style="521" customWidth="1"/>
    <col min="15618" max="15618" width="6.28515625" style="521" customWidth="1"/>
    <col min="15619" max="15619" width="3.7109375" style="521" customWidth="1"/>
    <col min="15620" max="15620" width="14" style="521" customWidth="1"/>
    <col min="15621" max="15621" width="5" style="521" customWidth="1"/>
    <col min="15622" max="15622" width="11.42578125" style="521" bestFit="1" customWidth="1"/>
    <col min="15623" max="15623" width="5.85546875" style="521" customWidth="1"/>
    <col min="15624" max="15624" width="11.42578125" style="521" bestFit="1" customWidth="1"/>
    <col min="15625" max="15625" width="21.28515625" style="521" customWidth="1"/>
    <col min="15626" max="15872" width="9.140625" style="521"/>
    <col min="15873" max="15873" width="4" style="521" customWidth="1"/>
    <col min="15874" max="15874" width="6.28515625" style="521" customWidth="1"/>
    <col min="15875" max="15875" width="3.7109375" style="521" customWidth="1"/>
    <col min="15876" max="15876" width="14" style="521" customWidth="1"/>
    <col min="15877" max="15877" width="5" style="521" customWidth="1"/>
    <col min="15878" max="15878" width="11.42578125" style="521" bestFit="1" customWidth="1"/>
    <col min="15879" max="15879" width="5.85546875" style="521" customWidth="1"/>
    <col min="15880" max="15880" width="11.42578125" style="521" bestFit="1" customWidth="1"/>
    <col min="15881" max="15881" width="21.28515625" style="521" customWidth="1"/>
    <col min="15882" max="16128" width="9.140625" style="521"/>
    <col min="16129" max="16129" width="4" style="521" customWidth="1"/>
    <col min="16130" max="16130" width="6.28515625" style="521" customWidth="1"/>
    <col min="16131" max="16131" width="3.7109375" style="521" customWidth="1"/>
    <col min="16132" max="16132" width="14" style="521" customWidth="1"/>
    <col min="16133" max="16133" width="5" style="521" customWidth="1"/>
    <col min="16134" max="16134" width="11.42578125" style="521" bestFit="1" customWidth="1"/>
    <col min="16135" max="16135" width="5.85546875" style="521" customWidth="1"/>
    <col min="16136" max="16136" width="11.42578125" style="521" bestFit="1" customWidth="1"/>
    <col min="16137" max="16137" width="21.28515625" style="521" customWidth="1"/>
    <col min="16138" max="16384" width="9.140625" style="521"/>
  </cols>
  <sheetData>
    <row r="1" spans="1:9" ht="25.5">
      <c r="A1" s="518"/>
      <c r="B1" s="518" t="s">
        <v>344</v>
      </c>
      <c r="C1" s="555" t="s">
        <v>345</v>
      </c>
      <c r="D1" s="519" t="s">
        <v>346</v>
      </c>
      <c r="E1" s="519" t="s">
        <v>345</v>
      </c>
      <c r="F1" s="519" t="s">
        <v>347</v>
      </c>
      <c r="G1" s="547" t="s">
        <v>348</v>
      </c>
      <c r="H1" s="520" t="s">
        <v>349</v>
      </c>
      <c r="I1" s="518" t="s">
        <v>350</v>
      </c>
    </row>
    <row r="2" spans="1:9" ht="9" hidden="1" customHeight="1">
      <c r="A2" s="522"/>
      <c r="B2" s="518"/>
      <c r="C2" s="556"/>
      <c r="D2" s="523"/>
      <c r="E2" s="524"/>
      <c r="F2" s="523"/>
      <c r="G2" s="548"/>
      <c r="H2" s="523"/>
      <c r="I2" s="525"/>
    </row>
    <row r="3" spans="1:9" ht="27" hidden="1" customHeight="1">
      <c r="A3" s="522"/>
      <c r="B3" s="519"/>
      <c r="C3" s="555"/>
      <c r="D3" s="526"/>
      <c r="E3" s="519"/>
      <c r="F3" s="527"/>
      <c r="G3" s="549"/>
      <c r="H3" s="526"/>
      <c r="I3" s="528"/>
    </row>
    <row r="4" spans="1:9" ht="38.25">
      <c r="A4" s="522">
        <v>1</v>
      </c>
      <c r="B4" s="518">
        <v>199</v>
      </c>
      <c r="C4" s="555">
        <v>0</v>
      </c>
      <c r="D4" s="529">
        <v>158</v>
      </c>
      <c r="E4" s="519">
        <v>11</v>
      </c>
      <c r="F4" s="529">
        <v>158</v>
      </c>
      <c r="G4" s="550">
        <v>104</v>
      </c>
      <c r="H4" s="529"/>
      <c r="I4" s="530" t="s">
        <v>415</v>
      </c>
    </row>
    <row r="5" spans="1:9">
      <c r="A5" s="522"/>
      <c r="B5" s="518"/>
      <c r="C5" s="555"/>
      <c r="D5" s="529"/>
      <c r="E5" s="519"/>
      <c r="F5" s="529"/>
      <c r="G5" s="550"/>
      <c r="H5" s="529"/>
      <c r="I5" s="530"/>
    </row>
    <row r="6" spans="1:9" ht="25.5">
      <c r="A6" s="522">
        <v>2</v>
      </c>
      <c r="B6" s="518">
        <v>199</v>
      </c>
      <c r="C6" s="555">
        <v>36</v>
      </c>
      <c r="D6" s="529">
        <v>378</v>
      </c>
      <c r="E6" s="519">
        <v>11</v>
      </c>
      <c r="F6" s="529">
        <v>378</v>
      </c>
      <c r="G6" s="550">
        <v>1</v>
      </c>
      <c r="H6" s="529"/>
      <c r="I6" s="530" t="s">
        <v>416</v>
      </c>
    </row>
    <row r="7" spans="1:9">
      <c r="A7" s="522"/>
      <c r="B7" s="518"/>
      <c r="C7" s="555"/>
      <c r="D7" s="529"/>
      <c r="E7" s="519"/>
      <c r="F7" s="529"/>
      <c r="G7" s="550"/>
      <c r="H7" s="529"/>
      <c r="I7" s="530"/>
    </row>
    <row r="8" spans="1:9" ht="38.25">
      <c r="A8" s="522">
        <v>3</v>
      </c>
      <c r="B8" s="518">
        <v>199</v>
      </c>
      <c r="C8" s="555">
        <v>11</v>
      </c>
      <c r="D8" s="529">
        <v>600</v>
      </c>
      <c r="E8" s="519">
        <v>53</v>
      </c>
      <c r="F8" s="529">
        <v>600</v>
      </c>
      <c r="G8" s="550">
        <v>42</v>
      </c>
      <c r="H8" s="529"/>
      <c r="I8" s="530" t="s">
        <v>417</v>
      </c>
    </row>
    <row r="9" spans="1:9">
      <c r="A9" s="522"/>
      <c r="B9" s="518"/>
      <c r="C9" s="555"/>
      <c r="D9" s="529"/>
      <c r="E9" s="519"/>
      <c r="F9" s="529"/>
      <c r="G9" s="550"/>
      <c r="H9" s="529"/>
      <c r="I9" s="530"/>
    </row>
    <row r="10" spans="1:9" ht="40.15" customHeight="1">
      <c r="A10" s="522">
        <v>4</v>
      </c>
      <c r="B10" s="518">
        <v>199</v>
      </c>
      <c r="C10" s="555">
        <v>13</v>
      </c>
      <c r="D10" s="529">
        <v>1100</v>
      </c>
      <c r="E10" s="519">
        <v>21</v>
      </c>
      <c r="F10" s="529">
        <v>1100</v>
      </c>
      <c r="G10" s="550">
        <v>821</v>
      </c>
      <c r="H10" s="529"/>
      <c r="I10" s="530" t="s">
        <v>418</v>
      </c>
    </row>
    <row r="11" spans="1:9" ht="36.6" hidden="1" customHeight="1">
      <c r="A11" s="522">
        <v>14</v>
      </c>
      <c r="B11" s="519"/>
      <c r="C11" s="555"/>
      <c r="D11" s="526"/>
      <c r="E11" s="519"/>
      <c r="F11" s="527"/>
      <c r="G11" s="549"/>
      <c r="H11" s="526"/>
      <c r="I11" s="530"/>
    </row>
    <row r="12" spans="1:9" ht="36.6" hidden="1" customHeight="1">
      <c r="A12" s="522"/>
      <c r="B12" s="519"/>
      <c r="C12" s="555"/>
      <c r="D12" s="526"/>
      <c r="E12" s="519"/>
      <c r="F12" s="527"/>
      <c r="G12" s="549"/>
      <c r="H12" s="526"/>
      <c r="I12" s="530"/>
    </row>
    <row r="13" spans="1:9" ht="36.6" hidden="1" customHeight="1">
      <c r="A13" s="522">
        <v>15</v>
      </c>
      <c r="B13" s="519"/>
      <c r="C13" s="555"/>
      <c r="D13" s="526"/>
      <c r="E13" s="519"/>
      <c r="F13" s="527"/>
      <c r="G13" s="549"/>
      <c r="H13" s="526"/>
      <c r="I13" s="530"/>
    </row>
    <row r="14" spans="1:9" ht="36.6" hidden="1" customHeight="1">
      <c r="A14" s="522"/>
      <c r="B14" s="519"/>
      <c r="C14" s="555"/>
      <c r="D14" s="526"/>
      <c r="E14" s="519"/>
      <c r="F14" s="527"/>
      <c r="G14" s="549"/>
      <c r="H14" s="526"/>
      <c r="I14" s="530"/>
    </row>
    <row r="15" spans="1:9" ht="36.6" hidden="1" customHeight="1">
      <c r="A15" s="522">
        <v>16</v>
      </c>
      <c r="B15" s="519"/>
      <c r="C15" s="555"/>
      <c r="D15" s="526"/>
      <c r="E15" s="519"/>
      <c r="F15" s="527"/>
      <c r="G15" s="549"/>
      <c r="H15" s="526"/>
      <c r="I15" s="530"/>
    </row>
    <row r="16" spans="1:9" ht="36.6" hidden="1" customHeight="1">
      <c r="A16" s="522">
        <v>17</v>
      </c>
      <c r="B16" s="519"/>
      <c r="C16" s="555"/>
      <c r="D16" s="526"/>
      <c r="E16" s="519"/>
      <c r="F16" s="527"/>
      <c r="G16" s="549"/>
      <c r="H16" s="526"/>
      <c r="I16" s="530"/>
    </row>
    <row r="17" spans="1:9" ht="36.6" hidden="1" customHeight="1">
      <c r="A17" s="522"/>
      <c r="B17" s="519"/>
      <c r="C17" s="555"/>
      <c r="D17" s="526"/>
      <c r="E17" s="519"/>
      <c r="F17" s="527"/>
      <c r="G17" s="549"/>
      <c r="H17" s="526"/>
      <c r="I17" s="530"/>
    </row>
    <row r="18" spans="1:9" ht="36.6" hidden="1" customHeight="1">
      <c r="A18" s="522">
        <v>18</v>
      </c>
      <c r="B18" s="519"/>
      <c r="C18" s="555"/>
      <c r="D18" s="526"/>
      <c r="E18" s="519"/>
      <c r="F18" s="527"/>
      <c r="G18" s="549"/>
      <c r="H18" s="526"/>
      <c r="I18" s="530"/>
    </row>
    <row r="19" spans="1:9" ht="36.6" hidden="1" customHeight="1">
      <c r="A19" s="522"/>
      <c r="B19" s="519"/>
      <c r="C19" s="555"/>
      <c r="D19" s="526"/>
      <c r="E19" s="519"/>
      <c r="F19" s="527"/>
      <c r="G19" s="549"/>
      <c r="H19" s="526"/>
      <c r="I19" s="530"/>
    </row>
    <row r="20" spans="1:9" ht="36.6" hidden="1" customHeight="1">
      <c r="A20" s="522">
        <v>19</v>
      </c>
      <c r="B20" s="519"/>
      <c r="C20" s="555"/>
      <c r="D20" s="526"/>
      <c r="E20" s="519"/>
      <c r="F20" s="527"/>
      <c r="G20" s="549"/>
      <c r="H20" s="526"/>
      <c r="I20" s="530"/>
    </row>
    <row r="21" spans="1:9" ht="36.6" hidden="1" customHeight="1">
      <c r="A21" s="522"/>
      <c r="B21" s="519"/>
      <c r="C21" s="555"/>
      <c r="D21" s="526"/>
      <c r="E21" s="519"/>
      <c r="F21" s="527"/>
      <c r="G21" s="549"/>
      <c r="H21" s="526"/>
      <c r="I21" s="530"/>
    </row>
    <row r="22" spans="1:9" ht="36.6" hidden="1" customHeight="1">
      <c r="A22" s="522"/>
      <c r="B22" s="519"/>
      <c r="C22" s="555"/>
      <c r="D22" s="526"/>
      <c r="E22" s="519"/>
      <c r="F22" s="527"/>
      <c r="G22" s="549"/>
      <c r="H22" s="526"/>
      <c r="I22" s="530"/>
    </row>
    <row r="23" spans="1:9" ht="36.6" hidden="1" customHeight="1">
      <c r="A23" s="522">
        <v>20</v>
      </c>
      <c r="B23" s="519"/>
      <c r="C23" s="555"/>
      <c r="D23" s="526"/>
      <c r="E23" s="519"/>
      <c r="F23" s="527"/>
      <c r="G23" s="549"/>
      <c r="H23" s="526"/>
      <c r="I23" s="530"/>
    </row>
    <row r="24" spans="1:9" ht="36.6" hidden="1" customHeight="1">
      <c r="A24" s="522"/>
      <c r="B24" s="519"/>
      <c r="C24" s="555"/>
      <c r="D24" s="526"/>
      <c r="E24" s="519"/>
      <c r="F24" s="527"/>
      <c r="G24" s="549"/>
      <c r="H24" s="526"/>
      <c r="I24" s="530"/>
    </row>
    <row r="25" spans="1:9" ht="36.6" hidden="1" customHeight="1">
      <c r="A25" s="522">
        <v>21</v>
      </c>
      <c r="B25" s="519"/>
      <c r="C25" s="555"/>
      <c r="D25" s="526"/>
      <c r="E25" s="519"/>
      <c r="F25" s="527"/>
      <c r="G25" s="549"/>
      <c r="H25" s="526"/>
      <c r="I25" s="530"/>
    </row>
    <row r="26" spans="1:9" ht="36.6" hidden="1" customHeight="1">
      <c r="A26" s="522"/>
      <c r="B26" s="519"/>
      <c r="C26" s="555"/>
      <c r="D26" s="526"/>
      <c r="E26" s="519"/>
      <c r="F26" s="527"/>
      <c r="G26" s="549"/>
      <c r="H26" s="526"/>
      <c r="I26" s="530"/>
    </row>
    <row r="27" spans="1:9" ht="36.6" hidden="1" customHeight="1">
      <c r="A27" s="522">
        <v>22</v>
      </c>
      <c r="B27" s="519"/>
      <c r="C27" s="555"/>
      <c r="D27" s="526"/>
      <c r="E27" s="519"/>
      <c r="F27" s="527"/>
      <c r="G27" s="549"/>
      <c r="H27" s="526"/>
      <c r="I27" s="530"/>
    </row>
    <row r="28" spans="1:9" ht="36.6" hidden="1" customHeight="1">
      <c r="A28" s="522"/>
      <c r="B28" s="519"/>
      <c r="C28" s="555"/>
      <c r="D28" s="526"/>
      <c r="E28" s="519"/>
      <c r="F28" s="527"/>
      <c r="G28" s="549"/>
      <c r="H28" s="526"/>
      <c r="I28" s="530"/>
    </row>
    <row r="29" spans="1:9" ht="36.6" hidden="1" customHeight="1">
      <c r="A29" s="522">
        <v>23</v>
      </c>
      <c r="B29" s="519"/>
      <c r="C29" s="555"/>
      <c r="D29" s="526"/>
      <c r="E29" s="531"/>
      <c r="F29" s="532"/>
      <c r="G29" s="549"/>
      <c r="H29" s="526"/>
      <c r="I29" s="530"/>
    </row>
    <row r="30" spans="1:9">
      <c r="A30" s="522"/>
      <c r="B30" s="518"/>
      <c r="C30" s="555"/>
      <c r="D30" s="529"/>
      <c r="E30" s="519"/>
      <c r="F30" s="529"/>
      <c r="G30" s="550"/>
      <c r="H30" s="529"/>
      <c r="I30" s="530"/>
    </row>
    <row r="31" spans="1:9" ht="38.25">
      <c r="A31" s="522">
        <v>5</v>
      </c>
      <c r="B31" s="518">
        <v>199</v>
      </c>
      <c r="C31" s="555">
        <v>11</v>
      </c>
      <c r="D31" s="529">
        <v>1230</v>
      </c>
      <c r="E31" s="519">
        <v>21</v>
      </c>
      <c r="F31" s="529">
        <v>1230</v>
      </c>
      <c r="G31" s="550">
        <v>821</v>
      </c>
      <c r="H31" s="529"/>
      <c r="I31" s="530" t="s">
        <v>419</v>
      </c>
    </row>
    <row r="32" spans="1:9">
      <c r="A32" s="522"/>
      <c r="B32" s="518"/>
      <c r="C32" s="555"/>
      <c r="D32" s="529"/>
      <c r="E32" s="519"/>
      <c r="F32" s="529"/>
      <c r="G32" s="550"/>
      <c r="H32" s="529"/>
      <c r="I32" s="530"/>
    </row>
    <row r="33" spans="1:9" ht="38.25">
      <c r="A33" s="522">
        <v>6</v>
      </c>
      <c r="B33" s="518">
        <v>199</v>
      </c>
      <c r="C33" s="555">
        <v>36</v>
      </c>
      <c r="D33" s="529">
        <v>1500</v>
      </c>
      <c r="E33" s="519">
        <v>36</v>
      </c>
      <c r="F33" s="529">
        <v>1500</v>
      </c>
      <c r="G33" s="550">
        <v>1</v>
      </c>
      <c r="H33" s="529"/>
      <c r="I33" s="530" t="s">
        <v>420</v>
      </c>
    </row>
    <row r="34" spans="1:9">
      <c r="A34" s="522"/>
      <c r="B34" s="518"/>
      <c r="C34" s="555"/>
      <c r="D34" s="529"/>
      <c r="E34" s="519"/>
      <c r="F34" s="529"/>
      <c r="G34" s="550"/>
      <c r="H34" s="529"/>
      <c r="I34" s="530"/>
    </row>
    <row r="35" spans="1:9" ht="38.25">
      <c r="A35" s="522">
        <v>7</v>
      </c>
      <c r="B35" s="518">
        <v>199</v>
      </c>
      <c r="C35" s="555">
        <v>13</v>
      </c>
      <c r="D35" s="529">
        <v>5000</v>
      </c>
      <c r="E35" s="519">
        <v>21</v>
      </c>
      <c r="F35" s="529">
        <v>6000</v>
      </c>
      <c r="G35" s="550">
        <v>822</v>
      </c>
      <c r="H35" s="529"/>
      <c r="I35" s="530" t="s">
        <v>421</v>
      </c>
    </row>
    <row r="36" spans="1:9">
      <c r="A36" s="522"/>
      <c r="B36" s="518"/>
      <c r="C36" s="555">
        <v>41</v>
      </c>
      <c r="D36" s="529">
        <v>1000</v>
      </c>
      <c r="E36" s="519"/>
      <c r="F36" s="529"/>
      <c r="G36" s="550"/>
      <c r="H36" s="529"/>
      <c r="I36" s="530"/>
    </row>
    <row r="37" spans="1:9">
      <c r="A37" s="522"/>
      <c r="B37" s="518"/>
      <c r="C37" s="555"/>
      <c r="D37" s="529"/>
      <c r="E37" s="519"/>
      <c r="F37" s="529"/>
      <c r="G37" s="550"/>
      <c r="H37" s="529"/>
      <c r="I37" s="530"/>
    </row>
    <row r="38" spans="1:9" ht="51">
      <c r="A38" s="522">
        <v>8</v>
      </c>
      <c r="B38" s="518">
        <v>199</v>
      </c>
      <c r="C38" s="555">
        <v>11</v>
      </c>
      <c r="D38" s="529">
        <v>4000</v>
      </c>
      <c r="E38" s="519">
        <v>34</v>
      </c>
      <c r="F38" s="529">
        <v>4000</v>
      </c>
      <c r="G38" s="550">
        <v>1</v>
      </c>
      <c r="H38" s="529"/>
      <c r="I38" s="530" t="s">
        <v>422</v>
      </c>
    </row>
    <row r="39" spans="1:9">
      <c r="A39" s="522"/>
      <c r="B39" s="518"/>
      <c r="C39" s="555"/>
      <c r="D39" s="529"/>
      <c r="E39" s="519"/>
      <c r="F39" s="529"/>
      <c r="G39" s="550"/>
      <c r="H39" s="529"/>
      <c r="I39" s="530"/>
    </row>
    <row r="40" spans="1:9" ht="38.25">
      <c r="A40" s="522">
        <v>9</v>
      </c>
      <c r="B40" s="518">
        <v>199</v>
      </c>
      <c r="C40" s="555">
        <v>0</v>
      </c>
      <c r="D40" s="529">
        <v>246</v>
      </c>
      <c r="E40" s="560">
        <v>23</v>
      </c>
      <c r="F40" s="529">
        <v>246</v>
      </c>
      <c r="G40" s="550">
        <v>1</v>
      </c>
      <c r="H40" s="529"/>
      <c r="I40" s="530" t="s">
        <v>415</v>
      </c>
    </row>
    <row r="41" spans="1:9">
      <c r="A41" s="522"/>
      <c r="B41" s="518"/>
      <c r="C41" s="555"/>
      <c r="D41" s="529"/>
      <c r="E41" s="560"/>
      <c r="F41" s="529"/>
      <c r="G41" s="550"/>
      <c r="H41" s="529"/>
      <c r="I41" s="530"/>
    </row>
    <row r="42" spans="1:9" ht="63.75">
      <c r="A42" s="522">
        <v>10</v>
      </c>
      <c r="B42" s="518">
        <v>199</v>
      </c>
      <c r="C42" s="555">
        <v>0</v>
      </c>
      <c r="D42" s="529">
        <v>107899</v>
      </c>
      <c r="E42" s="560">
        <v>81</v>
      </c>
      <c r="F42" s="529">
        <v>107899</v>
      </c>
      <c r="G42" s="550">
        <v>41</v>
      </c>
      <c r="H42" s="529">
        <v>107899</v>
      </c>
      <c r="I42" s="530" t="s">
        <v>423</v>
      </c>
    </row>
    <row r="43" spans="1:9">
      <c r="A43" s="522"/>
      <c r="B43" s="518"/>
      <c r="C43" s="555"/>
      <c r="D43" s="529"/>
      <c r="E43" s="560"/>
      <c r="F43" s="529"/>
      <c r="G43" s="550"/>
      <c r="H43" s="529"/>
      <c r="I43" s="530"/>
    </row>
    <row r="44" spans="1:9" ht="51">
      <c r="A44" s="522">
        <v>11</v>
      </c>
      <c r="B44" s="518">
        <v>199</v>
      </c>
      <c r="C44" s="555">
        <v>0</v>
      </c>
      <c r="D44" s="529">
        <v>437531</v>
      </c>
      <c r="E44" s="560">
        <v>81</v>
      </c>
      <c r="F44" s="529">
        <v>437531</v>
      </c>
      <c r="G44" s="550">
        <v>41</v>
      </c>
      <c r="H44" s="529">
        <v>437531</v>
      </c>
      <c r="I44" s="530" t="s">
        <v>424</v>
      </c>
    </row>
    <row r="45" spans="1:9">
      <c r="A45" s="522"/>
      <c r="B45" s="518"/>
      <c r="C45" s="555"/>
      <c r="D45" s="529"/>
      <c r="E45" s="560"/>
      <c r="F45" s="529"/>
      <c r="G45" s="550"/>
      <c r="H45" s="529"/>
      <c r="I45" s="530"/>
    </row>
    <row r="46" spans="1:9" ht="51">
      <c r="A46" s="522">
        <v>12</v>
      </c>
      <c r="B46" s="518">
        <v>199</v>
      </c>
      <c r="C46" s="555">
        <v>0</v>
      </c>
      <c r="D46" s="529">
        <v>373808</v>
      </c>
      <c r="E46" s="560">
        <v>81</v>
      </c>
      <c r="F46" s="529">
        <v>373808</v>
      </c>
      <c r="G46" s="550">
        <v>1</v>
      </c>
      <c r="H46" s="529">
        <v>373808</v>
      </c>
      <c r="I46" s="530" t="s">
        <v>425</v>
      </c>
    </row>
    <row r="47" spans="1:9">
      <c r="A47" s="522"/>
      <c r="B47" s="518"/>
      <c r="C47" s="555"/>
      <c r="D47" s="529"/>
      <c r="E47" s="560"/>
      <c r="F47" s="529"/>
      <c r="G47" s="550"/>
      <c r="H47" s="529"/>
      <c r="I47" s="530"/>
    </row>
    <row r="48" spans="1:9" ht="38.25">
      <c r="A48" s="522">
        <v>13</v>
      </c>
      <c r="B48" s="518">
        <v>199</v>
      </c>
      <c r="C48" s="555">
        <v>0</v>
      </c>
      <c r="D48" s="529">
        <v>179492</v>
      </c>
      <c r="E48" s="560">
        <v>81</v>
      </c>
      <c r="F48" s="529">
        <v>179492</v>
      </c>
      <c r="G48" s="550">
        <v>1</v>
      </c>
      <c r="H48" s="529">
        <v>179492</v>
      </c>
      <c r="I48" s="530" t="s">
        <v>426</v>
      </c>
    </row>
    <row r="49" spans="1:9">
      <c r="A49" s="522"/>
      <c r="B49" s="518"/>
      <c r="C49" s="555"/>
      <c r="D49" s="529"/>
      <c r="E49" s="560"/>
      <c r="F49" s="529"/>
      <c r="G49" s="550"/>
      <c r="H49" s="529"/>
      <c r="I49" s="530"/>
    </row>
    <row r="50" spans="1:9" ht="25.5">
      <c r="A50" s="522">
        <v>14</v>
      </c>
      <c r="B50" s="518">
        <v>199</v>
      </c>
      <c r="C50" s="555">
        <v>0</v>
      </c>
      <c r="D50" s="529">
        <v>25000</v>
      </c>
      <c r="E50" s="560">
        <v>81</v>
      </c>
      <c r="F50" s="529">
        <v>25000</v>
      </c>
      <c r="G50" s="550">
        <v>999</v>
      </c>
      <c r="H50" s="529">
        <v>25000</v>
      </c>
      <c r="I50" s="530" t="s">
        <v>427</v>
      </c>
    </row>
    <row r="51" spans="1:9">
      <c r="A51" s="522"/>
      <c r="B51" s="518"/>
      <c r="C51" s="555"/>
      <c r="D51" s="529"/>
      <c r="E51" s="560"/>
      <c r="F51" s="529"/>
      <c r="G51" s="550"/>
      <c r="H51" s="529"/>
      <c r="I51" s="530"/>
    </row>
    <row r="52" spans="1:9" ht="38.25">
      <c r="A52" s="522">
        <v>15</v>
      </c>
      <c r="B52" s="518">
        <v>199</v>
      </c>
      <c r="C52" s="555">
        <v>0</v>
      </c>
      <c r="D52" s="529">
        <v>20000</v>
      </c>
      <c r="E52" s="560">
        <v>51</v>
      </c>
      <c r="F52" s="529">
        <v>20000</v>
      </c>
      <c r="G52" s="550">
        <v>999</v>
      </c>
      <c r="H52" s="529">
        <v>20000</v>
      </c>
      <c r="I52" s="530" t="s">
        <v>428</v>
      </c>
    </row>
    <row r="53" spans="1:9">
      <c r="A53" s="522"/>
      <c r="B53" s="518"/>
      <c r="C53" s="555"/>
      <c r="D53" s="529"/>
      <c r="E53" s="560"/>
      <c r="F53" s="529"/>
      <c r="G53" s="550"/>
      <c r="H53" s="529"/>
      <c r="I53" s="530"/>
    </row>
    <row r="54" spans="1:9" ht="38.25">
      <c r="A54" s="522">
        <v>16</v>
      </c>
      <c r="B54" s="518">
        <v>199</v>
      </c>
      <c r="C54" s="555">
        <v>0</v>
      </c>
      <c r="D54" s="529">
        <v>246</v>
      </c>
      <c r="E54" s="560">
        <v>23</v>
      </c>
      <c r="F54" s="529">
        <v>246</v>
      </c>
      <c r="G54" s="550">
        <v>1</v>
      </c>
      <c r="H54" s="529"/>
      <c r="I54" s="530" t="s">
        <v>415</v>
      </c>
    </row>
    <row r="55" spans="1:9">
      <c r="A55" s="522"/>
      <c r="B55" s="518"/>
      <c r="C55" s="555"/>
      <c r="D55" s="529"/>
      <c r="E55" s="519"/>
      <c r="F55" s="529"/>
      <c r="G55" s="550"/>
      <c r="H55" s="529"/>
      <c r="I55" s="530"/>
    </row>
    <row r="56" spans="1:9" ht="46.5" customHeight="1">
      <c r="A56" s="522"/>
      <c r="B56" s="518"/>
      <c r="C56" s="556" t="s">
        <v>351</v>
      </c>
      <c r="D56" s="526">
        <f>SUM(D3:D55)</f>
        <v>1159188</v>
      </c>
      <c r="E56" s="533"/>
      <c r="F56" s="526">
        <f>SUM(F3:F55)</f>
        <v>1159188</v>
      </c>
      <c r="G56" s="551"/>
      <c r="H56" s="526">
        <f>SUM(H3:H55)</f>
        <v>1143730</v>
      </c>
      <c r="I56" s="530"/>
    </row>
    <row r="57" spans="1:9" ht="38.25" hidden="1" customHeight="1">
      <c r="A57" s="534"/>
      <c r="B57" s="535"/>
      <c r="C57" s="557"/>
      <c r="D57" s="536"/>
      <c r="E57" s="535"/>
      <c r="F57" s="537"/>
      <c r="G57" s="552"/>
      <c r="H57" s="538"/>
      <c r="I57" s="539"/>
    </row>
    <row r="58" spans="1:9" ht="38.25" hidden="1" customHeight="1">
      <c r="A58" s="540" t="s">
        <v>352</v>
      </c>
      <c r="B58" s="541"/>
      <c r="C58" s="558"/>
      <c r="D58" s="542"/>
      <c r="E58" s="543"/>
      <c r="F58" s="544"/>
      <c r="G58" s="553"/>
      <c r="H58" s="544"/>
      <c r="I58" s="545"/>
    </row>
    <row r="59" spans="1:9" ht="56.25" hidden="1" customHeight="1">
      <c r="A59" s="534"/>
      <c r="B59" s="534"/>
      <c r="C59" s="557"/>
      <c r="D59" s="537"/>
      <c r="E59" s="535"/>
      <c r="F59" s="537"/>
      <c r="G59" s="552"/>
      <c r="H59" s="537"/>
      <c r="I59" s="546"/>
    </row>
    <row r="60" spans="1:9" ht="38.25" hidden="1" customHeight="1"/>
    <row r="61" spans="1:9" ht="51.75" hidden="1" customHeight="1"/>
    <row r="62" spans="1:9" ht="45" customHeight="1"/>
    <row r="63" spans="1:9" ht="51.75" customHeight="1"/>
    <row r="64" spans="1:9" ht="51.75" customHeight="1"/>
    <row r="65" ht="51.75" customHeight="1"/>
    <row r="66" ht="51.75" customHeight="1"/>
    <row r="67" ht="51.75" customHeight="1"/>
    <row r="68" ht="51.75" customHeight="1"/>
    <row r="69" ht="51.75" customHeight="1"/>
    <row r="70" ht="51.75" customHeight="1"/>
    <row r="71" ht="63" customHeight="1"/>
    <row r="72" ht="28.5" customHeight="1"/>
    <row r="73" ht="50.25" customHeight="1"/>
    <row r="74" ht="10.5" customHeight="1"/>
  </sheetData>
  <pageMargins left="0.75" right="0.75" top="1.5" bottom="1" header="0.5" footer="0.5"/>
  <pageSetup fitToHeight="10" orientation="portrait" r:id="rId1"/>
  <headerFooter>
    <oddHeader>&amp;CLittle Elm Independent School District
General Fund 
Budget Amendments
March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3"/>
  <sheetViews>
    <sheetView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316</v>
      </c>
    </row>
    <row r="2" spans="1:10">
      <c r="D2" s="5"/>
      <c r="E2" s="5"/>
      <c r="F2" s="6" t="s">
        <v>318</v>
      </c>
      <c r="G2" s="5"/>
      <c r="H2" s="5"/>
      <c r="I2" s="3"/>
      <c r="J2" s="3"/>
    </row>
    <row r="3" spans="1:10">
      <c r="D3" s="3"/>
      <c r="E3" s="3"/>
      <c r="F3" s="7" t="s">
        <v>330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23162816</v>
      </c>
      <c r="E10" s="186">
        <v>5730</v>
      </c>
      <c r="F10" s="187">
        <f>D10+E10</f>
        <v>23168546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49511884</v>
      </c>
      <c r="E13" s="452">
        <f>SUM(E10:E12)</f>
        <v>5730</v>
      </c>
      <c r="F13" s="190">
        <f>SUM(F10:F12)</f>
        <v>49517614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30377674</v>
      </c>
      <c r="E16" s="200">
        <v>-346</v>
      </c>
      <c r="F16" s="462">
        <f t="shared" ref="F16:F35" si="0">D16+E16</f>
        <v>30377328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660864</v>
      </c>
      <c r="E17" s="189"/>
      <c r="F17" s="187">
        <f t="shared" ref="F17:F22" si="2">D17+E17</f>
        <v>660864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526022</v>
      </c>
      <c r="E18" s="189">
        <v>2661</v>
      </c>
      <c r="F18" s="486">
        <f t="shared" si="2"/>
        <v>528683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612563</v>
      </c>
      <c r="E19" s="189"/>
      <c r="F19" s="187">
        <f t="shared" si="2"/>
        <v>612563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3168283</v>
      </c>
      <c r="E20" s="189">
        <v>269</v>
      </c>
      <c r="F20" s="187">
        <f t="shared" si="2"/>
        <v>3168552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1684056</v>
      </c>
      <c r="E21" s="189">
        <v>-269</v>
      </c>
      <c r="F21" s="187">
        <f t="shared" si="2"/>
        <v>1683787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2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/>
      <c r="F23" s="187">
        <f t="shared" si="0"/>
        <v>473366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1548150</v>
      </c>
      <c r="E24" s="189"/>
      <c r="F24" s="187">
        <f t="shared" si="0"/>
        <v>1548150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1357775</v>
      </c>
      <c r="E26" s="189">
        <v>3415</v>
      </c>
      <c r="F26" s="187">
        <f t="shared" si="0"/>
        <v>1361190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1900189</v>
      </c>
      <c r="E27" s="189"/>
      <c r="F27" s="187">
        <f t="shared" si="0"/>
        <v>1900189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5186553</v>
      </c>
      <c r="E28" s="189"/>
      <c r="F28" s="187">
        <f t="shared" si="0"/>
        <v>5186553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482604</v>
      </c>
      <c r="E29" s="189"/>
      <c r="F29" s="187">
        <f t="shared" si="0"/>
        <v>482604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964125</v>
      </c>
      <c r="E30" s="189"/>
      <c r="F30" s="187">
        <f t="shared" si="0"/>
        <v>964125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/>
      <c r="J32" s="206">
        <f>H32+I32</f>
        <v>11330893</v>
      </c>
    </row>
    <row r="33" spans="1:13">
      <c r="A33" s="3" t="s">
        <v>239</v>
      </c>
      <c r="B33" s="3"/>
      <c r="D33" s="185">
        <v>1156572</v>
      </c>
      <c r="E33" s="189"/>
      <c r="F33" s="187">
        <f t="shared" si="0"/>
        <v>1156572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51350693</v>
      </c>
      <c r="E36" s="191">
        <f>SUM(E16:E35)</f>
        <v>5730</v>
      </c>
      <c r="F36" s="190">
        <f>SUM(F16:F35)</f>
        <v>51356423</v>
      </c>
      <c r="G36" s="3"/>
      <c r="H36" s="209">
        <f>SUM(H15:H35)</f>
        <v>11330893</v>
      </c>
      <c r="I36" s="210">
        <f>SUM(I16:I35)</f>
        <v>0</v>
      </c>
      <c r="J36" s="209">
        <f>SUM(J15:J35)</f>
        <v>11330893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/>
      <c r="E38" s="188"/>
      <c r="F38" s="185">
        <f>+D38+E38</f>
        <v>0</v>
      </c>
      <c r="G38" s="3"/>
      <c r="H38" s="206"/>
      <c r="I38" s="207"/>
      <c r="J38" s="206">
        <f>+H38+I38</f>
        <v>0</v>
      </c>
      <c r="M38" s="442"/>
    </row>
    <row r="39" spans="1:13">
      <c r="A39" t="s">
        <v>311</v>
      </c>
      <c r="D39" s="185"/>
      <c r="E39" s="188"/>
      <c r="F39" s="185"/>
      <c r="G39" s="3"/>
      <c r="H39" s="206"/>
      <c r="I39" s="207"/>
      <c r="J39" s="206">
        <f>+H39+I39</f>
        <v>0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321</v>
      </c>
      <c r="D41" s="496">
        <v>21653740</v>
      </c>
      <c r="E41" s="192"/>
      <c r="F41" s="193">
        <f>D41</f>
        <v>21653740</v>
      </c>
      <c r="G41" s="18"/>
      <c r="H41" s="494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331</v>
      </c>
      <c r="B44" s="20"/>
      <c r="D44" s="196">
        <f>D13-D36+D38+D41</f>
        <v>19814931</v>
      </c>
      <c r="E44" s="197">
        <f>F44-D44</f>
        <v>0</v>
      </c>
      <c r="F44" s="198">
        <f>F13-F36+F38-F39+F41</f>
        <v>19814931</v>
      </c>
      <c r="G44" s="11"/>
      <c r="H44" s="214">
        <f>H13-H32+H38+H39+H41</f>
        <v>3710704</v>
      </c>
      <c r="I44" s="214">
        <f t="shared" ref="I44" si="3">I13-I32+I38+I39+I41</f>
        <v>0</v>
      </c>
      <c r="J44" s="214">
        <f>J13-J32+J38+J39+J41</f>
        <v>3710704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82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315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January 31, 2015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4">D65+E65</f>
        <v>0</v>
      </c>
      <c r="G65" s="206"/>
      <c r="H65" s="206">
        <v>0</v>
      </c>
      <c r="I65" s="222"/>
      <c r="J65" s="206">
        <f t="shared" ref="J65:J84" si="5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4"/>
        <v>0</v>
      </c>
      <c r="G66" s="206"/>
      <c r="H66" s="206">
        <v>0</v>
      </c>
      <c r="I66" s="222"/>
      <c r="J66" s="206">
        <f t="shared" si="5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4"/>
        <v>0</v>
      </c>
      <c r="G67" s="206"/>
      <c r="H67" s="206">
        <v>0</v>
      </c>
      <c r="I67" s="222"/>
      <c r="J67" s="206">
        <f t="shared" si="5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4"/>
        <v>0</v>
      </c>
      <c r="G68" s="206"/>
      <c r="H68" s="206">
        <v>0</v>
      </c>
      <c r="I68" s="222"/>
      <c r="J68" s="206">
        <f t="shared" si="5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4"/>
        <v>0</v>
      </c>
      <c r="G69" s="206"/>
      <c r="H69" s="206">
        <v>0</v>
      </c>
      <c r="I69" s="222"/>
      <c r="J69" s="206">
        <f t="shared" si="5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4"/>
        <v>0</v>
      </c>
      <c r="G70" s="206"/>
      <c r="H70" s="206">
        <v>0</v>
      </c>
      <c r="I70" s="222"/>
      <c r="J70" s="206">
        <f t="shared" si="5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4"/>
        <v>0</v>
      </c>
      <c r="G71" s="206"/>
      <c r="H71" s="206">
        <v>0</v>
      </c>
      <c r="I71" s="222"/>
      <c r="J71" s="206">
        <f t="shared" si="5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4"/>
        <v>0</v>
      </c>
      <c r="G72" s="206"/>
      <c r="H72" s="206">
        <v>0</v>
      </c>
      <c r="I72" s="222"/>
      <c r="J72" s="206">
        <f t="shared" si="5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4"/>
        <v>0</v>
      </c>
      <c r="G73" s="206"/>
      <c r="H73" s="206">
        <v>0</v>
      </c>
      <c r="I73" s="222"/>
      <c r="J73" s="206">
        <f t="shared" si="5"/>
        <v>0</v>
      </c>
      <c r="K73" s="217"/>
    </row>
    <row r="74" spans="1:11">
      <c r="A74" t="s">
        <v>23</v>
      </c>
      <c r="D74" s="206">
        <v>3143799</v>
      </c>
      <c r="E74" s="223"/>
      <c r="F74" s="206">
        <f t="shared" si="4"/>
        <v>3143799</v>
      </c>
      <c r="G74" s="206"/>
      <c r="H74" s="206">
        <v>0</v>
      </c>
      <c r="I74" s="223"/>
      <c r="J74" s="206">
        <f t="shared" si="5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4"/>
        <v>0</v>
      </c>
      <c r="G75" s="206"/>
      <c r="H75" s="206">
        <v>0</v>
      </c>
      <c r="I75" s="222"/>
      <c r="J75" s="206">
        <f t="shared" si="5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4"/>
        <v>0</v>
      </c>
      <c r="G76" s="206"/>
      <c r="H76" s="206">
        <v>0</v>
      </c>
      <c r="I76" s="222"/>
      <c r="J76" s="206">
        <f t="shared" si="5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4"/>
        <v>0</v>
      </c>
      <c r="G77" s="206"/>
      <c r="H77" s="206">
        <v>0</v>
      </c>
      <c r="I77" s="223"/>
      <c r="J77" s="206">
        <f t="shared" si="5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4"/>
        <v>0</v>
      </c>
      <c r="G78" s="206"/>
      <c r="H78" s="206">
        <v>0</v>
      </c>
      <c r="I78" s="222"/>
      <c r="J78" s="206">
        <f t="shared" si="5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4"/>
        <v>0</v>
      </c>
      <c r="G79" s="206"/>
      <c r="H79" s="206">
        <v>0</v>
      </c>
      <c r="I79" s="222"/>
      <c r="J79" s="206">
        <f t="shared" si="5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4"/>
        <v>0</v>
      </c>
      <c r="G80" s="206"/>
      <c r="H80" s="206">
        <v>579032</v>
      </c>
      <c r="I80" s="222">
        <v>11335</v>
      </c>
      <c r="J80" s="206">
        <f t="shared" si="5"/>
        <v>590367</v>
      </c>
      <c r="K80" s="217"/>
    </row>
    <row r="81" spans="1:11">
      <c r="A81" t="s">
        <v>30</v>
      </c>
      <c r="D81" s="206">
        <v>0</v>
      </c>
      <c r="E81" s="222"/>
      <c r="F81" s="206">
        <f t="shared" si="4"/>
        <v>0</v>
      </c>
      <c r="G81" s="206"/>
      <c r="H81" s="206">
        <v>0</v>
      </c>
      <c r="I81" s="222"/>
      <c r="J81" s="206">
        <f t="shared" si="5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4"/>
        <v>0</v>
      </c>
      <c r="G82" s="206"/>
      <c r="H82" s="206">
        <v>0</v>
      </c>
      <c r="I82" s="222"/>
      <c r="J82" s="206">
        <f t="shared" si="5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4"/>
        <v>0</v>
      </c>
      <c r="G83" s="206"/>
      <c r="H83" s="206">
        <v>0</v>
      </c>
      <c r="I83" s="222"/>
      <c r="J83" s="199">
        <f t="shared" si="5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4"/>
        <v>0</v>
      </c>
      <c r="G84" s="206"/>
      <c r="H84" s="206">
        <v>0</v>
      </c>
      <c r="I84" s="272"/>
      <c r="J84" s="199">
        <f t="shared" si="5"/>
        <v>0</v>
      </c>
      <c r="K84" s="217"/>
    </row>
    <row r="85" spans="1:11">
      <c r="A85" t="s">
        <v>31</v>
      </c>
      <c r="D85" s="209">
        <f>SUM(D64:D84)</f>
        <v>3143799</v>
      </c>
      <c r="E85" s="215">
        <f>F85-D85</f>
        <v>0</v>
      </c>
      <c r="F85" s="209">
        <f>SUM(F65:F84)</f>
        <v>3143799</v>
      </c>
      <c r="G85" s="203"/>
      <c r="H85" s="209">
        <f>SUM(H64:H84)</f>
        <v>579032</v>
      </c>
      <c r="I85" s="215">
        <f>J85-H85</f>
        <v>11335</v>
      </c>
      <c r="J85" s="209">
        <f>SUM(J65:J84)</f>
        <v>590367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95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01/31/15</v>
      </c>
      <c r="D90" s="214">
        <f>D61-D85+D87</f>
        <v>859146</v>
      </c>
      <c r="E90" s="215">
        <f>F90-D90</f>
        <v>0</v>
      </c>
      <c r="F90" s="214">
        <f>F87+F61-F85</f>
        <v>859146</v>
      </c>
      <c r="G90" s="227"/>
      <c r="H90" s="214">
        <f>H61-H85+H87</f>
        <v>134292</v>
      </c>
      <c r="I90" s="215">
        <f>J90-H90</f>
        <v>-11335</v>
      </c>
      <c r="J90" s="214">
        <f>J87+J61-J85</f>
        <v>122957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6"/>
  <sheetViews>
    <sheetView topLeftCell="A4" workbookViewId="0">
      <selection activeCell="D36" sqref="D36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22" t="s">
        <v>235</v>
      </c>
      <c r="B1" s="622"/>
      <c r="C1" s="622"/>
      <c r="D1" s="622"/>
      <c r="E1" s="622"/>
      <c r="F1" s="622"/>
      <c r="G1" s="622"/>
      <c r="H1" s="622"/>
      <c r="I1" s="622"/>
    </row>
    <row r="2" spans="1:9">
      <c r="A2" s="622" t="s">
        <v>319</v>
      </c>
      <c r="B2" s="622"/>
      <c r="C2" s="622"/>
      <c r="D2" s="622"/>
      <c r="E2" s="622"/>
      <c r="F2" s="622"/>
      <c r="G2" s="622"/>
      <c r="H2" s="622"/>
      <c r="I2" s="622"/>
    </row>
    <row r="3" spans="1:9">
      <c r="A3" s="622" t="s">
        <v>332</v>
      </c>
      <c r="B3" s="622"/>
      <c r="C3" s="622"/>
      <c r="D3" s="622"/>
      <c r="E3" s="622"/>
      <c r="F3" s="622"/>
      <c r="G3" s="622"/>
      <c r="H3" s="622"/>
      <c r="I3" s="622"/>
    </row>
    <row r="4" spans="1:9" ht="15">
      <c r="A4" s="28"/>
    </row>
    <row r="5" spans="1:9">
      <c r="A5" s="622" t="s">
        <v>0</v>
      </c>
      <c r="B5" s="622"/>
      <c r="C5" s="622"/>
      <c r="D5" s="622"/>
      <c r="E5" s="622"/>
      <c r="F5" s="622"/>
      <c r="G5" s="622"/>
      <c r="H5" s="622"/>
      <c r="I5" s="622"/>
    </row>
    <row r="6" spans="1:9" ht="13.5" thickBot="1">
      <c r="A6" s="622" t="s">
        <v>248</v>
      </c>
      <c r="B6" s="622"/>
      <c r="C6" s="622"/>
      <c r="D6" s="622"/>
      <c r="E6" s="622"/>
      <c r="F6" s="622"/>
      <c r="G6" s="622"/>
      <c r="H6" s="622"/>
      <c r="I6" s="622"/>
    </row>
    <row r="7" spans="1:9">
      <c r="D7" s="29" t="s">
        <v>317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23168546</v>
      </c>
      <c r="E10" s="441">
        <v>5102992.8499999996</v>
      </c>
      <c r="F10" s="357">
        <v>22612269.120000001</v>
      </c>
      <c r="G10" s="357">
        <f>F10-D10</f>
        <v>-556276.87999999896</v>
      </c>
      <c r="H10" s="39">
        <f>F10/D10</f>
        <v>0.97598999609211567</v>
      </c>
      <c r="I10" s="40">
        <f>5/12</f>
        <v>0.41666666666666669</v>
      </c>
    </row>
    <row r="11" spans="1:9">
      <c r="A11" s="26">
        <v>5800</v>
      </c>
      <c r="B11" s="27" t="s">
        <v>11</v>
      </c>
      <c r="D11" s="356">
        <v>26074068</v>
      </c>
      <c r="E11" s="357">
        <v>233982.39</v>
      </c>
      <c r="F11" s="357">
        <v>13794273.039999999</v>
      </c>
      <c r="G11" s="357">
        <f>F11-D11</f>
        <v>-12279794.960000001</v>
      </c>
      <c r="H11" s="39">
        <f>F11/D11</f>
        <v>0.52904184494724793</v>
      </c>
      <c r="I11" s="40">
        <f>I10</f>
        <v>0.41666666666666669</v>
      </c>
    </row>
    <row r="12" spans="1:9">
      <c r="A12" s="26">
        <v>5900</v>
      </c>
      <c r="B12" s="27" t="s">
        <v>12</v>
      </c>
      <c r="D12" s="358">
        <v>275000</v>
      </c>
      <c r="E12" s="359">
        <v>10518.29</v>
      </c>
      <c r="F12" s="359">
        <v>219091.73</v>
      </c>
      <c r="G12" s="359">
        <f>F12-D12</f>
        <v>-55908.26999999999</v>
      </c>
      <c r="H12" s="436">
        <f>F12/D12</f>
        <v>0.79669719999999999</v>
      </c>
      <c r="I12" s="437">
        <f>I10</f>
        <v>0.41666666666666669</v>
      </c>
    </row>
    <row r="13" spans="1:9">
      <c r="A13" s="34" t="s">
        <v>49</v>
      </c>
      <c r="D13" s="355">
        <f>SUM(D10:D12)</f>
        <v>49517614</v>
      </c>
      <c r="E13" s="234">
        <f>SUM(E10:E12)</f>
        <v>5347493.5299999993</v>
      </c>
      <c r="F13" s="234">
        <f>SUM(F10:F12)</f>
        <v>36625633.889999993</v>
      </c>
      <c r="G13" s="234">
        <f>F13-D13</f>
        <v>-12891980.110000007</v>
      </c>
      <c r="H13" s="44">
        <f>F13/D13</f>
        <v>0.73964860039500269</v>
      </c>
      <c r="I13" s="41">
        <f>I10</f>
        <v>0.41666666666666669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30377328</v>
      </c>
      <c r="E16" s="357">
        <v>2836475.66</v>
      </c>
      <c r="F16" s="357">
        <f>122860.97+14447558.25</f>
        <v>14570419.220000001</v>
      </c>
      <c r="G16" s="357">
        <f>D16-F16</f>
        <v>15806908.779999999</v>
      </c>
      <c r="H16" s="238">
        <f t="shared" ref="H16:H25" si="0">F16/D16</f>
        <v>0.47964782221793834</v>
      </c>
      <c r="I16" s="237">
        <f>5/12</f>
        <v>0.41666666666666669</v>
      </c>
    </row>
    <row r="17" spans="1:9">
      <c r="A17" s="42" t="s">
        <v>52</v>
      </c>
      <c r="B17" s="27" t="s">
        <v>53</v>
      </c>
      <c r="D17" s="356">
        <v>660864</v>
      </c>
      <c r="E17" s="357">
        <v>57507.93</v>
      </c>
      <c r="F17" s="357">
        <f>3173.75+305203.93</f>
        <v>308377.68</v>
      </c>
      <c r="G17" s="357">
        <f t="shared" ref="G17:G30" si="1">D17-F17</f>
        <v>352486.32</v>
      </c>
      <c r="H17" s="39">
        <f t="shared" si="0"/>
        <v>0.46662805055200463</v>
      </c>
      <c r="I17" s="237">
        <f>$I$16</f>
        <v>0.41666666666666669</v>
      </c>
    </row>
    <row r="18" spans="1:9">
      <c r="A18" s="42" t="s">
        <v>54</v>
      </c>
      <c r="B18" s="235" t="s">
        <v>242</v>
      </c>
      <c r="D18" s="356">
        <v>528683</v>
      </c>
      <c r="E18" s="357">
        <v>42840.37</v>
      </c>
      <c r="F18" s="357">
        <f>9664.29+195221.12</f>
        <v>204885.41</v>
      </c>
      <c r="G18" s="357">
        <f t="shared" si="1"/>
        <v>323797.58999999997</v>
      </c>
      <c r="H18" s="238">
        <f t="shared" si="0"/>
        <v>0.38753924374341525</v>
      </c>
      <c r="I18" s="237">
        <f t="shared" ref="I18:I35" si="2">$I$16</f>
        <v>0.41666666666666669</v>
      </c>
    </row>
    <row r="19" spans="1:9">
      <c r="A19" s="42" t="s">
        <v>55</v>
      </c>
      <c r="B19" s="235" t="s">
        <v>241</v>
      </c>
      <c r="D19" s="356">
        <v>612563</v>
      </c>
      <c r="E19" s="357">
        <v>46245.73</v>
      </c>
      <c r="F19" s="357">
        <f>7071.73+228348.43</f>
        <v>235420.16</v>
      </c>
      <c r="G19" s="357">
        <f t="shared" si="1"/>
        <v>377142.83999999997</v>
      </c>
      <c r="H19" s="39">
        <f t="shared" si="0"/>
        <v>0.38431991484957467</v>
      </c>
      <c r="I19" s="237">
        <f t="shared" si="2"/>
        <v>0.41666666666666669</v>
      </c>
    </row>
    <row r="20" spans="1:9">
      <c r="A20" s="42" t="s">
        <v>56</v>
      </c>
      <c r="B20" s="235" t="s">
        <v>240</v>
      </c>
      <c r="D20" s="356">
        <v>3168552</v>
      </c>
      <c r="E20" s="357">
        <v>283959.15999999997</v>
      </c>
      <c r="F20" s="357">
        <f>15070.81+1406595.41</f>
        <v>1421666.22</v>
      </c>
      <c r="G20" s="357">
        <f t="shared" si="1"/>
        <v>1746885.78</v>
      </c>
      <c r="H20" s="39">
        <f t="shared" si="0"/>
        <v>0.44868009740726994</v>
      </c>
      <c r="I20" s="237">
        <f t="shared" si="2"/>
        <v>0.41666666666666669</v>
      </c>
    </row>
    <row r="21" spans="1:9">
      <c r="A21" s="42" t="s">
        <v>57</v>
      </c>
      <c r="B21" s="235" t="s">
        <v>243</v>
      </c>
      <c r="D21" s="356">
        <v>1683787</v>
      </c>
      <c r="E21" s="357">
        <v>139279.91</v>
      </c>
      <c r="F21" s="357">
        <f>15882.07+658335.92</f>
        <v>674217.99</v>
      </c>
      <c r="G21" s="357">
        <f t="shared" si="1"/>
        <v>1009569.01</v>
      </c>
      <c r="H21" s="39">
        <f t="shared" si="0"/>
        <v>0.40041762408190584</v>
      </c>
      <c r="I21" s="237">
        <f t="shared" si="2"/>
        <v>0.41666666666666669</v>
      </c>
    </row>
    <row r="22" spans="1:9">
      <c r="A22" s="42" t="s">
        <v>58</v>
      </c>
      <c r="B22" s="235" t="s">
        <v>244</v>
      </c>
      <c r="D22" s="356">
        <v>13000</v>
      </c>
      <c r="E22" s="357">
        <v>0</v>
      </c>
      <c r="F22" s="357">
        <f>12106.86+193.14</f>
        <v>12300</v>
      </c>
      <c r="G22" s="357">
        <f t="shared" si="1"/>
        <v>700</v>
      </c>
      <c r="H22" s="39">
        <f t="shared" si="0"/>
        <v>0.94615384615384612</v>
      </c>
      <c r="I22" s="237">
        <f t="shared" si="2"/>
        <v>0.41666666666666669</v>
      </c>
    </row>
    <row r="23" spans="1:9">
      <c r="A23" s="42" t="s">
        <v>59</v>
      </c>
      <c r="B23" s="27" t="s">
        <v>60</v>
      </c>
      <c r="D23" s="356">
        <v>473366</v>
      </c>
      <c r="E23" s="357">
        <v>43949.21</v>
      </c>
      <c r="F23" s="357">
        <f>1167.17+228879.64</f>
        <v>230046.81000000003</v>
      </c>
      <c r="G23" s="357">
        <f t="shared" si="1"/>
        <v>243319.18999999997</v>
      </c>
      <c r="H23" s="39">
        <f t="shared" si="0"/>
        <v>0.48598084780064482</v>
      </c>
      <c r="I23" s="237">
        <f t="shared" si="2"/>
        <v>0.41666666666666669</v>
      </c>
    </row>
    <row r="24" spans="1:9">
      <c r="A24" s="42" t="s">
        <v>61</v>
      </c>
      <c r="B24" s="27" t="s">
        <v>62</v>
      </c>
      <c r="D24" s="356">
        <v>1548150</v>
      </c>
      <c r="E24" s="441">
        <v>115322.33</v>
      </c>
      <c r="F24" s="357">
        <f>339.75+581332.26</f>
        <v>581672.01</v>
      </c>
      <c r="G24" s="357">
        <f t="shared" si="1"/>
        <v>966477.99</v>
      </c>
      <c r="H24" s="39">
        <f t="shared" si="0"/>
        <v>0.37572070535800794</v>
      </c>
      <c r="I24" s="237">
        <f t="shared" si="2"/>
        <v>0.41666666666666669</v>
      </c>
    </row>
    <row r="25" spans="1:9">
      <c r="A25" s="42" t="s">
        <v>63</v>
      </c>
      <c r="B25" s="27" t="s">
        <v>64</v>
      </c>
      <c r="D25" s="356">
        <v>74460</v>
      </c>
      <c r="E25" s="357">
        <v>6083.05</v>
      </c>
      <c r="F25" s="357">
        <v>30469.13</v>
      </c>
      <c r="G25" s="357">
        <f t="shared" si="1"/>
        <v>43990.869999999995</v>
      </c>
      <c r="H25" s="39">
        <f t="shared" si="0"/>
        <v>0.40920131614289551</v>
      </c>
      <c r="I25" s="237">
        <f t="shared" si="2"/>
        <v>0.41666666666666669</v>
      </c>
    </row>
    <row r="26" spans="1:9">
      <c r="A26" s="42" t="s">
        <v>65</v>
      </c>
      <c r="B26" s="27" t="s">
        <v>66</v>
      </c>
      <c r="D26" s="356">
        <v>1361190</v>
      </c>
      <c r="E26" s="357">
        <v>122990.63</v>
      </c>
      <c r="F26" s="357">
        <f>39662.6+638487.84</f>
        <v>678150.44</v>
      </c>
      <c r="G26" s="357">
        <f t="shared" si="1"/>
        <v>683039.56</v>
      </c>
      <c r="H26" s="39">
        <f t="shared" ref="H26:H33" si="3">F26/D26</f>
        <v>0.49820410082354405</v>
      </c>
      <c r="I26" s="237">
        <f t="shared" si="2"/>
        <v>0.41666666666666669</v>
      </c>
    </row>
    <row r="27" spans="1:9">
      <c r="A27" s="42" t="s">
        <v>67</v>
      </c>
      <c r="B27" s="27" t="s">
        <v>68</v>
      </c>
      <c r="D27" s="356">
        <v>1900189</v>
      </c>
      <c r="E27" s="357">
        <v>180701.95</v>
      </c>
      <c r="F27" s="357">
        <f>19758.49+766976.44</f>
        <v>786734.92999999993</v>
      </c>
      <c r="G27" s="357">
        <f t="shared" si="1"/>
        <v>1113454.07</v>
      </c>
      <c r="H27" s="39">
        <f t="shared" si="3"/>
        <v>0.41402983071683919</v>
      </c>
      <c r="I27" s="237">
        <f t="shared" si="2"/>
        <v>0.41666666666666669</v>
      </c>
    </row>
    <row r="28" spans="1:9">
      <c r="A28" s="42" t="s">
        <v>69</v>
      </c>
      <c r="B28" s="235" t="s">
        <v>70</v>
      </c>
      <c r="D28" s="356">
        <v>5186553</v>
      </c>
      <c r="E28" s="357">
        <v>489052.34</v>
      </c>
      <c r="F28" s="441">
        <f>145970.62+2147401.6</f>
        <v>2293372.2200000002</v>
      </c>
      <c r="G28" s="357">
        <f t="shared" si="1"/>
        <v>2893180.78</v>
      </c>
      <c r="H28" s="39">
        <f t="shared" si="3"/>
        <v>0.44217657083616041</v>
      </c>
      <c r="I28" s="237">
        <f t="shared" si="2"/>
        <v>0.41666666666666669</v>
      </c>
    </row>
    <row r="29" spans="1:9">
      <c r="A29" s="42" t="s">
        <v>71</v>
      </c>
      <c r="B29" s="235" t="s">
        <v>245</v>
      </c>
      <c r="D29" s="356">
        <v>482604</v>
      </c>
      <c r="E29" s="357">
        <v>76307.039999999994</v>
      </c>
      <c r="F29" s="357">
        <f>3071.96+207721.84</f>
        <v>210793.8</v>
      </c>
      <c r="G29" s="357">
        <f t="shared" si="1"/>
        <v>271810.2</v>
      </c>
      <c r="H29" s="39">
        <f t="shared" si="3"/>
        <v>0.43678419573812066</v>
      </c>
      <c r="I29" s="237">
        <f t="shared" si="2"/>
        <v>0.41666666666666669</v>
      </c>
    </row>
    <row r="30" spans="1:9">
      <c r="A30" s="42" t="s">
        <v>72</v>
      </c>
      <c r="B30" s="27" t="s">
        <v>73</v>
      </c>
      <c r="D30" s="356">
        <v>964125</v>
      </c>
      <c r="E30" s="357">
        <v>49219.25</v>
      </c>
      <c r="F30" s="357">
        <f>535.88+347183.38</f>
        <v>347719.26</v>
      </c>
      <c r="G30" s="357">
        <f t="shared" si="1"/>
        <v>616405.74</v>
      </c>
      <c r="H30" s="43">
        <f t="shared" si="3"/>
        <v>0.36065786075457024</v>
      </c>
      <c r="I30" s="40">
        <f t="shared" si="2"/>
        <v>0.41666666666666669</v>
      </c>
    </row>
    <row r="31" spans="1:9">
      <c r="A31" s="42" t="s">
        <v>74</v>
      </c>
      <c r="B31" s="27" t="s">
        <v>75</v>
      </c>
      <c r="D31" s="356">
        <v>36831</v>
      </c>
      <c r="E31" s="357">
        <v>2974.87</v>
      </c>
      <c r="F31" s="357">
        <v>14927</v>
      </c>
      <c r="G31" s="357">
        <f>D31-F31</f>
        <v>21904</v>
      </c>
      <c r="H31" s="43">
        <f t="shared" si="3"/>
        <v>0.40528359262577718</v>
      </c>
      <c r="I31" s="40">
        <f t="shared" si="2"/>
        <v>0.41666666666666669</v>
      </c>
    </row>
    <row r="32" spans="1:9">
      <c r="A32" s="42" t="s">
        <v>76</v>
      </c>
      <c r="B32" s="27" t="s">
        <v>77</v>
      </c>
      <c r="D32" s="356">
        <v>850606</v>
      </c>
      <c r="E32" s="357">
        <v>102117.9</v>
      </c>
      <c r="F32" s="357">
        <v>510291.7</v>
      </c>
      <c r="G32" s="357">
        <f>D32-F32</f>
        <v>340314.3</v>
      </c>
      <c r="H32" s="43">
        <f t="shared" si="3"/>
        <v>0.59991547202817752</v>
      </c>
      <c r="I32" s="40">
        <f t="shared" si="2"/>
        <v>0.41666666666666669</v>
      </c>
    </row>
    <row r="33" spans="1:10">
      <c r="A33" s="42" t="s">
        <v>78</v>
      </c>
      <c r="B33" s="27" t="s">
        <v>79</v>
      </c>
      <c r="D33" s="356">
        <v>1156572</v>
      </c>
      <c r="E33" s="357">
        <v>207834.7</v>
      </c>
      <c r="F33" s="357">
        <f>562016.95+737668.21</f>
        <v>1299685.1599999999</v>
      </c>
      <c r="G33" s="357">
        <f>D33-F33</f>
        <v>-143113.15999999992</v>
      </c>
      <c r="H33" s="43">
        <f t="shared" si="3"/>
        <v>1.1237390841210058</v>
      </c>
      <c r="I33" s="40">
        <f t="shared" si="2"/>
        <v>0.41666666666666669</v>
      </c>
    </row>
    <row r="34" spans="1:10">
      <c r="A34" s="42" t="s">
        <v>80</v>
      </c>
      <c r="B34" s="27" t="s">
        <v>81</v>
      </c>
      <c r="D34" s="356">
        <v>32000</v>
      </c>
      <c r="E34" s="357">
        <v>1335</v>
      </c>
      <c r="F34" s="357">
        <v>2937</v>
      </c>
      <c r="G34" s="357">
        <f>D34-F34</f>
        <v>29063</v>
      </c>
      <c r="H34" s="43">
        <f>F34/D34</f>
        <v>9.1781249999999995E-2</v>
      </c>
      <c r="I34" s="40">
        <f t="shared" si="2"/>
        <v>0.41666666666666669</v>
      </c>
    </row>
    <row r="35" spans="1:10">
      <c r="A35" s="42" t="s">
        <v>246</v>
      </c>
      <c r="B35" s="235" t="s">
        <v>247</v>
      </c>
      <c r="D35" s="358">
        <v>245000</v>
      </c>
      <c r="E35" s="359">
        <v>0</v>
      </c>
      <c r="F35" s="359">
        <v>119424.96000000001</v>
      </c>
      <c r="G35" s="438">
        <f>D35-F35</f>
        <v>125575.03999999999</v>
      </c>
      <c r="H35" s="439">
        <f>F35/D35</f>
        <v>0.48744881632653064</v>
      </c>
      <c r="I35" s="437">
        <f t="shared" si="2"/>
        <v>0.41666666666666669</v>
      </c>
    </row>
    <row r="36" spans="1:10">
      <c r="A36" s="34" t="s">
        <v>31</v>
      </c>
      <c r="D36" s="355">
        <f>SUM(D16:D35)</f>
        <v>51356423</v>
      </c>
      <c r="E36" s="234">
        <f>SUM(E16:E35)</f>
        <v>4804197.0300000012</v>
      </c>
      <c r="F36" s="234">
        <f>SUM(F16:F35)</f>
        <v>24533511.100000001</v>
      </c>
      <c r="G36" s="234">
        <f>SUM(G16:G35)</f>
        <v>26822911.900000002</v>
      </c>
      <c r="H36" s="44">
        <f>F36/D36</f>
        <v>0.47771066727135575</v>
      </c>
      <c r="I36" s="41">
        <f>I16</f>
        <v>0.41666666666666669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0</v>
      </c>
      <c r="F39" s="232">
        <v>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0</v>
      </c>
      <c r="F41" s="232">
        <f>+F39-F40</f>
        <v>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98" t="s">
        <v>327</v>
      </c>
      <c r="C43" s="235"/>
      <c r="D43" s="513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19814931.420000002</v>
      </c>
      <c r="E45" s="231"/>
      <c r="F45" s="231">
        <f>(F13-F36)+F41+F43</f>
        <v>33745863.209999993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K37" sqref="K37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f>+G43</f>
        <v>16548094.269999992</v>
      </c>
      <c r="J7" s="261"/>
      <c r="K7" s="247">
        <f>+I43</f>
        <v>23857097.499999993</v>
      </c>
      <c r="L7" s="261"/>
      <c r="M7" s="247">
        <v>0</v>
      </c>
      <c r="N7" s="261"/>
      <c r="O7" s="247">
        <f>+M43</f>
        <v>0</v>
      </c>
      <c r="P7" s="261"/>
      <c r="Q7" s="247">
        <f>+O43</f>
        <v>0</v>
      </c>
      <c r="R7" s="261"/>
      <c r="S7" s="247">
        <f>+Q43</f>
        <v>0</v>
      </c>
      <c r="T7" s="261"/>
      <c r="U7" s="247">
        <f>+S43</f>
        <v>0</v>
      </c>
      <c r="V7" s="261"/>
      <c r="W7" s="247">
        <f>+U43</f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13614100.23</v>
      </c>
      <c r="J10" s="261"/>
      <c r="K10" s="182">
        <v>5696623.7300000004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>SUM(C10:Y10)</f>
        <v>20887776.420000002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3991.02</v>
      </c>
      <c r="J11" s="261"/>
      <c r="K11" s="182">
        <v>7325.33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23057.75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100653.35</v>
      </c>
      <c r="J12" s="261"/>
      <c r="K12" s="251">
        <v>122059.4</v>
      </c>
      <c r="L12" s="261"/>
      <c r="M12" s="25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902019.02999999991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185006</v>
      </c>
      <c r="J13" s="261"/>
      <c r="K13" s="182">
        <v>56167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249219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0</v>
      </c>
      <c r="R14" s="261"/>
      <c r="S14" s="182">
        <v>0</v>
      </c>
      <c r="T14" s="261"/>
      <c r="U14" s="182">
        <v>0</v>
      </c>
      <c r="V14" s="261"/>
      <c r="W14" s="182">
        <v>0</v>
      </c>
      <c r="X14" s="261"/>
      <c r="Y14" s="182">
        <v>0</v>
      </c>
      <c r="Z14" s="183"/>
      <c r="AB14" s="248">
        <f t="shared" si="0"/>
        <v>11175880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0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877199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1450</v>
      </c>
      <c r="L16" s="261"/>
      <c r="M16" s="182">
        <v>0</v>
      </c>
      <c r="N16" s="261"/>
      <c r="O16" s="182">
        <v>0</v>
      </c>
      <c r="P16" s="261"/>
      <c r="Q16" s="182">
        <v>0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236547.75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19449.560000000001</v>
      </c>
      <c r="J17" s="261"/>
      <c r="K17" s="182">
        <v>10518.29</v>
      </c>
      <c r="L17" s="261"/>
      <c r="M17" s="253">
        <v>0</v>
      </c>
      <c r="N17" s="261"/>
      <c r="O17" s="182">
        <v>0</v>
      </c>
      <c r="P17" s="261"/>
      <c r="Q17" s="182">
        <v>0</v>
      </c>
      <c r="R17" s="261"/>
      <c r="S17" s="182">
        <v>0</v>
      </c>
      <c r="T17" s="261"/>
      <c r="U17" s="250">
        <v>0</v>
      </c>
      <c r="V17" s="261"/>
      <c r="W17" s="182">
        <v>0</v>
      </c>
      <c r="X17" s="261"/>
      <c r="Y17" s="182">
        <v>0</v>
      </c>
      <c r="Z17" s="183"/>
      <c r="AB17" s="248">
        <f t="shared" si="0"/>
        <v>88715.729999999981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107554.55</v>
      </c>
      <c r="J18" s="261"/>
      <c r="K18" s="251">
        <v>105253.36</v>
      </c>
      <c r="L18" s="261"/>
      <c r="M18" s="182">
        <v>0</v>
      </c>
      <c r="N18" s="261"/>
      <c r="O18" s="182">
        <v>0</v>
      </c>
      <c r="P18" s="261"/>
      <c r="Q18" s="182">
        <v>0</v>
      </c>
      <c r="R18" s="261"/>
      <c r="S18" s="182">
        <v>0</v>
      </c>
      <c r="T18" s="261"/>
      <c r="U18" s="250">
        <v>0</v>
      </c>
      <c r="V18" s="261"/>
      <c r="W18" s="182">
        <v>0</v>
      </c>
      <c r="X18" s="261"/>
      <c r="Y18" s="182">
        <v>0</v>
      </c>
      <c r="Z18" s="183"/>
      <c r="AB18" s="248">
        <f t="shared" si="0"/>
        <v>724709.98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153448.43</v>
      </c>
      <c r="J19" s="261"/>
      <c r="K19" s="182">
        <v>142194.04999999999</v>
      </c>
      <c r="L19" s="261"/>
      <c r="M19" s="182">
        <v>0</v>
      </c>
      <c r="N19" s="261"/>
      <c r="O19" s="182">
        <v>0</v>
      </c>
      <c r="P19" s="261"/>
      <c r="Q19" s="182">
        <v>0</v>
      </c>
      <c r="R19" s="261"/>
      <c r="S19" s="182">
        <v>0</v>
      </c>
      <c r="T19" s="261"/>
      <c r="U19" s="182">
        <v>0</v>
      </c>
      <c r="V19" s="261"/>
      <c r="W19" s="182">
        <v>0</v>
      </c>
      <c r="X19" s="261"/>
      <c r="Y19" s="182">
        <v>0</v>
      </c>
      <c r="Z19" s="183"/>
      <c r="AB19" s="248">
        <f t="shared" si="0"/>
        <v>781819.21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99043.81</v>
      </c>
      <c r="J20" s="261"/>
      <c r="K20" s="182">
        <v>126398.23</v>
      </c>
      <c r="L20" s="261"/>
      <c r="M20" s="252">
        <v>0</v>
      </c>
      <c r="N20" s="261"/>
      <c r="O20" s="182">
        <v>0</v>
      </c>
      <c r="P20" s="261"/>
      <c r="Q20" s="182">
        <v>0</v>
      </c>
      <c r="R20" s="261"/>
      <c r="S20" s="182">
        <v>0</v>
      </c>
      <c r="T20" s="261"/>
      <c r="U20" s="182">
        <v>0</v>
      </c>
      <c r="V20" s="261"/>
      <c r="W20" s="182">
        <v>0</v>
      </c>
      <c r="X20" s="261"/>
      <c r="Y20" s="182">
        <v>0</v>
      </c>
      <c r="Z20" s="183"/>
      <c r="AB20" s="248">
        <f t="shared" si="0"/>
        <v>658737.33000000007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1182.6199999999999</v>
      </c>
      <c r="J21" s="261"/>
      <c r="K21" s="182">
        <v>1182.6199999999999</v>
      </c>
      <c r="L21" s="261"/>
      <c r="M21" s="252">
        <v>0</v>
      </c>
      <c r="N21" s="261"/>
      <c r="O21" s="182">
        <v>0</v>
      </c>
      <c r="P21" s="261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 t="shared" si="0"/>
        <v>3878.08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4953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14284429.57</v>
      </c>
      <c r="J25" s="261"/>
      <c r="K25" s="247">
        <f>SUM(K10:K24)</f>
        <v>6269172.0100000016</v>
      </c>
      <c r="L25" s="261"/>
      <c r="M25" s="247">
        <f>SUM(M10:M24)</f>
        <v>0</v>
      </c>
      <c r="N25" s="261"/>
      <c r="O25" s="247">
        <f>SUM(O10:O24)</f>
        <v>0</v>
      </c>
      <c r="P25" s="261"/>
      <c r="Q25" s="247">
        <f>SUM(Q10:Q24)</f>
        <v>0</v>
      </c>
      <c r="R25" s="261"/>
      <c r="S25" s="247">
        <f>SUM(S10:S24)</f>
        <v>0</v>
      </c>
      <c r="T25" s="261"/>
      <c r="U25" s="247">
        <f>SUM(U10:U24)</f>
        <v>0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39250475.710000001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2361824.96</v>
      </c>
      <c r="J28" s="261"/>
      <c r="K28" s="250">
        <v>2320194.92</v>
      </c>
      <c r="L28" s="261"/>
      <c r="M28" s="250">
        <v>0</v>
      </c>
      <c r="N28" s="261"/>
      <c r="O28" s="250">
        <v>0</v>
      </c>
      <c r="P28" s="261"/>
      <c r="Q28" s="250">
        <v>0</v>
      </c>
      <c r="R28" s="261"/>
      <c r="S28" s="250">
        <v>0</v>
      </c>
      <c r="T28" s="261"/>
      <c r="U28" s="250">
        <v>0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11658635.200000001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2793566.84</v>
      </c>
      <c r="J29" s="261"/>
      <c r="K29" s="255">
        <v>1112533.71</v>
      </c>
      <c r="L29" s="261"/>
      <c r="M29" s="255">
        <v>0</v>
      </c>
      <c r="N29" s="182"/>
      <c r="O29" s="255">
        <v>0</v>
      </c>
      <c r="P29" s="182"/>
      <c r="Q29" s="255">
        <v>0</v>
      </c>
      <c r="R29" s="261"/>
      <c r="S29" s="255">
        <v>0</v>
      </c>
      <c r="T29" s="261"/>
      <c r="U29" s="255">
        <v>0</v>
      </c>
      <c r="V29" s="261"/>
      <c r="W29" s="255">
        <v>0</v>
      </c>
      <c r="X29" s="261"/>
      <c r="Y29" s="255">
        <v>0</v>
      </c>
      <c r="Z29" s="183"/>
      <c r="AB29" s="248">
        <f t="shared" si="1"/>
        <v>11526904.84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614348.81999999995</v>
      </c>
      <c r="J30" s="261"/>
      <c r="K30" s="182">
        <v>278047</v>
      </c>
      <c r="L30" s="261"/>
      <c r="M30" s="182">
        <v>0</v>
      </c>
      <c r="N30" s="261"/>
      <c r="O30" s="182">
        <v>0</v>
      </c>
      <c r="P30" s="261"/>
      <c r="Q30" s="182">
        <v>0</v>
      </c>
      <c r="R30" s="261"/>
      <c r="S30" s="182">
        <v>0</v>
      </c>
      <c r="T30" s="261"/>
      <c r="U30" s="182">
        <v>0</v>
      </c>
      <c r="V30" s="261"/>
      <c r="W30" s="182">
        <v>0</v>
      </c>
      <c r="X30" s="261"/>
      <c r="Y30" s="182">
        <v>0</v>
      </c>
      <c r="Z30" s="183"/>
      <c r="AB30" s="248">
        <f t="shared" si="1"/>
        <v>2752682.9799999995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328151.71999999997</v>
      </c>
      <c r="J31" s="261"/>
      <c r="K31" s="182">
        <v>324020.73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 t="shared" si="1"/>
        <v>1633875.73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335</v>
      </c>
      <c r="J32" s="261"/>
      <c r="K32" s="256">
        <v>580</v>
      </c>
      <c r="L32" s="261"/>
      <c r="M32" s="256">
        <v>0</v>
      </c>
      <c r="N32" s="261"/>
      <c r="O32" s="256">
        <v>0</v>
      </c>
      <c r="P32" s="261"/>
      <c r="Q32" s="256">
        <v>0</v>
      </c>
      <c r="R32" s="261"/>
      <c r="S32" s="256">
        <v>0</v>
      </c>
      <c r="T32" s="261"/>
      <c r="U32" s="256">
        <v>0</v>
      </c>
      <c r="V32" s="261"/>
      <c r="W32" s="256">
        <v>0</v>
      </c>
      <c r="X32" s="261"/>
      <c r="Y32" s="256">
        <v>0</v>
      </c>
      <c r="Z32" s="257"/>
      <c r="AB32" s="254">
        <f t="shared" si="1"/>
        <v>2687.39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6098227.3399999999</v>
      </c>
      <c r="J33" s="261"/>
      <c r="K33" s="247">
        <f>SUM(K28:K32)</f>
        <v>4035376.36</v>
      </c>
      <c r="L33" s="261"/>
      <c r="M33" s="247">
        <f>SUM(M28:M32)</f>
        <v>0</v>
      </c>
      <c r="N33" s="261"/>
      <c r="O33" s="247">
        <f>SUM(O28:O32)</f>
        <v>0</v>
      </c>
      <c r="P33" s="261"/>
      <c r="Q33" s="247">
        <f>SUM(Q28:Q32)</f>
        <v>0</v>
      </c>
      <c r="R33" s="261"/>
      <c r="S33" s="247">
        <f>SUM(S28:S32)</f>
        <v>0</v>
      </c>
      <c r="T33" s="261"/>
      <c r="U33" s="247">
        <f>SUM(U28:U32)</f>
        <v>0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27574786.140000001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877199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877199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6975426.3399999999</v>
      </c>
      <c r="J39" s="261"/>
      <c r="K39" s="247">
        <f>SUM(K35:K38)+K33</f>
        <v>4035376.36</v>
      </c>
      <c r="L39" s="261"/>
      <c r="M39" s="247">
        <f>SUM(M35:M38)+M33</f>
        <v>0</v>
      </c>
      <c r="N39" s="261"/>
      <c r="O39" s="247">
        <f>SUM(O35:O38)+O33</f>
        <v>0</v>
      </c>
      <c r="P39" s="261"/>
      <c r="Q39" s="247">
        <f>SUM(Q35:Q38)+Q33</f>
        <v>0</v>
      </c>
      <c r="R39" s="261"/>
      <c r="S39" s="247">
        <f>SUM(S35:S38)+S33</f>
        <v>0</v>
      </c>
      <c r="T39" s="261"/>
      <c r="U39" s="247">
        <f>SUM(U35:U38)+U33</f>
        <v>0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28451985.140000001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7309003.2300000004</v>
      </c>
      <c r="J41" s="261"/>
      <c r="K41" s="247">
        <f>+K25-K39</f>
        <v>2233795.6500000018</v>
      </c>
      <c r="L41" s="261"/>
      <c r="M41" s="247">
        <f>+M25-M39</f>
        <v>0</v>
      </c>
      <c r="N41" s="261"/>
      <c r="O41" s="247">
        <f>+O25-O39</f>
        <v>0</v>
      </c>
      <c r="P41" s="261"/>
      <c r="Q41" s="247">
        <f>+Q25-Q39</f>
        <v>0</v>
      </c>
      <c r="R41" s="261"/>
      <c r="S41" s="247">
        <f>+S25-S39</f>
        <v>0</v>
      </c>
      <c r="T41" s="261"/>
      <c r="U41" s="182">
        <f>+U25-U39</f>
        <v>0</v>
      </c>
      <c r="V41" s="261"/>
      <c r="W41" s="182">
        <f>+W25-W39</f>
        <v>0</v>
      </c>
      <c r="Y41" s="182">
        <f>+Y25-Y39</f>
        <v>0</v>
      </c>
      <c r="AB41" s="182">
        <f>SUM(C41:Y41)</f>
        <v>10798490.570000002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16548094.269999992</v>
      </c>
      <c r="H43" s="266"/>
      <c r="I43" s="456">
        <f>+I7+I41</f>
        <v>23857097.499999993</v>
      </c>
      <c r="J43" s="266"/>
      <c r="K43" s="456">
        <f>+K7+K41</f>
        <v>26090893.149999995</v>
      </c>
      <c r="L43" s="266"/>
      <c r="M43" s="456">
        <f>+M7+M41</f>
        <v>0</v>
      </c>
      <c r="N43" s="266"/>
      <c r="O43" s="456">
        <f>+O7+O41</f>
        <v>0</v>
      </c>
      <c r="P43" s="266"/>
      <c r="Q43" s="456">
        <f>+Q7+Q41</f>
        <v>0</v>
      </c>
      <c r="R43" s="266"/>
      <c r="S43" s="456">
        <f>+S7+S41</f>
        <v>0</v>
      </c>
      <c r="T43" s="266"/>
      <c r="U43" s="456">
        <f>+U7+U41</f>
        <v>0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26090893.149999991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f>+G46+G49</f>
        <v>12164702.539999999</v>
      </c>
      <c r="J46" s="261"/>
      <c r="K46" s="182">
        <f>+I46+I49</f>
        <v>12165964.939999999</v>
      </c>
      <c r="L46" s="261"/>
      <c r="M46" s="182">
        <v>0</v>
      </c>
      <c r="N46" s="261"/>
      <c r="O46" s="182">
        <v>0</v>
      </c>
      <c r="P46" s="261"/>
      <c r="Q46" s="182">
        <v>0</v>
      </c>
      <c r="R46" s="261"/>
      <c r="S46" s="182">
        <v>0</v>
      </c>
      <c r="T46" s="261"/>
      <c r="U46" s="182">
        <v>0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f>+G47+G50</f>
        <v>1378886.4700000002</v>
      </c>
      <c r="J47" s="261"/>
      <c r="K47" s="182">
        <f>+I47+I50</f>
        <v>1378945.1</v>
      </c>
      <c r="L47" s="261"/>
      <c r="M47" s="182">
        <v>0</v>
      </c>
      <c r="N47" s="261"/>
      <c r="O47" s="182">
        <v>0</v>
      </c>
      <c r="P47" s="261"/>
      <c r="Q47" s="182">
        <v>0</v>
      </c>
      <c r="R47" s="261"/>
      <c r="S47" s="182">
        <v>0</v>
      </c>
      <c r="T47" s="261"/>
      <c r="U47" s="182">
        <v>0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f>+G48+G51</f>
        <v>1809119.7599999995</v>
      </c>
      <c r="J48" s="261"/>
      <c r="K48" s="182">
        <f>+I48+I51</f>
        <v>1809265.8199999996</v>
      </c>
      <c r="L48" s="261"/>
      <c r="M48" s="182">
        <v>0</v>
      </c>
      <c r="N48" s="261"/>
      <c r="O48" s="182">
        <v>0</v>
      </c>
      <c r="P48" s="261"/>
      <c r="Q48" s="182">
        <v>0</v>
      </c>
      <c r="R48" s="261"/>
      <c r="S48" s="182">
        <v>0</v>
      </c>
      <c r="T48" s="261"/>
      <c r="U48" s="182">
        <v>0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1262.4000000000001</v>
      </c>
      <c r="J49" s="261"/>
      <c r="K49" s="182">
        <v>1269.56</v>
      </c>
      <c r="L49" s="261"/>
      <c r="M49" s="182">
        <v>0</v>
      </c>
      <c r="N49" s="261"/>
      <c r="O49" s="182">
        <v>0</v>
      </c>
      <c r="P49" s="261"/>
      <c r="Q49" s="182">
        <v>0</v>
      </c>
      <c r="R49" s="261"/>
      <c r="S49" s="182">
        <v>0</v>
      </c>
      <c r="T49" s="261"/>
      <c r="U49" s="182">
        <v>0</v>
      </c>
      <c r="V49" s="261"/>
      <c r="W49" s="182">
        <v>0</v>
      </c>
      <c r="X49" s="261"/>
      <c r="Y49" s="182">
        <v>0</v>
      </c>
      <c r="Z49" s="183"/>
      <c r="AB49" s="248">
        <f>SUM(C49:AA49)</f>
        <v>6044.65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58.63</v>
      </c>
      <c r="J50" s="261"/>
      <c r="K50" s="182">
        <v>63.53</v>
      </c>
      <c r="L50" s="261"/>
      <c r="M50" s="182">
        <v>0</v>
      </c>
      <c r="N50" s="261"/>
      <c r="O50" s="182">
        <v>0</v>
      </c>
      <c r="P50" s="261"/>
      <c r="Q50" s="182">
        <v>0</v>
      </c>
      <c r="R50" s="261"/>
      <c r="S50" s="182">
        <v>0</v>
      </c>
      <c r="T50" s="261"/>
      <c r="U50" s="182">
        <v>0</v>
      </c>
      <c r="V50" s="261"/>
      <c r="W50" s="182">
        <v>0</v>
      </c>
      <c r="X50" s="261"/>
      <c r="Y50" s="182">
        <v>0</v>
      </c>
      <c r="Z50" s="183"/>
      <c r="AB50" s="248">
        <f>SUM(C50:AA50)</f>
        <v>247.04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146.06</v>
      </c>
      <c r="J51" s="261"/>
      <c r="K51" s="182">
        <v>161.08000000000001</v>
      </c>
      <c r="L51" s="261"/>
      <c r="M51" s="182">
        <v>0</v>
      </c>
      <c r="N51" s="261"/>
      <c r="O51" s="182">
        <v>0</v>
      </c>
      <c r="P51" s="261"/>
      <c r="Q51" s="182">
        <v>0</v>
      </c>
      <c r="R51" s="261"/>
      <c r="S51" s="182">
        <v>0</v>
      </c>
      <c r="T51" s="261"/>
      <c r="U51" s="182">
        <v>0</v>
      </c>
      <c r="V51" s="261"/>
      <c r="W51" s="182">
        <v>0</v>
      </c>
      <c r="X51" s="261"/>
      <c r="Y51" s="182">
        <v>0</v>
      </c>
      <c r="Z51" s="183"/>
      <c r="AB51" s="248">
        <f>SUM(C51:AA51)</f>
        <v>790.94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15354175.860000001</v>
      </c>
      <c r="J54" s="266"/>
      <c r="K54" s="247">
        <f>SUM(K46:K53)</f>
        <v>15355670.029999999</v>
      </c>
      <c r="L54" s="266"/>
      <c r="M54" s="247">
        <f>SUM(M46:M53)</f>
        <v>0</v>
      </c>
      <c r="N54" s="266"/>
      <c r="O54" s="247">
        <f>SUM(O46:O53)</f>
        <v>0</v>
      </c>
      <c r="P54" s="266"/>
      <c r="Q54" s="247">
        <f>SUM(Q46:Q53)</f>
        <v>0</v>
      </c>
      <c r="R54" s="266"/>
      <c r="S54" s="247">
        <f>SUM(S46:S53)</f>
        <v>0</v>
      </c>
      <c r="T54" s="266"/>
      <c r="U54" s="247">
        <f>SUM(U46:U53)</f>
        <v>0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15355670.029999997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31900803.039999988</v>
      </c>
      <c r="H56" s="266"/>
      <c r="I56" s="456">
        <f>+I43+I54</f>
        <v>39211273.359999992</v>
      </c>
      <c r="J56" s="266"/>
      <c r="K56" s="456">
        <f>+K43+K54</f>
        <v>41446563.179999992</v>
      </c>
      <c r="L56" s="266"/>
      <c r="M56" s="456">
        <f>+M43+M54</f>
        <v>0</v>
      </c>
      <c r="N56" s="266"/>
      <c r="O56" s="456">
        <f>+O43+O54</f>
        <v>0</v>
      </c>
      <c r="P56" s="266"/>
      <c r="Q56" s="456">
        <f>+Q43+Q54</f>
        <v>0</v>
      </c>
      <c r="R56" s="266"/>
      <c r="S56" s="456">
        <f>+S43+S54</f>
        <v>0</v>
      </c>
      <c r="T56" s="266"/>
      <c r="U56" s="456">
        <f>+U43+U54</f>
        <v>0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41446563.179999992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34" sqref="K34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f>+G27</f>
        <v>3226763.9400000004</v>
      </c>
      <c r="J7" s="261"/>
      <c r="K7" s="247">
        <f>+I27</f>
        <v>2655693.620000001</v>
      </c>
      <c r="L7" s="261"/>
      <c r="M7" s="247">
        <v>0</v>
      </c>
      <c r="N7" s="261"/>
      <c r="O7" s="247">
        <f>+M27</f>
        <v>0</v>
      </c>
      <c r="P7" s="261"/>
      <c r="Q7" s="247">
        <f>+O27</f>
        <v>0</v>
      </c>
      <c r="R7" s="261"/>
      <c r="S7" s="247">
        <f>+Q27</f>
        <v>0</v>
      </c>
      <c r="T7" s="261"/>
      <c r="U7" s="247">
        <f>+S27</f>
        <v>0</v>
      </c>
      <c r="V7" s="261"/>
      <c r="W7" s="247">
        <f>+U27</f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f>7427329.99-877199</f>
        <v>6550130.9900000002</v>
      </c>
      <c r="J10" s="261"/>
      <c r="K10" s="182">
        <v>2738468.97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10046091.34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1599.69</v>
      </c>
      <c r="J11" s="261"/>
      <c r="K11" s="182">
        <v>1416.67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si="0"/>
        <v>5670.2000000000007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0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877199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877199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7428929.6800000006</v>
      </c>
      <c r="J15" s="261"/>
      <c r="K15" s="247">
        <f>SUM(K10:K14)</f>
        <v>2739885.64</v>
      </c>
      <c r="L15" s="261"/>
      <c r="M15" s="247">
        <f>SUM(M10:M14)</f>
        <v>0</v>
      </c>
      <c r="N15" s="261"/>
      <c r="O15" s="247">
        <f>SUM(O10:O14)</f>
        <v>0</v>
      </c>
      <c r="P15" s="261"/>
      <c r="Q15" s="247">
        <f>SUM(Q10:Q14)</f>
        <v>0</v>
      </c>
      <c r="R15" s="261"/>
      <c r="S15" s="247">
        <f>SUM(S10:S14)</f>
        <v>0</v>
      </c>
      <c r="T15" s="261"/>
      <c r="U15" s="247">
        <f>SUM(U10:U14)</f>
        <v>0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10928960.540000001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8000000</v>
      </c>
      <c r="J21" s="261"/>
      <c r="K21" s="182">
        <v>0</v>
      </c>
      <c r="L21" s="261"/>
      <c r="M21" s="182">
        <v>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8000000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4953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8000000</v>
      </c>
      <c r="J23" s="261"/>
      <c r="K23" s="247">
        <f>SUM(K21:K22)+K19</f>
        <v>0</v>
      </c>
      <c r="L23" s="261"/>
      <c r="M23" s="247">
        <f>SUM(M21:M22)+M19</f>
        <v>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8004953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-571070.31999999937</v>
      </c>
      <c r="J25" s="261"/>
      <c r="K25" s="247">
        <f>+K15-K23</f>
        <v>2739885.64</v>
      </c>
      <c r="L25" s="261"/>
      <c r="M25" s="247">
        <f>+M15-M23</f>
        <v>0</v>
      </c>
      <c r="N25" s="261"/>
      <c r="O25" s="247">
        <f>+O15-O23</f>
        <v>0</v>
      </c>
      <c r="P25" s="261"/>
      <c r="Q25" s="247">
        <f>+Q15-Q23</f>
        <v>0</v>
      </c>
      <c r="R25" s="261"/>
      <c r="S25" s="247">
        <f>+S15-S23</f>
        <v>0</v>
      </c>
      <c r="T25" s="261"/>
      <c r="U25" s="247">
        <f>+U15-U23</f>
        <v>0</v>
      </c>
      <c r="V25" s="261"/>
      <c r="W25" s="247">
        <f>+W15-W23</f>
        <v>0</v>
      </c>
      <c r="Y25" s="247">
        <f>+Y15-Y23</f>
        <v>0</v>
      </c>
      <c r="AB25" s="182">
        <f>SUM(C25:Y25)</f>
        <v>2924007.540000001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3226763.9400000004</v>
      </c>
      <c r="H27" s="266"/>
      <c r="I27" s="456">
        <f>+I7+I25</f>
        <v>2655693.620000001</v>
      </c>
      <c r="J27" s="266"/>
      <c r="K27" s="456">
        <f>+K7+K25</f>
        <v>5395579.2600000016</v>
      </c>
      <c r="L27" s="266"/>
      <c r="M27" s="456">
        <f>+M7+M25</f>
        <v>0</v>
      </c>
      <c r="N27" s="266"/>
      <c r="O27" s="456">
        <f>+O7+O25</f>
        <v>0</v>
      </c>
      <c r="P27" s="266"/>
      <c r="Q27" s="456">
        <f>+Q7+Q25</f>
        <v>0</v>
      </c>
      <c r="R27" s="266"/>
      <c r="S27" s="456">
        <f>+S7+S25</f>
        <v>0</v>
      </c>
      <c r="T27" s="266"/>
      <c r="U27" s="456">
        <f>+U7+U25</f>
        <v>0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5395579.2600000016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f>+G30+G31</f>
        <v>1241079.45</v>
      </c>
      <c r="J30" s="261"/>
      <c r="K30" s="182">
        <f>+I30+I31+I32</f>
        <v>9241136.5199999996</v>
      </c>
      <c r="L30" s="261"/>
      <c r="M30" s="182">
        <v>0</v>
      </c>
      <c r="N30" s="261"/>
      <c r="O30" s="182">
        <f>+M30+M31+M33</f>
        <v>0</v>
      </c>
      <c r="P30" s="261"/>
      <c r="Q30" s="182">
        <f>+O30+O31</f>
        <v>0</v>
      </c>
      <c r="R30" s="261"/>
      <c r="S30" s="182">
        <f>+Q30+Q31</f>
        <v>0</v>
      </c>
      <c r="T30" s="261"/>
      <c r="U30" s="182">
        <f>+S30+S31</f>
        <v>0</v>
      </c>
      <c r="V30" s="261"/>
      <c r="W30" s="182">
        <f>+U30+U31</f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57.07</v>
      </c>
      <c r="J31" s="261"/>
      <c r="K31" s="182">
        <v>364.88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>SUM(C31:AA31)</f>
        <v>513.23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8000000</v>
      </c>
      <c r="K32" s="182">
        <v>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8000000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0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0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9241136.5199999996</v>
      </c>
      <c r="J34" s="266"/>
      <c r="K34" s="247">
        <f>SUM(K30:K33)</f>
        <v>9241501.4000000004</v>
      </c>
      <c r="L34" s="266"/>
      <c r="M34" s="247">
        <f>SUM(M30:M33)</f>
        <v>0</v>
      </c>
      <c r="N34" s="266"/>
      <c r="O34" s="247">
        <f>SUM(O30:O33)</f>
        <v>0</v>
      </c>
      <c r="P34" s="266"/>
      <c r="Q34" s="247">
        <f>SUM(Q30:Q33)</f>
        <v>0</v>
      </c>
      <c r="R34" s="266"/>
      <c r="S34" s="247">
        <f>SUM(S30:S33)</f>
        <v>0</v>
      </c>
      <c r="T34" s="266"/>
      <c r="U34" s="247">
        <f>SUM(U30:U33)</f>
        <v>0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9241501.4000000004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4467843.3900000006</v>
      </c>
      <c r="H36" s="266"/>
      <c r="I36" s="456">
        <f>+I27+I34</f>
        <v>11896830.140000001</v>
      </c>
      <c r="J36" s="266"/>
      <c r="K36" s="456">
        <f>+K27+K34</f>
        <v>14637080.660000002</v>
      </c>
      <c r="L36" s="266"/>
      <c r="M36" s="456">
        <f>+M27+M34</f>
        <v>0</v>
      </c>
      <c r="N36" s="266"/>
      <c r="O36" s="456">
        <f>+O27+O34</f>
        <v>0</v>
      </c>
      <c r="P36" s="266"/>
      <c r="Q36" s="456">
        <f>+Q27+Q34</f>
        <v>0</v>
      </c>
      <c r="R36" s="266"/>
      <c r="S36" s="456">
        <f>+S27+S34</f>
        <v>0</v>
      </c>
      <c r="T36" s="266"/>
      <c r="U36" s="456">
        <f>+U27+U34</f>
        <v>0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14637080.660000002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E38" sqref="E38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8.285156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330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26090893.149999991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1809426.9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12167234.5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1379008.63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f>5010.45-30</f>
        <v>4980.45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1358770.09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-319048.41-327579.08</f>
        <v>-646627.49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42163686.229999997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5395579.2600000016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9241501.4000000004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652735.76</v>
      </c>
      <c r="F30" s="71"/>
    </row>
    <row r="31" spans="1:9">
      <c r="A31" s="67"/>
      <c r="B31" s="67"/>
      <c r="C31" s="58"/>
      <c r="D31" s="68"/>
      <c r="E31" s="393"/>
      <c r="F31" s="59"/>
      <c r="G31" s="434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15289816.420000002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57453502.649999999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7" workbookViewId="0">
      <selection activeCell="H45" sqref="H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342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42005</v>
      </c>
      <c r="B11" s="624" t="s">
        <v>258</v>
      </c>
      <c r="C11" s="623"/>
      <c r="D11" s="289" t="s">
        <v>171</v>
      </c>
      <c r="E11" s="278">
        <v>12165964.940000001</v>
      </c>
      <c r="F11" s="290">
        <v>1</v>
      </c>
      <c r="G11" s="290">
        <v>1</v>
      </c>
      <c r="H11" s="290">
        <v>0</v>
      </c>
      <c r="I11" s="278">
        <f>+E11</f>
        <v>12165964.940000001</v>
      </c>
      <c r="J11" s="288"/>
      <c r="K11" s="290"/>
      <c r="L11" s="291"/>
      <c r="M11" s="292"/>
      <c r="O11" s="91"/>
    </row>
    <row r="12" spans="1:15">
      <c r="A12" s="293"/>
      <c r="B12" s="625"/>
      <c r="C12" s="625"/>
      <c r="D12" s="289" t="s">
        <v>173</v>
      </c>
      <c r="E12" s="279">
        <v>0</v>
      </c>
      <c r="F12" s="290"/>
      <c r="G12" s="290"/>
      <c r="H12" s="290"/>
      <c r="I12" s="279">
        <f>+I11+E12</f>
        <v>12165964.940000001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12165964.940000001</v>
      </c>
      <c r="J13" s="288"/>
      <c r="K13" s="290"/>
      <c r="L13" s="279"/>
      <c r="M13" s="295">
        <f>+E13</f>
        <v>0</v>
      </c>
      <c r="O13" s="91"/>
    </row>
    <row r="14" spans="1:15">
      <c r="A14" s="293">
        <v>42035</v>
      </c>
      <c r="B14" s="296"/>
      <c r="C14" s="288"/>
      <c r="D14" s="289" t="s">
        <v>105</v>
      </c>
      <c r="E14" s="280">
        <v>1269.56</v>
      </c>
      <c r="F14" s="290"/>
      <c r="G14" s="290"/>
      <c r="H14" s="290">
        <v>1.1999999999999999E-3</v>
      </c>
      <c r="I14" s="297">
        <f>+I13+E14</f>
        <v>12167234.500000002</v>
      </c>
      <c r="J14" s="288"/>
      <c r="K14" s="290"/>
      <c r="L14" s="280">
        <f>+E14</f>
        <v>1269.56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12167234.500000002</v>
      </c>
      <c r="F16" s="319"/>
      <c r="G16" s="319"/>
      <c r="H16" s="319"/>
      <c r="I16" s="318">
        <f>I14</f>
        <v>12167234.500000002</v>
      </c>
      <c r="J16" s="320"/>
      <c r="K16" s="319"/>
      <c r="L16" s="318">
        <f>SUM(L14:L15)</f>
        <v>1269.56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42005</v>
      </c>
      <c r="B26" s="623" t="s">
        <v>170</v>
      </c>
      <c r="C26" s="623"/>
      <c r="D26" s="306" t="s">
        <v>171</v>
      </c>
      <c r="E26" s="278">
        <v>1378945.0999999996</v>
      </c>
      <c r="F26" s="290">
        <v>1</v>
      </c>
      <c r="G26" s="290">
        <v>1</v>
      </c>
      <c r="H26" s="290">
        <v>0</v>
      </c>
      <c r="I26" s="278">
        <f>E26</f>
        <v>1378945.0999999996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1378945.0999999996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1378945.0999999996</v>
      </c>
      <c r="J28" s="288"/>
      <c r="K28" s="290"/>
      <c r="L28" s="279"/>
      <c r="M28" s="307">
        <f>+E28</f>
        <v>0</v>
      </c>
    </row>
    <row r="29" spans="1:13">
      <c r="A29" s="293">
        <f>+A14</f>
        <v>42035</v>
      </c>
      <c r="B29" s="296"/>
      <c r="C29" s="288"/>
      <c r="D29" s="306" t="s">
        <v>105</v>
      </c>
      <c r="E29" s="280">
        <v>63.53</v>
      </c>
      <c r="F29" s="290"/>
      <c r="G29" s="290"/>
      <c r="H29" s="290">
        <v>5.4199999999999995E-4</v>
      </c>
      <c r="I29" s="279">
        <f>+I28+E29</f>
        <v>1379008.6299999997</v>
      </c>
      <c r="J29" s="288"/>
      <c r="K29" s="290"/>
      <c r="L29" s="280">
        <f>E29</f>
        <v>63.53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1379008.6299999997</v>
      </c>
      <c r="F31" s="319"/>
      <c r="G31" s="319"/>
      <c r="H31" s="319"/>
      <c r="I31" s="318">
        <f>I29</f>
        <v>1379008.6299999997</v>
      </c>
      <c r="J31" s="320"/>
      <c r="K31" s="319"/>
      <c r="L31" s="318">
        <f>L29</f>
        <v>63.53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42005</v>
      </c>
      <c r="B41" s="623" t="s">
        <v>172</v>
      </c>
      <c r="C41" s="623"/>
      <c r="D41" s="306" t="s">
        <v>171</v>
      </c>
      <c r="E41" s="278">
        <v>1809265.8200000052</v>
      </c>
      <c r="F41" s="290">
        <v>1</v>
      </c>
      <c r="G41" s="290">
        <v>1</v>
      </c>
      <c r="H41" s="290">
        <v>0</v>
      </c>
      <c r="I41" s="278">
        <f>E41</f>
        <v>1809265.8200000052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1809265.8200000052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1809265.8200000052</v>
      </c>
      <c r="J43" s="288"/>
      <c r="K43" s="290"/>
      <c r="L43" s="279"/>
      <c r="M43" s="307">
        <f>+E43</f>
        <v>0</v>
      </c>
    </row>
    <row r="44" spans="1:13">
      <c r="A44" s="293">
        <f>+A14</f>
        <v>42035</v>
      </c>
      <c r="B44" s="296"/>
      <c r="C44" s="288"/>
      <c r="D44" s="306" t="s">
        <v>105</v>
      </c>
      <c r="E44" s="435">
        <v>161.08000000000001</v>
      </c>
      <c r="F44" s="290"/>
      <c r="G44" s="290"/>
      <c r="H44" s="290">
        <v>1.1000000000000001E-3</v>
      </c>
      <c r="I44" s="279">
        <f>+I43+E44</f>
        <v>1809426.9000000053</v>
      </c>
      <c r="J44" s="288"/>
      <c r="K44" s="290"/>
      <c r="L44" s="280">
        <f>E44</f>
        <v>161.08000000000001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1809426.9000000053</v>
      </c>
      <c r="F46" s="319"/>
      <c r="G46" s="319"/>
      <c r="H46" s="319"/>
      <c r="I46" s="318">
        <f>I44</f>
        <v>1809426.9000000053</v>
      </c>
      <c r="J46" s="320"/>
      <c r="K46" s="319"/>
      <c r="L46" s="318">
        <f>L44</f>
        <v>161.08000000000001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6" sqref="H16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343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42005</v>
      </c>
      <c r="B11" s="624" t="s">
        <v>263</v>
      </c>
      <c r="C11" s="623"/>
      <c r="D11" s="289" t="s">
        <v>171</v>
      </c>
      <c r="E11" s="278">
        <v>9241136.5200000014</v>
      </c>
      <c r="F11" s="290">
        <v>1</v>
      </c>
      <c r="G11" s="290">
        <v>1</v>
      </c>
      <c r="H11" s="290">
        <v>0</v>
      </c>
      <c r="I11" s="278">
        <f>+E11</f>
        <v>9241136.5200000014</v>
      </c>
      <c r="J11" s="288"/>
      <c r="K11" s="290"/>
      <c r="L11" s="291"/>
      <c r="M11" s="292"/>
      <c r="O11" s="91"/>
    </row>
    <row r="12" spans="1:15">
      <c r="A12" s="293"/>
      <c r="B12" s="625"/>
      <c r="C12" s="625"/>
      <c r="D12" s="289" t="s">
        <v>173</v>
      </c>
      <c r="E12" s="279">
        <v>0</v>
      </c>
      <c r="F12" s="290"/>
      <c r="G12" s="290"/>
      <c r="H12" s="290"/>
      <c r="I12" s="279">
        <f>+I11+E12</f>
        <v>9241136.5200000014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9241136.5200000014</v>
      </c>
      <c r="J13" s="288"/>
      <c r="K13" s="290"/>
      <c r="L13" s="279"/>
      <c r="M13" s="295">
        <f>+E13</f>
        <v>0</v>
      </c>
      <c r="O13" s="91"/>
    </row>
    <row r="14" spans="1:15">
      <c r="A14" s="459">
        <v>42035</v>
      </c>
      <c r="B14" s="296"/>
      <c r="C14" s="288"/>
      <c r="D14" s="289" t="s">
        <v>105</v>
      </c>
      <c r="E14" s="280">
        <v>364.88</v>
      </c>
      <c r="F14" s="290"/>
      <c r="G14" s="290"/>
      <c r="H14" s="487">
        <v>4.6500000000000003E-4</v>
      </c>
      <c r="I14" s="279">
        <f>+I13+E14</f>
        <v>9241501.4000000022</v>
      </c>
      <c r="J14" s="288"/>
      <c r="K14" s="290"/>
      <c r="L14" s="280">
        <f>+E14</f>
        <v>364.88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9241501.4000000022</v>
      </c>
      <c r="F16" s="319"/>
      <c r="G16" s="319"/>
      <c r="H16" s="319"/>
      <c r="I16" s="318">
        <f>I14</f>
        <v>9241501.4000000022</v>
      </c>
      <c r="J16" s="320"/>
      <c r="K16" s="319"/>
      <c r="L16" s="318">
        <f>SUM(L14:L15)</f>
        <v>364.88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topLeftCell="U1" workbookViewId="0">
      <selection activeCell="AN16" sqref="AN16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26" t="s">
        <v>235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 t="s">
        <v>235</v>
      </c>
      <c r="P1" s="626"/>
      <c r="Q1" s="626"/>
      <c r="R1" s="626"/>
      <c r="S1" s="626"/>
      <c r="T1" s="626"/>
      <c r="U1" s="626"/>
      <c r="V1" s="626"/>
      <c r="W1" s="626"/>
      <c r="X1" s="626"/>
      <c r="Y1" s="626"/>
      <c r="Z1" s="626"/>
      <c r="AA1" s="626"/>
      <c r="AB1" s="626"/>
      <c r="AC1" s="626" t="s">
        <v>235</v>
      </c>
      <c r="AD1" s="626"/>
      <c r="AE1" s="626"/>
      <c r="AF1" s="626"/>
      <c r="AG1" s="626"/>
      <c r="AH1" s="626"/>
      <c r="AI1" s="626"/>
      <c r="AJ1" s="626"/>
      <c r="AK1" s="626"/>
      <c r="AL1" s="626"/>
      <c r="AM1" s="626"/>
      <c r="AN1" s="626"/>
      <c r="AO1" s="626"/>
      <c r="AP1" s="626"/>
      <c r="AQ1" s="626" t="s">
        <v>235</v>
      </c>
      <c r="AR1" s="626"/>
      <c r="AS1" s="626"/>
      <c r="AT1" s="626"/>
      <c r="AU1" s="626"/>
      <c r="AV1" s="626"/>
      <c r="AW1" s="626"/>
      <c r="AX1" s="626"/>
      <c r="AY1" s="626"/>
      <c r="AZ1" s="626"/>
      <c r="BA1" s="626"/>
      <c r="BB1" s="626"/>
      <c r="BC1" s="626"/>
      <c r="BD1" s="626"/>
      <c r="BE1" s="338"/>
      <c r="BF1" s="339"/>
      <c r="BG1" s="339"/>
    </row>
    <row r="2" spans="1:59" ht="19.5">
      <c r="A2" s="626" t="s">
        <v>334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 t="str">
        <f>A2</f>
        <v>Summary of Revenue &amp; Expenditures As Of  01/31/15</v>
      </c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 t="str">
        <f>A2</f>
        <v>Summary of Revenue &amp; Expenditures As Of  01/31/15</v>
      </c>
      <c r="AD2" s="626"/>
      <c r="AE2" s="626"/>
      <c r="AF2" s="626"/>
      <c r="AG2" s="626"/>
      <c r="AH2" s="626"/>
      <c r="AI2" s="626"/>
      <c r="AJ2" s="626"/>
      <c r="AK2" s="626"/>
      <c r="AL2" s="626"/>
      <c r="AM2" s="626"/>
      <c r="AN2" s="626"/>
      <c r="AO2" s="626"/>
      <c r="AP2" s="626"/>
      <c r="AQ2" s="626" t="str">
        <f>A2</f>
        <v>Summary of Revenue &amp; Expenditures As Of  01/31/15</v>
      </c>
      <c r="AR2" s="626"/>
      <c r="AS2" s="626"/>
      <c r="AT2" s="626"/>
      <c r="AU2" s="626"/>
      <c r="AV2" s="626"/>
      <c r="AW2" s="626"/>
      <c r="AX2" s="626"/>
      <c r="AY2" s="626"/>
      <c r="AZ2" s="626"/>
      <c r="BA2" s="626"/>
      <c r="BB2" s="626"/>
      <c r="BC2" s="626"/>
      <c r="BD2" s="626"/>
      <c r="BE2" s="338"/>
      <c r="BF2" s="339"/>
      <c r="BG2" s="339"/>
    </row>
    <row r="3" spans="1:59" s="144" customFormat="1" ht="19.5">
      <c r="A3" s="628" t="s">
        <v>333</v>
      </c>
      <c r="B3" s="628"/>
      <c r="C3" s="628"/>
      <c r="D3" s="628"/>
      <c r="E3" s="628"/>
      <c r="F3" s="628"/>
      <c r="G3" s="628"/>
      <c r="H3" s="628"/>
      <c r="I3" s="628"/>
      <c r="J3" s="628"/>
      <c r="K3" s="628"/>
      <c r="L3" s="628"/>
      <c r="M3" s="628"/>
      <c r="N3" s="628"/>
      <c r="O3" s="628" t="str">
        <f>A3</f>
        <v>Accounting Period: 01</v>
      </c>
      <c r="P3" s="628"/>
      <c r="Q3" s="628"/>
      <c r="R3" s="628"/>
      <c r="S3" s="628"/>
      <c r="T3" s="628"/>
      <c r="U3" s="628"/>
      <c r="V3" s="628"/>
      <c r="W3" s="628"/>
      <c r="X3" s="628"/>
      <c r="Y3" s="628"/>
      <c r="Z3" s="628"/>
      <c r="AA3" s="628"/>
      <c r="AB3" s="628"/>
      <c r="AC3" s="628" t="str">
        <f>O3</f>
        <v>Accounting Period: 01</v>
      </c>
      <c r="AD3" s="628"/>
      <c r="AE3" s="628"/>
      <c r="AF3" s="628"/>
      <c r="AG3" s="628"/>
      <c r="AH3" s="628"/>
      <c r="AI3" s="628"/>
      <c r="AJ3" s="628"/>
      <c r="AK3" s="628"/>
      <c r="AL3" s="628"/>
      <c r="AM3" s="628"/>
      <c r="AN3" s="628"/>
      <c r="AO3" s="628"/>
      <c r="AP3" s="628"/>
      <c r="AQ3" s="628" t="str">
        <f>A3</f>
        <v>Accounting Period: 01</v>
      </c>
      <c r="AR3" s="628"/>
      <c r="AS3" s="628"/>
      <c r="AT3" s="628"/>
      <c r="AU3" s="628"/>
      <c r="AV3" s="628"/>
      <c r="AW3" s="628"/>
      <c r="AX3" s="628"/>
      <c r="AY3" s="628"/>
      <c r="AZ3" s="628"/>
      <c r="BA3" s="628"/>
      <c r="BB3" s="628"/>
      <c r="BC3" s="628"/>
      <c r="BD3" s="628"/>
      <c r="BE3" s="342"/>
      <c r="BF3" s="343"/>
      <c r="BG3" s="343"/>
    </row>
    <row r="4" spans="1:59" ht="20.25" thickBot="1">
      <c r="A4" s="627"/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  <c r="R4" s="627"/>
      <c r="S4" s="627"/>
      <c r="T4" s="627"/>
      <c r="U4" s="627"/>
      <c r="V4" s="627"/>
      <c r="W4" s="627"/>
      <c r="X4" s="627"/>
      <c r="Y4" s="627"/>
      <c r="Z4" s="627"/>
      <c r="AA4" s="627"/>
      <c r="AB4" s="627"/>
      <c r="AC4" s="627"/>
      <c r="AD4" s="627"/>
      <c r="AE4" s="627"/>
      <c r="AF4" s="627"/>
      <c r="AG4" s="627"/>
      <c r="AH4" s="627"/>
      <c r="AI4" s="627"/>
      <c r="AJ4" s="627"/>
      <c r="AK4" s="627"/>
      <c r="AL4" s="627"/>
      <c r="AM4" s="627"/>
      <c r="AN4" s="627"/>
      <c r="AO4" s="627"/>
      <c r="AP4" s="627"/>
      <c r="AQ4" s="627"/>
      <c r="AR4" s="627"/>
      <c r="AS4" s="627"/>
      <c r="AT4" s="627"/>
      <c r="AU4" s="627"/>
      <c r="AV4" s="627"/>
      <c r="AW4" s="627"/>
      <c r="AX4" s="627"/>
      <c r="AY4" s="628"/>
      <c r="AZ4" s="628"/>
      <c r="BA4" s="628"/>
      <c r="BB4" s="628"/>
      <c r="BC4" s="628"/>
      <c r="BD4" s="628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504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505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328</v>
      </c>
      <c r="AS7" s="472"/>
      <c r="AT7" s="473"/>
      <c r="AU7" s="325" t="s">
        <v>274</v>
      </c>
      <c r="AW7" s="506"/>
      <c r="AX7" s="499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507"/>
      <c r="AX8" s="499"/>
      <c r="AY8" s="346"/>
      <c r="AZ8" s="144"/>
      <c r="BA8" s="499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515"/>
      <c r="AS9" s="472"/>
      <c r="AT9" s="473"/>
      <c r="AW9" s="507"/>
      <c r="AX9" s="499"/>
      <c r="AY9" s="344"/>
      <c r="AZ9" s="144"/>
      <c r="BA9" s="499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49517614</v>
      </c>
      <c r="E10" s="160">
        <v>1</v>
      </c>
      <c r="F10" s="326">
        <v>463976</v>
      </c>
      <c r="H10" s="160">
        <v>1</v>
      </c>
      <c r="I10" s="326">
        <v>737203</v>
      </c>
      <c r="J10" s="326"/>
      <c r="K10" s="160">
        <v>1</v>
      </c>
      <c r="L10" s="326">
        <v>8977</v>
      </c>
      <c r="M10" s="157"/>
      <c r="N10" s="160">
        <v>1</v>
      </c>
      <c r="O10" s="155" t="s">
        <v>220</v>
      </c>
      <c r="P10" s="156"/>
      <c r="Q10" s="326">
        <v>52414</v>
      </c>
      <c r="S10" s="160">
        <v>1</v>
      </c>
      <c r="T10" s="326">
        <v>46831</v>
      </c>
      <c r="V10" s="160">
        <v>1</v>
      </c>
      <c r="W10" s="326">
        <v>117290</v>
      </c>
      <c r="X10" s="326"/>
      <c r="Y10" s="160">
        <v>1</v>
      </c>
      <c r="Z10" s="335">
        <v>0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222300</v>
      </c>
      <c r="AJ10" s="159">
        <v>1</v>
      </c>
      <c r="AK10" s="335">
        <v>2849784</v>
      </c>
      <c r="AM10" s="160">
        <v>1</v>
      </c>
      <c r="AN10" s="335">
        <v>11330893</v>
      </c>
      <c r="AP10" s="160">
        <v>1</v>
      </c>
      <c r="AQ10" s="155" t="s">
        <v>220</v>
      </c>
      <c r="AR10" s="516">
        <v>18180345</v>
      </c>
      <c r="AS10" s="474"/>
      <c r="AT10" s="475">
        <v>1</v>
      </c>
      <c r="AU10" s="326">
        <v>579032</v>
      </c>
      <c r="AW10" s="508">
        <v>1</v>
      </c>
      <c r="AX10" s="161"/>
      <c r="AY10" s="348"/>
      <c r="AZ10" s="502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5347493.53</v>
      </c>
      <c r="E11" s="145"/>
      <c r="F11" s="323">
        <v>28505.9</v>
      </c>
      <c r="H11" s="163"/>
      <c r="I11" s="323">
        <v>68105.06</v>
      </c>
      <c r="K11" s="163"/>
      <c r="L11" s="323">
        <v>1136.57</v>
      </c>
      <c r="M11" s="164"/>
      <c r="N11" s="163"/>
      <c r="O11" s="152" t="s">
        <v>221</v>
      </c>
      <c r="P11" s="154"/>
      <c r="Q11" s="323">
        <v>0</v>
      </c>
      <c r="S11" s="145"/>
      <c r="T11" s="323">
        <v>0</v>
      </c>
      <c r="V11" s="163"/>
      <c r="W11" s="323">
        <v>7505.83</v>
      </c>
      <c r="Y11" s="163"/>
      <c r="Z11" s="333">
        <v>0</v>
      </c>
      <c r="AB11" s="163"/>
      <c r="AC11" s="152" t="s">
        <v>221</v>
      </c>
      <c r="AD11" s="154"/>
      <c r="AE11" s="333">
        <v>0</v>
      </c>
      <c r="AG11" s="163"/>
      <c r="AH11" s="333">
        <v>1450</v>
      </c>
      <c r="AJ11" s="162"/>
      <c r="AK11" s="333">
        <v>292072.5</v>
      </c>
      <c r="AM11" s="163"/>
      <c r="AN11" s="333">
        <v>2421504.73</v>
      </c>
      <c r="AO11" s="146"/>
      <c r="AP11" s="163"/>
      <c r="AQ11" s="152" t="s">
        <v>221</v>
      </c>
      <c r="AR11" s="515">
        <v>161.08000000000001</v>
      </c>
      <c r="AS11" s="472"/>
      <c r="AT11" s="476"/>
      <c r="AU11" s="323">
        <v>47468.39</v>
      </c>
      <c r="AW11" s="506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v>36625633.890000001</v>
      </c>
      <c r="D12" s="148"/>
      <c r="E12" s="167">
        <f>C12/C10</f>
        <v>0.73964860039500291</v>
      </c>
      <c r="F12" s="327">
        <v>99558.99</v>
      </c>
      <c r="G12" s="148"/>
      <c r="H12" s="167">
        <f>F12/F10</f>
        <v>0.2145778876493612</v>
      </c>
      <c r="I12" s="327">
        <v>295120.53000000003</v>
      </c>
      <c r="J12" s="327"/>
      <c r="K12" s="167">
        <f>I12/I10</f>
        <v>0.40032464599303047</v>
      </c>
      <c r="L12" s="327">
        <v>1491.57</v>
      </c>
      <c r="M12" s="166"/>
      <c r="N12" s="167">
        <f>L12/L10</f>
        <v>0.16615461735546397</v>
      </c>
      <c r="O12" s="152" t="s">
        <v>222</v>
      </c>
      <c r="P12" s="145"/>
      <c r="Q12" s="327">
        <v>559.4</v>
      </c>
      <c r="R12" s="148"/>
      <c r="S12" s="167">
        <f>Q12/Q10</f>
        <v>1.0672721028732781E-2</v>
      </c>
      <c r="T12" s="327">
        <v>8313.33</v>
      </c>
      <c r="U12" s="148"/>
      <c r="V12" s="167">
        <f>T12/T10</f>
        <v>0.17751766991949777</v>
      </c>
      <c r="W12" s="327">
        <v>35765.300000000003</v>
      </c>
      <c r="X12" s="327"/>
      <c r="Y12" s="167">
        <f>W12/W10</f>
        <v>0.30493051411032485</v>
      </c>
      <c r="Z12" s="334">
        <v>6639</v>
      </c>
      <c r="AA12" s="148"/>
      <c r="AB12" s="167"/>
      <c r="AC12" s="152" t="s">
        <v>222</v>
      </c>
      <c r="AD12" s="145"/>
      <c r="AE12" s="334">
        <v>0</v>
      </c>
      <c r="AF12" s="148"/>
      <c r="AG12" s="167" t="e">
        <f>AE12/AE10</f>
        <v>#DIV/0!</v>
      </c>
      <c r="AH12" s="334">
        <v>223750.12</v>
      </c>
      <c r="AI12" s="148"/>
      <c r="AJ12" s="167">
        <f>AH12/AH10</f>
        <v>1.006523256860099</v>
      </c>
      <c r="AK12" s="334">
        <v>1470997.53</v>
      </c>
      <c r="AL12" s="148"/>
      <c r="AM12" s="167">
        <f>AK12/AK10</f>
        <v>0.51617860511533509</v>
      </c>
      <c r="AN12" s="334">
        <v>11581522.65</v>
      </c>
      <c r="AO12" s="148"/>
      <c r="AP12" s="167">
        <f>AN12/AN10</f>
        <v>1.0221191436544321</v>
      </c>
      <c r="AQ12" s="152" t="s">
        <v>222</v>
      </c>
      <c r="AR12" s="517">
        <v>18192988.440000001</v>
      </c>
      <c r="AS12" s="470"/>
      <c r="AT12" s="167">
        <f>AR12/AR10</f>
        <v>1.0006954455484756</v>
      </c>
      <c r="AU12" s="327">
        <v>244500.04</v>
      </c>
      <c r="AV12" s="148"/>
      <c r="AW12" s="509">
        <f>AU12/AU10</f>
        <v>0.42225652468257369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515"/>
      <c r="AS13" s="472"/>
      <c r="AT13" s="476"/>
      <c r="AW13" s="510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12891980.109999999</v>
      </c>
      <c r="D14" s="152"/>
      <c r="E14" s="170">
        <f>C14/C10</f>
        <v>0.26035139960499709</v>
      </c>
      <c r="F14" s="325">
        <f>F10-F12</f>
        <v>364417.01</v>
      </c>
      <c r="G14" s="152"/>
      <c r="H14" s="170">
        <f>F14/F10</f>
        <v>0.78542211235063886</v>
      </c>
      <c r="I14" s="325">
        <f>I10-I12</f>
        <v>442082.47</v>
      </c>
      <c r="J14" s="325"/>
      <c r="K14" s="170">
        <f>I14/I10</f>
        <v>0.59967535400696959</v>
      </c>
      <c r="L14" s="325">
        <f>L10-L12</f>
        <v>7485.43</v>
      </c>
      <c r="M14" s="431"/>
      <c r="N14" s="170">
        <f>L14/L10</f>
        <v>0.83384538264453612</v>
      </c>
      <c r="O14" s="152" t="s">
        <v>223</v>
      </c>
      <c r="P14" s="430"/>
      <c r="Q14" s="325">
        <f>Q10-Q12</f>
        <v>51854.6</v>
      </c>
      <c r="R14" s="152"/>
      <c r="S14" s="170">
        <f>Q14/Q10</f>
        <v>0.98932727897126715</v>
      </c>
      <c r="T14" s="325">
        <f>T10-T12</f>
        <v>38517.67</v>
      </c>
      <c r="U14" s="152"/>
      <c r="V14" s="170">
        <f>T14/T10</f>
        <v>0.8224823300805022</v>
      </c>
      <c r="W14" s="325">
        <f>W10-W12</f>
        <v>81524.7</v>
      </c>
      <c r="X14" s="325"/>
      <c r="Y14" s="170">
        <f>W14/W10</f>
        <v>0.6950694858896751</v>
      </c>
      <c r="Z14" s="332">
        <f>Z10-Z12</f>
        <v>-6639</v>
      </c>
      <c r="AA14" s="152"/>
      <c r="AB14" s="170"/>
      <c r="AC14" s="152" t="s">
        <v>223</v>
      </c>
      <c r="AD14" s="430"/>
      <c r="AE14" s="332">
        <f>AE10-AE12</f>
        <v>0</v>
      </c>
      <c r="AF14" s="152"/>
      <c r="AG14" s="170"/>
      <c r="AH14" s="332">
        <f>AH10-AH12</f>
        <v>-1450.1199999999953</v>
      </c>
      <c r="AI14" s="152"/>
      <c r="AJ14" s="170">
        <f>AH14/AH10</f>
        <v>-6.5232568600989442E-3</v>
      </c>
      <c r="AK14" s="466">
        <f>IF(AK10-AK12&lt;0,0,AK10-AK12)</f>
        <v>1378786.47</v>
      </c>
      <c r="AL14" s="152" t="s">
        <v>314</v>
      </c>
      <c r="AM14" s="170">
        <f>AK14/AK10</f>
        <v>0.48382139488466491</v>
      </c>
      <c r="AN14" s="466">
        <f>IF(AN10-AN12&lt;0,0,AN10-AN12)</f>
        <v>0</v>
      </c>
      <c r="AO14" s="152"/>
      <c r="AP14" s="170">
        <f>AN14/AN10</f>
        <v>0</v>
      </c>
      <c r="AQ14" s="152" t="s">
        <v>223</v>
      </c>
      <c r="AR14" s="466">
        <f>IF(AR10-AR12&lt;0,0,AR10-AR12)</f>
        <v>0</v>
      </c>
      <c r="AS14" s="478"/>
      <c r="AT14" s="170">
        <f>AR14/AR10</f>
        <v>0</v>
      </c>
      <c r="AU14" s="325">
        <f>AU10-AU12</f>
        <v>334531.95999999996</v>
      </c>
      <c r="AV14" s="152"/>
      <c r="AW14" s="511">
        <f>AU14/AU10</f>
        <v>0.57774347531742631</v>
      </c>
      <c r="AX14" s="500"/>
      <c r="AY14" s="346"/>
      <c r="AZ14" s="503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515"/>
      <c r="AS15" s="472"/>
      <c r="AT15" s="476"/>
      <c r="AW15" s="510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515"/>
      <c r="AS16" s="472"/>
      <c r="AT16" s="476"/>
      <c r="AW16" s="510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51356423</v>
      </c>
      <c r="E17" s="163">
        <v>1</v>
      </c>
      <c r="F17" s="323">
        <v>463976</v>
      </c>
      <c r="H17" s="163">
        <v>1</v>
      </c>
      <c r="I17" s="323">
        <v>737203</v>
      </c>
      <c r="K17" s="163">
        <v>1</v>
      </c>
      <c r="L17" s="323">
        <v>8977</v>
      </c>
      <c r="M17" s="164"/>
      <c r="N17" s="163">
        <v>1</v>
      </c>
      <c r="O17" s="152" t="s">
        <v>224</v>
      </c>
      <c r="P17" s="145"/>
      <c r="Q17" s="323">
        <v>52414</v>
      </c>
      <c r="S17" s="163">
        <v>1</v>
      </c>
      <c r="T17" s="323">
        <v>46831</v>
      </c>
      <c r="V17" s="163">
        <v>1</v>
      </c>
      <c r="W17" s="323">
        <v>117290</v>
      </c>
      <c r="Y17" s="163">
        <v>1</v>
      </c>
      <c r="Z17" s="333">
        <v>0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247225</v>
      </c>
      <c r="AJ17" s="162">
        <v>1</v>
      </c>
      <c r="AK17" s="333">
        <v>3143799</v>
      </c>
      <c r="AM17" s="163">
        <v>1</v>
      </c>
      <c r="AN17" s="333">
        <v>11330893</v>
      </c>
      <c r="AO17" s="146"/>
      <c r="AP17" s="163">
        <v>1</v>
      </c>
      <c r="AQ17" s="152" t="s">
        <v>224</v>
      </c>
      <c r="AR17" s="515">
        <v>18180345</v>
      </c>
      <c r="AS17" s="472"/>
      <c r="AT17" s="476">
        <v>1</v>
      </c>
      <c r="AU17" s="323">
        <v>590367</v>
      </c>
      <c r="AW17" s="510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4804197.03</v>
      </c>
      <c r="E18" s="163"/>
      <c r="F18" s="323">
        <v>25181.42</v>
      </c>
      <c r="H18" s="163"/>
      <c r="I18" s="323">
        <v>73276.83</v>
      </c>
      <c r="K18" s="163"/>
      <c r="L18" s="323">
        <v>36.94</v>
      </c>
      <c r="M18" s="164"/>
      <c r="N18" s="163"/>
      <c r="O18" s="152" t="s">
        <v>225</v>
      </c>
      <c r="P18" s="145"/>
      <c r="Q18" s="323">
        <v>3288.06</v>
      </c>
      <c r="S18" s="163"/>
      <c r="T18" s="323">
        <v>0</v>
      </c>
      <c r="V18" s="163"/>
      <c r="W18" s="323">
        <v>4731.3500000000004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6575</v>
      </c>
      <c r="AJ18" s="162"/>
      <c r="AK18" s="333">
        <v>233053.76</v>
      </c>
      <c r="AM18" s="163"/>
      <c r="AN18" s="333">
        <v>0</v>
      </c>
      <c r="AO18" s="146"/>
      <c r="AP18" s="163"/>
      <c r="AQ18" s="152" t="s">
        <v>225</v>
      </c>
      <c r="AR18" s="515">
        <v>15115.09</v>
      </c>
      <c r="AS18" s="472"/>
      <c r="AT18" s="476"/>
      <c r="AU18" s="323">
        <v>47762.09</v>
      </c>
      <c r="AW18" s="510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v>24533511.100000001</v>
      </c>
      <c r="D19" s="148"/>
      <c r="E19" s="167">
        <f>C19/C17</f>
        <v>0.47771066727135575</v>
      </c>
      <c r="F19" s="327">
        <f>4573.39+124740.41</f>
        <v>129313.8</v>
      </c>
      <c r="G19" s="148"/>
      <c r="H19" s="167">
        <f>F19/F17</f>
        <v>0.2787079504112282</v>
      </c>
      <c r="I19" s="428">
        <f>5243.9+368397.36</f>
        <v>373641.26</v>
      </c>
      <c r="J19" s="327"/>
      <c r="K19" s="167">
        <f>I19/I17</f>
        <v>0.50683632595092531</v>
      </c>
      <c r="L19" s="327">
        <v>1528.51</v>
      </c>
      <c r="M19" s="166"/>
      <c r="N19" s="167">
        <f>L19/L17</f>
        <v>0.17026957780995877</v>
      </c>
      <c r="O19" s="152" t="str">
        <f>A19</f>
        <v>Exp./Encumbrances to Date</v>
      </c>
      <c r="P19" s="145"/>
      <c r="Q19" s="327">
        <f>12341.42+3847.46</f>
        <v>16188.880000000001</v>
      </c>
      <c r="R19" s="148"/>
      <c r="S19" s="167">
        <f>Q19/Q17</f>
        <v>0.30886557026748579</v>
      </c>
      <c r="T19" s="327">
        <v>8313.33</v>
      </c>
      <c r="U19" s="148"/>
      <c r="V19" s="167">
        <f>T19/T17</f>
        <v>0.17751766991949777</v>
      </c>
      <c r="W19" s="327">
        <f>3153.04+40496.65</f>
        <v>43649.69</v>
      </c>
      <c r="X19" s="327"/>
      <c r="Y19" s="167">
        <f>W19/W17</f>
        <v>0.37215184585216132</v>
      </c>
      <c r="Z19" s="334">
        <v>0</v>
      </c>
      <c r="AA19" s="148"/>
      <c r="AB19" s="167" t="e">
        <f>Z19/Z17</f>
        <v>#DIV/0!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23477.16+200272.96</f>
        <v>223750.12</v>
      </c>
      <c r="AI19" s="148"/>
      <c r="AJ19" s="167">
        <f>AH19/AH17</f>
        <v>0.90504649610678534</v>
      </c>
      <c r="AK19" s="334">
        <f>167167.08+1170518.23</f>
        <v>1337685.31</v>
      </c>
      <c r="AL19" s="148"/>
      <c r="AM19" s="167">
        <f>AK19/AK17</f>
        <v>0.42549962958827842</v>
      </c>
      <c r="AN19" s="334">
        <v>2410</v>
      </c>
      <c r="AO19" s="148"/>
      <c r="AP19" s="167">
        <f>AN19/AN17</f>
        <v>2.1269285660009321E-4</v>
      </c>
      <c r="AQ19" s="152" t="str">
        <f>+A19</f>
        <v>Exp./Encumbrances to Date</v>
      </c>
      <c r="AR19" s="517">
        <v>16381187.619999999</v>
      </c>
      <c r="AS19" s="470"/>
      <c r="AT19" s="477">
        <f>AR19/AR17</f>
        <v>0.90103832573034226</v>
      </c>
      <c r="AU19" s="327">
        <f>16308.62+251258.51</f>
        <v>267567.13</v>
      </c>
      <c r="AV19" s="148"/>
      <c r="AW19" s="509">
        <f>AU19/AU17</f>
        <v>0.45322169091429571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515"/>
      <c r="AS20" s="472"/>
      <c r="AT20" s="476"/>
      <c r="AW20" s="510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26822911.899999999</v>
      </c>
      <c r="D21" s="152"/>
      <c r="E21" s="170">
        <f>C21/C17</f>
        <v>0.52228933272864431</v>
      </c>
      <c r="F21" s="325">
        <f>F17-F19</f>
        <v>334662.2</v>
      </c>
      <c r="G21" s="152"/>
      <c r="H21" s="170">
        <f>F21/F17</f>
        <v>0.72129204958877191</v>
      </c>
      <c r="I21" s="325">
        <f>I17-I19</f>
        <v>363561.74</v>
      </c>
      <c r="J21" s="325"/>
      <c r="K21" s="170">
        <f>I21/I17</f>
        <v>0.49316367404907469</v>
      </c>
      <c r="L21" s="325">
        <f>L17-L19</f>
        <v>7448.49</v>
      </c>
      <c r="M21" s="169"/>
      <c r="N21" s="170">
        <f>L21/L17</f>
        <v>0.82973042219004123</v>
      </c>
      <c r="O21" s="152" t="s">
        <v>227</v>
      </c>
      <c r="P21" s="145"/>
      <c r="Q21" s="325">
        <f>Q17-Q19</f>
        <v>36225.119999999995</v>
      </c>
      <c r="R21" s="152"/>
      <c r="S21" s="170">
        <f>Q21/Q17</f>
        <v>0.69113442973251416</v>
      </c>
      <c r="T21" s="325">
        <f>T17-T19</f>
        <v>38517.67</v>
      </c>
      <c r="U21" s="152"/>
      <c r="V21" s="170">
        <f>T21/T17</f>
        <v>0.8224823300805022</v>
      </c>
      <c r="W21" s="325">
        <f>W17-W19</f>
        <v>73640.31</v>
      </c>
      <c r="X21" s="325"/>
      <c r="Y21" s="170">
        <f>W21/W17</f>
        <v>0.62784815414783868</v>
      </c>
      <c r="Z21" s="332">
        <f>Z17-Z19</f>
        <v>0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23474.880000000005</v>
      </c>
      <c r="AI21" s="152"/>
      <c r="AJ21" s="168">
        <f>AH21/AH17</f>
        <v>9.4953503893214705E-2</v>
      </c>
      <c r="AK21" s="332">
        <f>AK17-AK19</f>
        <v>1806113.69</v>
      </c>
      <c r="AL21" s="152"/>
      <c r="AM21" s="170">
        <f>AK21/AK17</f>
        <v>0.57450037041172164</v>
      </c>
      <c r="AN21" s="332">
        <f>AN17-AN19</f>
        <v>11328483</v>
      </c>
      <c r="AO21" s="152"/>
      <c r="AP21" s="170">
        <f>AN21/AN17</f>
        <v>0.99978730714339992</v>
      </c>
      <c r="AQ21" s="152" t="s">
        <v>227</v>
      </c>
      <c r="AR21" s="466">
        <f>AR17-AR19</f>
        <v>1799157.3800000008</v>
      </c>
      <c r="AS21" s="478"/>
      <c r="AT21" s="479">
        <f>AR21/AR17</f>
        <v>9.896167426965774E-2</v>
      </c>
      <c r="AU21" s="325">
        <f>AU17-AU19</f>
        <v>322799.87</v>
      </c>
      <c r="AV21" s="152"/>
      <c r="AW21" s="511">
        <f>AU21/AU17</f>
        <v>0.54677830908570435</v>
      </c>
      <c r="AX21" s="165"/>
      <c r="AY21" s="346"/>
      <c r="AZ21" s="503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515"/>
      <c r="AS22" s="472"/>
      <c r="AT22" s="476"/>
      <c r="AW22" s="510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515"/>
      <c r="AS23" s="472"/>
      <c r="AT23" s="473"/>
      <c r="AW23" s="506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83">
        <f>C12-C19</f>
        <v>12092122.789999999</v>
      </c>
      <c r="D24" s="173"/>
      <c r="E24" s="174"/>
      <c r="F24" s="325">
        <f>F12-F19</f>
        <v>-29754.809999999998</v>
      </c>
      <c r="G24" s="173"/>
      <c r="H24" s="174"/>
      <c r="I24" s="271">
        <f>I12-I19</f>
        <v>-78520.729999999981</v>
      </c>
      <c r="J24" s="271"/>
      <c r="K24" s="174"/>
      <c r="L24" s="271">
        <f>L12-L19</f>
        <v>-36.940000000000055</v>
      </c>
      <c r="M24" s="175"/>
      <c r="N24" s="176"/>
      <c r="O24" s="152" t="s">
        <v>230</v>
      </c>
      <c r="P24" s="145"/>
      <c r="Q24" s="271">
        <f>Q12-Q19</f>
        <v>-15629.480000000001</v>
      </c>
      <c r="R24" s="173"/>
      <c r="S24" s="174"/>
      <c r="T24" s="271">
        <f>T12-T19</f>
        <v>0</v>
      </c>
      <c r="U24" s="173"/>
      <c r="V24" s="174"/>
      <c r="W24" s="271">
        <f>W12-W19</f>
        <v>-7884.3899999999994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0</v>
      </c>
      <c r="AF24" s="173"/>
      <c r="AG24" s="174"/>
      <c r="AH24" s="332">
        <f>AH12-AH19</f>
        <v>0</v>
      </c>
      <c r="AI24" s="173"/>
      <c r="AJ24" s="173"/>
      <c r="AK24" s="332">
        <f>AK12-AK19</f>
        <v>133312.21999999997</v>
      </c>
      <c r="AL24" s="173"/>
      <c r="AM24" s="174"/>
      <c r="AN24" s="332">
        <f>AN12-AN19</f>
        <v>11579112.65</v>
      </c>
      <c r="AO24" s="173"/>
      <c r="AP24" s="174"/>
      <c r="AQ24" s="172" t="str">
        <f>+A24</f>
        <v>Actual Expenditures &amp; Encumbrances:</v>
      </c>
      <c r="AR24" s="466">
        <f>AR12-AR19</f>
        <v>1811800.8200000022</v>
      </c>
      <c r="AS24" s="480"/>
      <c r="AT24" s="481"/>
      <c r="AU24" s="271">
        <f>AU12-AU19</f>
        <v>-23067.089999999997</v>
      </c>
      <c r="AV24" s="173"/>
      <c r="AW24" s="512"/>
      <c r="AX24" s="501"/>
      <c r="AY24" s="353"/>
      <c r="AZ24" s="501"/>
      <c r="BA24" s="501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515"/>
      <c r="AS25" s="472"/>
      <c r="AT25" s="473"/>
      <c r="AU25" s="270"/>
      <c r="AW25" s="506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515"/>
      <c r="AS26" s="472"/>
      <c r="AT26" s="473"/>
      <c r="AU26" s="270"/>
      <c r="AW26" s="506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515"/>
      <c r="AS27" s="468"/>
      <c r="AT27" s="473"/>
      <c r="AU27" s="270"/>
      <c r="AW27" s="506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515"/>
      <c r="AS28" s="468"/>
      <c r="AT28" s="473"/>
      <c r="AU28" s="270"/>
      <c r="AW28" s="506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515"/>
      <c r="AS29" s="468"/>
      <c r="AT29" s="473"/>
      <c r="AU29" s="270"/>
      <c r="AW29" s="506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zoomScale="75" zoomScaleNormal="75" zoomScaleSheetLayoutView="75" workbookViewId="0"/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514">
        <v>42035</v>
      </c>
      <c r="C9" s="384"/>
      <c r="D9" s="385"/>
      <c r="E9" s="384"/>
      <c r="F9" s="384"/>
      <c r="G9" s="384"/>
      <c r="H9" s="384"/>
      <c r="I9" s="100"/>
      <c r="J9" s="98"/>
      <c r="K9" s="514">
        <v>42035</v>
      </c>
      <c r="L9" s="384"/>
      <c r="M9" s="384"/>
      <c r="N9" s="386"/>
      <c r="O9" s="387"/>
      <c r="P9" s="384"/>
      <c r="Q9" s="386"/>
      <c r="R9" s="384"/>
      <c r="S9" s="100"/>
      <c r="T9" s="98"/>
      <c r="U9" s="484">
        <v>42035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324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335</v>
      </c>
      <c r="E16" s="106" t="s">
        <v>85</v>
      </c>
      <c r="F16" s="451" t="s">
        <v>336</v>
      </c>
      <c r="G16" s="99"/>
      <c r="H16" s="105" t="s">
        <v>286</v>
      </c>
      <c r="I16" s="100"/>
      <c r="J16" s="98"/>
      <c r="K16" s="106"/>
      <c r="L16" s="106"/>
      <c r="M16" s="106"/>
      <c r="N16" s="485" t="s">
        <v>337</v>
      </c>
      <c r="O16" s="107" t="s">
        <v>286</v>
      </c>
      <c r="P16" s="106"/>
      <c r="Q16" s="449" t="s">
        <v>338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4992977.72</v>
      </c>
      <c r="E19" s="363"/>
      <c r="F19" s="363">
        <v>22079577.460000001</v>
      </c>
      <c r="G19" s="99" t="s">
        <v>85</v>
      </c>
      <c r="H19" s="113">
        <f>ROUND((+F19+F20)/F61,6)</f>
        <v>0.899455</v>
      </c>
      <c r="I19" s="100"/>
      <c r="J19" s="98"/>
      <c r="K19" s="99" t="s">
        <v>189</v>
      </c>
      <c r="L19" s="99"/>
      <c r="M19" s="99"/>
      <c r="N19" s="363">
        <f>+F19+F20</f>
        <v>32694758.789999999</v>
      </c>
      <c r="O19" s="113">
        <f>+N19/N61</f>
        <v>0.89945489857937477</v>
      </c>
      <c r="P19" s="99"/>
      <c r="Q19" s="488">
        <f>18772867.31+9025416.48</f>
        <v>27798283.789999999</v>
      </c>
      <c r="R19" s="113">
        <f>+Q19/Q57</f>
        <v>0.8892907097036884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2400469.7999999998</v>
      </c>
      <c r="E20" s="363"/>
      <c r="F20" s="363">
        <v>10615181.33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8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8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1537.16-76.86</f>
        <v>1460.3000000000002</v>
      </c>
      <c r="E22" s="363"/>
      <c r="F22" s="363">
        <f>2879-143.95+0.32-6.47</f>
        <v>2728.9000000000005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2728.9000000000005</v>
      </c>
      <c r="O22" s="114"/>
      <c r="P22" s="99"/>
      <c r="Q22" s="488">
        <f>639.1+2947.03-147.37</f>
        <v>3438.76</v>
      </c>
      <c r="R22" s="105"/>
      <c r="S22" s="100"/>
      <c r="T22" s="98"/>
      <c r="U22" s="115" t="s">
        <v>339</v>
      </c>
      <c r="V22" s="99"/>
      <c r="W22" s="99"/>
      <c r="Y22" s="371">
        <v>11048214.249999994</v>
      </c>
      <c r="Z22" s="116"/>
      <c r="AA22" s="371">
        <v>669238.79999999749</v>
      </c>
      <c r="AB22" s="100"/>
      <c r="AC22" s="96"/>
    </row>
    <row r="23" spans="1:29">
      <c r="A23" s="98"/>
      <c r="B23" s="99" t="s">
        <v>194</v>
      </c>
      <c r="C23" s="99"/>
      <c r="D23" s="363">
        <v>0</v>
      </c>
      <c r="E23" s="363"/>
      <c r="F23" s="363">
        <v>0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8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8"/>
      <c r="R24" s="114"/>
      <c r="S24" s="100"/>
      <c r="T24" s="98"/>
      <c r="U24" s="99" t="s">
        <v>198</v>
      </c>
      <c r="V24" s="99"/>
      <c r="W24" s="99"/>
      <c r="Y24" s="363">
        <v>7393447.5199999996</v>
      </c>
      <c r="Z24" s="126"/>
      <c r="AA24" s="363">
        <f>7440815.23-7393447.52</f>
        <v>47367.710000000894</v>
      </c>
      <c r="AB24" s="100"/>
      <c r="AC24" s="96"/>
    </row>
    <row r="25" spans="1:29">
      <c r="A25" s="98"/>
      <c r="B25" s="99" t="s">
        <v>196</v>
      </c>
      <c r="C25" s="99"/>
      <c r="D25" s="363">
        <v>0</v>
      </c>
      <c r="E25" s="363"/>
      <c r="F25" s="363">
        <v>0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0</v>
      </c>
      <c r="O25" s="114"/>
      <c r="P25" s="99"/>
      <c r="Q25" s="488">
        <v>0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8" t="s">
        <v>199</v>
      </c>
      <c r="R26" s="105"/>
      <c r="S26" s="100"/>
      <c r="T26" s="98"/>
      <c r="U26" s="99" t="s">
        <v>201</v>
      </c>
      <c r="V26" s="99"/>
      <c r="W26" s="99"/>
      <c r="Y26" s="379">
        <v>0</v>
      </c>
      <c r="Z26" s="97" t="s">
        <v>85</v>
      </c>
      <c r="AA26" s="363">
        <v>0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7394907.8199999994</v>
      </c>
      <c r="E27" s="363" t="s">
        <v>85</v>
      </c>
      <c r="F27" s="364">
        <f>SUM(F19:F26)</f>
        <v>32697487.689999998</v>
      </c>
      <c r="G27" s="99"/>
      <c r="H27" s="113">
        <f>ROUND(+F27/F61,6)</f>
        <v>0.89953000000000005</v>
      </c>
      <c r="I27" s="100"/>
      <c r="J27" s="98"/>
      <c r="K27" s="99" t="s">
        <v>200</v>
      </c>
      <c r="L27" s="99"/>
      <c r="M27" s="99"/>
      <c r="N27" s="364">
        <f>SUM(N19:N26)</f>
        <v>32697487.689999998</v>
      </c>
      <c r="O27" s="113">
        <f>+N27/N61</f>
        <v>0.89952997246165967</v>
      </c>
      <c r="P27" s="99"/>
      <c r="Q27" s="489">
        <f>SUM(Q19:Q26)</f>
        <v>27801722.550000001</v>
      </c>
      <c r="R27" s="113">
        <f>+Q27/Q57</f>
        <v>0.88940071855689695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8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8"/>
      <c r="R29" s="114"/>
      <c r="S29" s="100"/>
      <c r="T29" s="98"/>
      <c r="U29" s="115" t="s">
        <v>340</v>
      </c>
      <c r="V29" s="99"/>
      <c r="W29" s="99"/>
      <c r="X29" s="97" t="s">
        <v>85</v>
      </c>
      <c r="Y29" s="363">
        <f>+Y22-Y24+Y26</f>
        <v>3654766.7299999949</v>
      </c>
      <c r="Z29" s="119"/>
      <c r="AA29" s="363">
        <f>+AA22-AA24+AA26</f>
        <v>621871.08999999659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8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8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31992.5</v>
      </c>
      <c r="E32" s="366"/>
      <c r="F32" s="366">
        <v>125091.75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185023.75</v>
      </c>
      <c r="O32" s="114"/>
      <c r="P32" s="99"/>
      <c r="Q32" s="488">
        <f>48560.23+22666.5</f>
        <v>71226.73000000001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15375.21</v>
      </c>
      <c r="E33" s="363"/>
      <c r="F33" s="363">
        <v>59932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8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90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310.75+4504.75+3271.1+20.79-1.04</f>
        <v>8106.35</v>
      </c>
      <c r="E35" s="363"/>
      <c r="F35" s="363">
        <f>11222.99+9617.78+7708.78+40.07+153.43-7.68+0.27-5.39</f>
        <v>28730.25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42154.8</v>
      </c>
      <c r="O35" s="114"/>
      <c r="P35" s="99"/>
      <c r="Q35" s="488">
        <f>2693.94+16212.24+7903.74+183.22+206.36-10.32</f>
        <v>27189.18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149.39+2158.01+1570.78</f>
        <v>3878.1800000000003</v>
      </c>
      <c r="E36" s="363"/>
      <c r="F36" s="363">
        <f>5395.68+4351.28+3677.59</f>
        <v>13424.55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8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8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10071.76</v>
      </c>
      <c r="E38" s="363"/>
      <c r="F38" s="363">
        <v>22737.15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22737.15</v>
      </c>
      <c r="O38" s="114"/>
      <c r="P38" s="99"/>
      <c r="Q38" s="488">
        <v>17117.64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8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90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69424</v>
      </c>
      <c r="E41" s="363"/>
      <c r="F41" s="364">
        <f>SUM(F32:F40)</f>
        <v>249915.69999999998</v>
      </c>
      <c r="G41" s="99"/>
      <c r="H41" s="374"/>
      <c r="I41" s="100"/>
      <c r="J41" s="98"/>
      <c r="K41" s="97" t="s">
        <v>200</v>
      </c>
      <c r="N41" s="367">
        <f>SUM(N32:N40)</f>
        <v>249915.69999999998</v>
      </c>
      <c r="O41" s="374"/>
      <c r="Q41" s="491">
        <f>SUM(Q32:Q40)</f>
        <v>115533.55</v>
      </c>
      <c r="R41" s="124"/>
      <c r="S41" s="100"/>
      <c r="T41" s="98"/>
      <c r="U41" s="99" t="s">
        <v>329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8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92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8" t="s">
        <v>85</v>
      </c>
      <c r="R44" s="114"/>
      <c r="S44" s="100"/>
      <c r="T44" s="98"/>
      <c r="U44" s="99" t="s">
        <v>326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8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32879782.539999999</v>
      </c>
      <c r="O46" s="377"/>
      <c r="P46" s="99"/>
      <c r="Q46" s="488">
        <f>+Q19+Q32</f>
        <v>27869510.52</v>
      </c>
      <c r="R46" s="105"/>
      <c r="S46" s="100"/>
      <c r="T46" s="98"/>
      <c r="U46" s="99" t="s">
        <v>198</v>
      </c>
      <c r="V46" s="99"/>
      <c r="W46" s="99"/>
      <c r="Y46" s="363">
        <v>32694758.789999999</v>
      </c>
      <c r="Z46" s="126"/>
      <c r="AA46" s="363">
        <f>32879782.54-32694758.79</f>
        <v>185023.75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5024970.22</v>
      </c>
      <c r="E47" s="363"/>
      <c r="F47" s="363">
        <f>+F19+F32</f>
        <v>22204669.210000001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8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2415845.0099999998</v>
      </c>
      <c r="E48" s="363"/>
      <c r="F48" s="363">
        <f>+F20+F33</f>
        <v>10675113.33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44883.700000000004</v>
      </c>
      <c r="O48" s="378"/>
      <c r="P48" s="99"/>
      <c r="Q48" s="488">
        <f>+Q22+Q35</f>
        <v>30627.940000000002</v>
      </c>
      <c r="R48" s="114"/>
      <c r="S48" s="100"/>
      <c r="T48" s="98"/>
      <c r="U48" s="99" t="s">
        <v>207</v>
      </c>
      <c r="V48" s="99"/>
      <c r="W48" s="99"/>
      <c r="Y48" s="379">
        <v>420959.74</v>
      </c>
      <c r="Z48" s="97" t="s">
        <v>85</v>
      </c>
      <c r="AA48" s="363">
        <f>407957.39-420959.74</f>
        <v>-13002.349999999977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8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9566.6500000000015</v>
      </c>
      <c r="E50" s="363"/>
      <c r="F50" s="363">
        <f>+F22+F35</f>
        <v>31459.15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8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3878.1800000000003</v>
      </c>
      <c r="E51" s="363"/>
      <c r="F51" s="363">
        <f>+F23+F36</f>
        <v>13424.55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22737.15</v>
      </c>
      <c r="O51" s="378"/>
      <c r="P51" s="99"/>
      <c r="Q51" s="488">
        <f>+Q25+Q38</f>
        <v>17117.64</v>
      </c>
      <c r="R51" s="114"/>
      <c r="S51" s="100"/>
      <c r="T51" s="98"/>
      <c r="U51" s="99" t="s">
        <v>341</v>
      </c>
      <c r="V51" s="99"/>
      <c r="W51" s="99"/>
      <c r="X51" s="97" t="s">
        <v>85</v>
      </c>
      <c r="Y51" s="363">
        <f>+Y44-Y46+Y48</f>
        <v>3654766.7300000023</v>
      </c>
      <c r="Z51" s="119"/>
      <c r="AA51" s="363">
        <f>+AA44-AA46+AA48</f>
        <v>621871.08999999764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10071.76</v>
      </c>
      <c r="E52" s="363"/>
      <c r="F52" s="363">
        <f>+F25+F38</f>
        <v>22737.15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8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8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32947403.389999997</v>
      </c>
      <c r="O54" s="374"/>
      <c r="P54" s="99"/>
      <c r="Q54" s="489">
        <f>+Q27+Q41</f>
        <v>27917256.100000001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7464331.8199999994</v>
      </c>
      <c r="E55" s="366"/>
      <c r="F55" s="367">
        <f>SUM(F47:F54)</f>
        <v>32947403.389999997</v>
      </c>
      <c r="H55" s="375"/>
      <c r="I55" s="100"/>
      <c r="J55" s="98"/>
      <c r="K55" s="99"/>
      <c r="L55" s="99"/>
      <c r="M55" s="99"/>
      <c r="N55" s="369"/>
      <c r="O55" s="377"/>
      <c r="P55" s="99"/>
      <c r="Q55" s="493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9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63"/>
      <c r="O57" s="378"/>
      <c r="P57" s="99"/>
      <c r="Q57" s="488">
        <v>31258938.710000001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322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46">
        <v>36349525.520000003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48">
        <f>+F61</f>
        <v>36349525.520000003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97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8"/>
  <sheetViews>
    <sheetView view="pageLayout" workbookViewId="0"/>
  </sheetViews>
  <sheetFormatPr defaultColWidth="6" defaultRowHeight="12.75"/>
  <cols>
    <col min="1" max="1" width="23.5703125" style="565" customWidth="1"/>
    <col min="2" max="2" width="22.85546875" style="565" customWidth="1"/>
    <col min="3" max="3" width="16.85546875" style="564" bestFit="1" customWidth="1"/>
    <col min="4" max="4" width="14.5703125" style="564" bestFit="1" customWidth="1"/>
    <col min="5" max="5" width="15.7109375" style="564" bestFit="1" customWidth="1"/>
    <col min="6" max="6" width="13" style="565" customWidth="1"/>
    <col min="7" max="7" width="15.7109375" style="565" customWidth="1"/>
    <col min="8" max="10" width="13.28515625" style="565" customWidth="1"/>
    <col min="11" max="11" width="15.42578125" style="565" customWidth="1"/>
    <col min="12" max="12" width="14.5703125" style="565" customWidth="1"/>
    <col min="13" max="13" width="15.42578125" style="564" customWidth="1"/>
    <col min="14" max="14" width="13.7109375" style="565" customWidth="1"/>
    <col min="15" max="15" width="12.42578125" style="565" hidden="1" customWidth="1"/>
    <col min="16" max="16384" width="6" style="565"/>
  </cols>
  <sheetData>
    <row r="1" spans="1:15" ht="26.25">
      <c r="A1" s="561" t="s">
        <v>353</v>
      </c>
      <c r="B1" s="562"/>
      <c r="C1" s="563"/>
      <c r="D1" s="563"/>
    </row>
    <row r="3" spans="1:15">
      <c r="A3" s="565" t="s">
        <v>354</v>
      </c>
    </row>
    <row r="5" spans="1:15" ht="14.25">
      <c r="B5" s="565" t="s">
        <v>355</v>
      </c>
      <c r="C5" s="566">
        <v>15000000</v>
      </c>
    </row>
    <row r="6" spans="1:15" ht="14.25">
      <c r="B6" s="565" t="s">
        <v>356</v>
      </c>
      <c r="C6" s="566">
        <f>1238071+173</f>
        <v>1238244</v>
      </c>
    </row>
    <row r="7" spans="1:15" ht="14.25">
      <c r="B7" s="567" t="s">
        <v>357</v>
      </c>
      <c r="C7" s="566">
        <v>1400000</v>
      </c>
    </row>
    <row r="8" spans="1:15" ht="14.25">
      <c r="C8" s="568">
        <f>+C5+C6+C7</f>
        <v>17638244</v>
      </c>
    </row>
    <row r="9" spans="1:15" ht="14.25">
      <c r="C9" s="569"/>
    </row>
    <row r="10" spans="1:15" ht="14.25">
      <c r="C10" s="569"/>
    </row>
    <row r="12" spans="1:15">
      <c r="A12" s="570" t="s">
        <v>358</v>
      </c>
    </row>
    <row r="13" spans="1:15">
      <c r="C13" s="571" t="s">
        <v>43</v>
      </c>
      <c r="D13" s="572"/>
      <c r="E13" s="573"/>
      <c r="F13" s="574" t="s">
        <v>359</v>
      </c>
      <c r="G13" s="575"/>
      <c r="H13" s="576"/>
      <c r="I13" s="577"/>
      <c r="J13" s="577"/>
      <c r="K13" s="578"/>
    </row>
    <row r="14" spans="1:15">
      <c r="C14" s="571"/>
      <c r="D14" s="572"/>
      <c r="E14" s="573"/>
      <c r="F14" s="579" t="s">
        <v>360</v>
      </c>
      <c r="G14" s="574" t="s">
        <v>361</v>
      </c>
      <c r="H14" s="580"/>
      <c r="I14" s="574" t="s">
        <v>362</v>
      </c>
      <c r="J14" s="580"/>
      <c r="K14" s="581"/>
    </row>
    <row r="15" spans="1:15" ht="28.5">
      <c r="A15" s="582" t="s">
        <v>363</v>
      </c>
      <c r="B15" s="583" t="s">
        <v>364</v>
      </c>
      <c r="C15" s="584" t="s">
        <v>365</v>
      </c>
      <c r="D15" s="585" t="s">
        <v>366</v>
      </c>
      <c r="E15" s="586" t="s">
        <v>367</v>
      </c>
      <c r="F15" s="587" t="s">
        <v>365</v>
      </c>
      <c r="G15" s="587" t="s">
        <v>365</v>
      </c>
      <c r="H15" s="588" t="s">
        <v>366</v>
      </c>
      <c r="I15" s="587" t="s">
        <v>365</v>
      </c>
      <c r="J15" s="588" t="s">
        <v>366</v>
      </c>
      <c r="K15" s="589" t="s">
        <v>351</v>
      </c>
      <c r="L15" s="590" t="s">
        <v>368</v>
      </c>
      <c r="M15" s="591" t="s">
        <v>369</v>
      </c>
      <c r="N15" s="582" t="s">
        <v>370</v>
      </c>
      <c r="O15" s="582" t="s">
        <v>371</v>
      </c>
    </row>
    <row r="16" spans="1:15" ht="14.25">
      <c r="A16" s="592"/>
      <c r="B16" s="593"/>
      <c r="C16" s="594"/>
      <c r="D16" s="595"/>
      <c r="E16" s="594"/>
      <c r="F16" s="592"/>
      <c r="G16" s="592"/>
      <c r="H16" s="592"/>
      <c r="I16" s="592"/>
      <c r="J16" s="592"/>
      <c r="K16" s="592"/>
      <c r="L16" s="592"/>
      <c r="M16" s="594"/>
      <c r="N16" s="592"/>
      <c r="O16" s="592"/>
    </row>
    <row r="17" spans="1:15" ht="14.25">
      <c r="A17" s="596" t="s">
        <v>372</v>
      </c>
      <c r="B17" s="592" t="s">
        <v>373</v>
      </c>
      <c r="C17" s="594">
        <v>788384</v>
      </c>
      <c r="D17" s="595">
        <v>0</v>
      </c>
      <c r="E17" s="594">
        <f>+C17+D17</f>
        <v>788384</v>
      </c>
      <c r="F17" s="597">
        <v>622411.52000000002</v>
      </c>
      <c r="G17" s="597">
        <v>147822.74</v>
      </c>
      <c r="H17" s="597">
        <v>0</v>
      </c>
      <c r="I17" s="597">
        <v>0</v>
      </c>
      <c r="J17" s="597">
        <v>0</v>
      </c>
      <c r="K17" s="597">
        <f>SUM(F17:J17)</f>
        <v>770234.26</v>
      </c>
      <c r="L17" s="598">
        <v>7780.14</v>
      </c>
      <c r="M17" s="594">
        <f>E17-K17-L17</f>
        <v>10369.599999999991</v>
      </c>
      <c r="N17" s="599">
        <f>K17/E17</f>
        <v>0.97697855359824659</v>
      </c>
      <c r="O17" s="592"/>
    </row>
    <row r="18" spans="1:15" ht="14.25">
      <c r="A18" s="596" t="s">
        <v>374</v>
      </c>
      <c r="B18" s="592" t="s">
        <v>375</v>
      </c>
      <c r="C18" s="594">
        <v>75300</v>
      </c>
      <c r="D18" s="595">
        <v>0</v>
      </c>
      <c r="E18" s="594">
        <f t="shared" ref="E18:E27" si="0">+C18+D18</f>
        <v>75300</v>
      </c>
      <c r="F18" s="597">
        <v>58534.77</v>
      </c>
      <c r="G18" s="597">
        <f>11621.26+427.5</f>
        <v>12048.76</v>
      </c>
      <c r="H18" s="597">
        <v>0</v>
      </c>
      <c r="I18" s="597">
        <v>773.75</v>
      </c>
      <c r="J18" s="597">
        <v>0</v>
      </c>
      <c r="K18" s="597">
        <f t="shared" ref="K18:K27" si="1">SUM(F18:J18)</f>
        <v>71357.279999999999</v>
      </c>
      <c r="L18" s="598">
        <v>0</v>
      </c>
      <c r="M18" s="594">
        <f t="shared" ref="M18:M27" si="2">E18-K18-L18</f>
        <v>3942.7200000000012</v>
      </c>
      <c r="N18" s="599">
        <f t="shared" ref="N18:N27" si="3">K18/E18</f>
        <v>0.94763984063745021</v>
      </c>
      <c r="O18" s="592"/>
    </row>
    <row r="19" spans="1:15" ht="14.25">
      <c r="A19" s="596" t="s">
        <v>376</v>
      </c>
      <c r="B19" s="592" t="s">
        <v>377</v>
      </c>
      <c r="C19" s="600">
        <v>24000</v>
      </c>
      <c r="D19" s="594">
        <v>0</v>
      </c>
      <c r="E19" s="594">
        <f t="shared" si="0"/>
        <v>24000</v>
      </c>
      <c r="F19" s="597">
        <v>0</v>
      </c>
      <c r="G19" s="597">
        <v>24000</v>
      </c>
      <c r="H19" s="597">
        <v>0</v>
      </c>
      <c r="I19" s="597">
        <v>0</v>
      </c>
      <c r="J19" s="597">
        <v>0</v>
      </c>
      <c r="K19" s="597">
        <f t="shared" si="1"/>
        <v>24000</v>
      </c>
      <c r="L19" s="598">
        <v>0</v>
      </c>
      <c r="M19" s="594">
        <f t="shared" si="2"/>
        <v>0</v>
      </c>
      <c r="N19" s="599">
        <f>K19/E19</f>
        <v>1</v>
      </c>
      <c r="O19" s="592"/>
    </row>
    <row r="20" spans="1:15" ht="14.25">
      <c r="A20" s="596" t="s">
        <v>378</v>
      </c>
      <c r="B20" s="592" t="s">
        <v>379</v>
      </c>
      <c r="C20" s="594">
        <v>24000</v>
      </c>
      <c r="D20" s="595">
        <v>0</v>
      </c>
      <c r="E20" s="594">
        <f t="shared" si="0"/>
        <v>24000</v>
      </c>
      <c r="F20" s="597">
        <v>0</v>
      </c>
      <c r="G20" s="597">
        <v>24000</v>
      </c>
      <c r="H20" s="597">
        <v>0</v>
      </c>
      <c r="I20" s="597">
        <v>0</v>
      </c>
      <c r="J20" s="597">
        <v>0</v>
      </c>
      <c r="K20" s="597">
        <f t="shared" si="1"/>
        <v>24000</v>
      </c>
      <c r="L20" s="598">
        <v>0</v>
      </c>
      <c r="M20" s="594">
        <f t="shared" si="2"/>
        <v>0</v>
      </c>
      <c r="N20" s="599">
        <f t="shared" si="3"/>
        <v>1</v>
      </c>
      <c r="O20" s="592"/>
    </row>
    <row r="21" spans="1:15" ht="14.25">
      <c r="A21" s="596" t="s">
        <v>380</v>
      </c>
      <c r="B21" s="601" t="s">
        <v>381</v>
      </c>
      <c r="C21" s="594">
        <f>14694470+512863+146376</f>
        <v>15353709</v>
      </c>
      <c r="D21" s="602">
        <v>1400000</v>
      </c>
      <c r="E21" s="594">
        <f t="shared" si="0"/>
        <v>16753709</v>
      </c>
      <c r="F21" s="597">
        <v>0</v>
      </c>
      <c r="G21" s="597">
        <f>14789295.8-G26-G27</f>
        <v>15472665.600000001</v>
      </c>
      <c r="H21" s="597">
        <v>962468.4</v>
      </c>
      <c r="I21" s="597">
        <v>26141.46</v>
      </c>
      <c r="J21" s="597">
        <v>173847.54</v>
      </c>
      <c r="K21" s="597">
        <f>SUM(F21:J21)</f>
        <v>16635123.000000002</v>
      </c>
      <c r="L21" s="598">
        <v>80549</v>
      </c>
      <c r="M21" s="594">
        <f t="shared" si="2"/>
        <v>38036.999999998137</v>
      </c>
      <c r="N21" s="599">
        <f t="shared" si="3"/>
        <v>0.99292180615050685</v>
      </c>
      <c r="O21" s="592"/>
    </row>
    <row r="22" spans="1:15" ht="14.25">
      <c r="A22" s="596" t="s">
        <v>382</v>
      </c>
      <c r="B22" s="592" t="s">
        <v>383</v>
      </c>
      <c r="C22" s="594">
        <v>52590</v>
      </c>
      <c r="D22" s="595">
        <v>0</v>
      </c>
      <c r="E22" s="594">
        <f t="shared" si="0"/>
        <v>52590</v>
      </c>
      <c r="F22" s="597">
        <v>0</v>
      </c>
      <c r="G22" s="597">
        <v>57764.2</v>
      </c>
      <c r="H22" s="597">
        <v>0</v>
      </c>
      <c r="I22" s="597">
        <v>0</v>
      </c>
      <c r="J22" s="597">
        <v>0</v>
      </c>
      <c r="K22" s="597">
        <f t="shared" si="1"/>
        <v>57764.2</v>
      </c>
      <c r="L22" s="598">
        <v>0</v>
      </c>
      <c r="M22" s="594">
        <f t="shared" si="2"/>
        <v>-5174.1999999999971</v>
      </c>
      <c r="N22" s="599">
        <f t="shared" si="3"/>
        <v>1.098387526145655</v>
      </c>
      <c r="O22" s="592"/>
    </row>
    <row r="23" spans="1:15" ht="14.25">
      <c r="A23" s="596" t="s">
        <v>384</v>
      </c>
      <c r="B23" s="592" t="s">
        <v>385</v>
      </c>
      <c r="C23" s="594">
        <f>404500-D23</f>
        <v>404500</v>
      </c>
      <c r="D23" s="595">
        <v>0</v>
      </c>
      <c r="E23" s="594">
        <f t="shared" si="0"/>
        <v>404500</v>
      </c>
      <c r="F23" s="597">
        <v>0</v>
      </c>
      <c r="G23" s="597">
        <v>385358.19</v>
      </c>
      <c r="H23" s="597">
        <v>0</v>
      </c>
      <c r="I23" s="597">
        <v>15002.59</v>
      </c>
      <c r="J23" s="597">
        <v>0</v>
      </c>
      <c r="K23" s="597">
        <f t="shared" si="1"/>
        <v>400360.78</v>
      </c>
      <c r="L23" s="598">
        <v>0</v>
      </c>
      <c r="M23" s="594">
        <f t="shared" si="2"/>
        <v>4139.2199999999721</v>
      </c>
      <c r="N23" s="599">
        <f t="shared" si="3"/>
        <v>0.98976707045735479</v>
      </c>
      <c r="O23" s="592"/>
    </row>
    <row r="24" spans="1:15" ht="14.25">
      <c r="A24" s="596" t="s">
        <v>386</v>
      </c>
      <c r="B24" s="592" t="s">
        <v>387</v>
      </c>
      <c r="C24" s="594">
        <v>100000</v>
      </c>
      <c r="D24" s="595">
        <v>0</v>
      </c>
      <c r="E24" s="594">
        <f>+C24+D24</f>
        <v>100000</v>
      </c>
      <c r="F24" s="597">
        <v>0</v>
      </c>
      <c r="G24" s="597">
        <v>0</v>
      </c>
      <c r="H24" s="597">
        <v>0</v>
      </c>
      <c r="I24" s="597">
        <v>0</v>
      </c>
      <c r="J24" s="597">
        <v>0</v>
      </c>
      <c r="K24" s="597">
        <f t="shared" si="1"/>
        <v>0</v>
      </c>
      <c r="L24" s="598">
        <v>0</v>
      </c>
      <c r="M24" s="594">
        <f>E24-K24-L24</f>
        <v>100000</v>
      </c>
      <c r="N24" s="599">
        <f>K24/E24</f>
        <v>0</v>
      </c>
      <c r="O24" s="592"/>
    </row>
    <row r="25" spans="1:15" ht="14.25">
      <c r="A25" s="596" t="s">
        <v>388</v>
      </c>
      <c r="B25" s="592" t="s">
        <v>389</v>
      </c>
      <c r="C25" s="594">
        <v>75000</v>
      </c>
      <c r="D25" s="595">
        <v>0</v>
      </c>
      <c r="E25" s="594">
        <v>75000</v>
      </c>
      <c r="F25" s="597">
        <v>0</v>
      </c>
      <c r="G25" s="597">
        <v>75090.509999999995</v>
      </c>
      <c r="H25" s="597">
        <v>0</v>
      </c>
      <c r="I25" s="597">
        <v>0</v>
      </c>
      <c r="J25" s="597">
        <v>0</v>
      </c>
      <c r="K25" s="597">
        <f t="shared" si="1"/>
        <v>75090.509999999995</v>
      </c>
      <c r="L25" s="598">
        <v>0</v>
      </c>
      <c r="M25" s="594">
        <f>E25-K25-L25</f>
        <v>-90.509999999994761</v>
      </c>
      <c r="N25" s="599">
        <f>K25/E25</f>
        <v>1.0012067999999998</v>
      </c>
      <c r="O25" s="592"/>
    </row>
    <row r="26" spans="1:15" ht="14.25">
      <c r="A26" s="596"/>
      <c r="B26" s="592" t="s">
        <v>390</v>
      </c>
      <c r="C26" s="597">
        <v>-512863</v>
      </c>
      <c r="D26" s="595">
        <v>0</v>
      </c>
      <c r="E26" s="594">
        <f t="shared" si="0"/>
        <v>-512863</v>
      </c>
      <c r="F26" s="597">
        <v>0</v>
      </c>
      <c r="G26" s="597">
        <v>-498460</v>
      </c>
      <c r="H26" s="597">
        <v>0</v>
      </c>
      <c r="I26" s="597">
        <v>0</v>
      </c>
      <c r="J26" s="597">
        <v>0</v>
      </c>
      <c r="K26" s="597">
        <f t="shared" si="1"/>
        <v>-498460</v>
      </c>
      <c r="L26" s="597">
        <v>0</v>
      </c>
      <c r="M26" s="594">
        <f t="shared" si="2"/>
        <v>-14403</v>
      </c>
      <c r="N26" s="599">
        <f t="shared" si="3"/>
        <v>0.97191647671990378</v>
      </c>
      <c r="O26" s="592"/>
    </row>
    <row r="27" spans="1:15" ht="14.25">
      <c r="A27" s="596"/>
      <c r="B27" s="592" t="s">
        <v>391</v>
      </c>
      <c r="C27" s="597">
        <v>-146376</v>
      </c>
      <c r="D27" s="595">
        <v>0</v>
      </c>
      <c r="E27" s="594">
        <f t="shared" si="0"/>
        <v>-146376</v>
      </c>
      <c r="F27" s="597">
        <v>0</v>
      </c>
      <c r="G27" s="597">
        <v>-184909.8</v>
      </c>
      <c r="H27" s="597">
        <v>0</v>
      </c>
      <c r="I27" s="597">
        <v>0</v>
      </c>
      <c r="J27" s="597">
        <v>0</v>
      </c>
      <c r="K27" s="597">
        <f t="shared" si="1"/>
        <v>-184909.8</v>
      </c>
      <c r="L27" s="597">
        <v>0</v>
      </c>
      <c r="M27" s="594">
        <f t="shared" si="2"/>
        <v>38533.799999999988</v>
      </c>
      <c r="N27" s="599">
        <f t="shared" si="3"/>
        <v>1.2632521724872929</v>
      </c>
      <c r="O27" s="592"/>
    </row>
    <row r="28" spans="1:15" ht="15">
      <c r="A28" s="603"/>
      <c r="B28" s="592"/>
      <c r="C28" s="594"/>
      <c r="D28" s="595"/>
      <c r="E28" s="594"/>
      <c r="F28" s="604"/>
      <c r="G28" s="604"/>
      <c r="H28" s="604"/>
      <c r="I28" s="604"/>
      <c r="J28" s="604"/>
      <c r="K28" s="604"/>
      <c r="L28" s="597"/>
      <c r="M28" s="594"/>
      <c r="N28" s="592"/>
      <c r="O28" s="592"/>
    </row>
    <row r="29" spans="1:15" ht="14.25">
      <c r="A29" s="605"/>
      <c r="B29" s="605" t="s">
        <v>392</v>
      </c>
      <c r="C29" s="606">
        <f>SUM(C17:C28)</f>
        <v>16238244</v>
      </c>
      <c r="D29" s="606">
        <f>SUM(D17:D28)</f>
        <v>1400000</v>
      </c>
      <c r="E29" s="606">
        <f>SUM(E16:E27)</f>
        <v>17638244</v>
      </c>
      <c r="F29" s="607">
        <f t="shared" ref="F29:K29" si="4">SUM(F16:F27)</f>
        <v>680946.29</v>
      </c>
      <c r="G29" s="607">
        <f t="shared" si="4"/>
        <v>15515380.199999999</v>
      </c>
      <c r="H29" s="607">
        <f t="shared" si="4"/>
        <v>962468.4</v>
      </c>
      <c r="I29" s="607">
        <f t="shared" si="4"/>
        <v>41917.800000000003</v>
      </c>
      <c r="J29" s="607">
        <f t="shared" si="4"/>
        <v>173847.54</v>
      </c>
      <c r="K29" s="607">
        <f t="shared" si="4"/>
        <v>17374560.230000004</v>
      </c>
      <c r="L29" s="608">
        <f>SUM(L16:L27)</f>
        <v>88329.14</v>
      </c>
      <c r="M29" s="609">
        <f>SUM(M16:M28)</f>
        <v>175354.62999999808</v>
      </c>
      <c r="N29" s="610">
        <f>+K29/E29</f>
        <v>0.98505045230126109</v>
      </c>
      <c r="O29" s="605"/>
    </row>
    <row r="32" spans="1:15">
      <c r="E32" s="564">
        <f>+E29-17638244</f>
        <v>0</v>
      </c>
    </row>
    <row r="34" spans="2:12" ht="23.25">
      <c r="B34" s="562"/>
      <c r="C34" s="563"/>
      <c r="D34" s="563"/>
      <c r="E34" s="563"/>
    </row>
    <row r="38" spans="2:12">
      <c r="L38" s="565" t="s">
        <v>314</v>
      </c>
    </row>
  </sheetData>
  <pageMargins left="0.25" right="0.25" top="0.75" bottom="0.75" header="0.3" footer="0.3"/>
  <pageSetup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33"/>
  <sheetViews>
    <sheetView view="pageLayout" workbookViewId="0">
      <selection activeCell="E15" sqref="E15"/>
    </sheetView>
  </sheetViews>
  <sheetFormatPr defaultRowHeight="12.75"/>
  <cols>
    <col min="1" max="1" width="29.7109375" style="565" customWidth="1"/>
    <col min="2" max="2" width="25.7109375" style="565" customWidth="1"/>
    <col min="3" max="3" width="18.140625" style="565" bestFit="1" customWidth="1"/>
    <col min="4" max="6" width="16.42578125" style="565" customWidth="1"/>
    <col min="7" max="7" width="14.5703125" style="565" customWidth="1"/>
    <col min="8" max="8" width="16.5703125" style="565" customWidth="1"/>
    <col min="9" max="9" width="16.140625" style="565" customWidth="1"/>
    <col min="10" max="10" width="12.42578125" style="565" hidden="1" customWidth="1"/>
    <col min="11" max="16384" width="9.140625" style="565"/>
  </cols>
  <sheetData>
    <row r="1" spans="1:10" ht="26.25">
      <c r="A1" s="561" t="s">
        <v>393</v>
      </c>
      <c r="B1" s="562"/>
    </row>
    <row r="3" spans="1:10">
      <c r="A3" s="565" t="s">
        <v>354</v>
      </c>
    </row>
    <row r="5" spans="1:10" ht="14.25">
      <c r="D5" s="566">
        <v>4700000</v>
      </c>
      <c r="E5" s="567" t="s">
        <v>394</v>
      </c>
      <c r="F5" s="566"/>
    </row>
    <row r="6" spans="1:10" ht="14.25">
      <c r="D6" s="566">
        <v>-1043325</v>
      </c>
      <c r="E6" s="565" t="s">
        <v>395</v>
      </c>
      <c r="F6" s="566"/>
    </row>
    <row r="7" spans="1:10" ht="14.25">
      <c r="D7" s="568">
        <f>D5+D6</f>
        <v>3656675</v>
      </c>
      <c r="E7" s="566"/>
      <c r="F7" s="566"/>
    </row>
    <row r="9" spans="1:10">
      <c r="A9" s="570" t="str">
        <f>+'[1]K-8 STEM ACADEMY '!A12</f>
        <v>Expenditures as of 02/26/15</v>
      </c>
    </row>
    <row r="11" spans="1:10" ht="15.75" customHeight="1">
      <c r="A11" s="611"/>
      <c r="B11" s="612"/>
      <c r="C11" s="611"/>
      <c r="D11" s="613" t="s">
        <v>359</v>
      </c>
      <c r="E11" s="613"/>
      <c r="F11" s="613"/>
      <c r="G11" s="611"/>
      <c r="H11" s="611"/>
      <c r="I11" s="611"/>
      <c r="J11" s="582" t="s">
        <v>371</v>
      </c>
    </row>
    <row r="12" spans="1:10" ht="17.25" customHeight="1">
      <c r="A12" s="614" t="s">
        <v>363</v>
      </c>
      <c r="B12" s="615" t="s">
        <v>364</v>
      </c>
      <c r="C12" s="614" t="s">
        <v>396</v>
      </c>
      <c r="D12" s="582" t="s">
        <v>361</v>
      </c>
      <c r="E12" s="582" t="s">
        <v>362</v>
      </c>
      <c r="F12" s="582" t="s">
        <v>351</v>
      </c>
      <c r="G12" s="614" t="s">
        <v>397</v>
      </c>
      <c r="H12" s="614" t="s">
        <v>369</v>
      </c>
      <c r="I12" s="614" t="s">
        <v>370</v>
      </c>
      <c r="J12" s="582"/>
    </row>
    <row r="13" spans="1:10" ht="14.25">
      <c r="A13" s="592"/>
      <c r="B13" s="593"/>
      <c r="C13" s="616"/>
      <c r="D13" s="592"/>
      <c r="E13" s="592"/>
      <c r="F13" s="592"/>
      <c r="G13" s="592"/>
      <c r="H13" s="592"/>
      <c r="I13" s="592"/>
      <c r="J13" s="592"/>
    </row>
    <row r="14" spans="1:10" ht="14.25">
      <c r="A14" s="596" t="s">
        <v>398</v>
      </c>
      <c r="B14" s="592" t="s">
        <v>373</v>
      </c>
      <c r="C14" s="594">
        <v>212228</v>
      </c>
      <c r="D14" s="594">
        <v>212228</v>
      </c>
      <c r="E14" s="594"/>
      <c r="F14" s="594">
        <f>+D14+E14</f>
        <v>212228</v>
      </c>
      <c r="G14" s="594"/>
      <c r="H14" s="594">
        <f>+C14-F14-G14</f>
        <v>0</v>
      </c>
      <c r="I14" s="599">
        <f>+D14/C14</f>
        <v>1</v>
      </c>
      <c r="J14" s="592"/>
    </row>
    <row r="15" spans="1:10" ht="14.25">
      <c r="A15" s="596" t="s">
        <v>399</v>
      </c>
      <c r="B15" s="592" t="s">
        <v>375</v>
      </c>
      <c r="C15" s="594">
        <v>216972</v>
      </c>
      <c r="D15" s="594">
        <f>136117.27</f>
        <v>136117.26999999999</v>
      </c>
      <c r="E15" s="594">
        <v>28531.93</v>
      </c>
      <c r="F15" s="594">
        <f t="shared" ref="F15:F17" si="0">+D15+E15</f>
        <v>164649.19999999998</v>
      </c>
      <c r="G15" s="617"/>
      <c r="H15" s="594">
        <f t="shared" ref="H15:H17" si="1">+C15-F15-G15</f>
        <v>52322.800000000017</v>
      </c>
      <c r="I15" s="599">
        <f t="shared" ref="I15:I16" si="2">+D15/C15</f>
        <v>0.62734947366480465</v>
      </c>
      <c r="J15" s="592"/>
    </row>
    <row r="16" spans="1:10" ht="14.25">
      <c r="A16" s="596" t="s">
        <v>400</v>
      </c>
      <c r="B16" s="592" t="s">
        <v>401</v>
      </c>
      <c r="C16" s="594">
        <v>700000</v>
      </c>
      <c r="D16" s="594">
        <v>672955.75</v>
      </c>
      <c r="E16" s="594"/>
      <c r="F16" s="594">
        <f t="shared" si="0"/>
        <v>672955.75</v>
      </c>
      <c r="G16" s="594"/>
      <c r="H16" s="594">
        <f t="shared" si="1"/>
        <v>27044.25</v>
      </c>
      <c r="I16" s="599">
        <f t="shared" si="2"/>
        <v>0.96136535714285709</v>
      </c>
      <c r="J16" s="592"/>
    </row>
    <row r="17" spans="1:10" ht="14.25">
      <c r="A17" s="596" t="s">
        <v>402</v>
      </c>
      <c r="B17" s="601" t="s">
        <v>381</v>
      </c>
      <c r="C17" s="594">
        <v>2527475</v>
      </c>
      <c r="D17" s="594">
        <f>2399869.12+87605.88</f>
        <v>2487475</v>
      </c>
      <c r="E17" s="594"/>
      <c r="F17" s="594">
        <f t="shared" si="0"/>
        <v>2487475</v>
      </c>
      <c r="G17" s="594">
        <f>38703+1297</f>
        <v>40000</v>
      </c>
      <c r="H17" s="594">
        <f t="shared" si="1"/>
        <v>0</v>
      </c>
      <c r="I17" s="599">
        <f>+D17/C17</f>
        <v>0.98417392852550467</v>
      </c>
      <c r="J17" s="592"/>
    </row>
    <row r="18" spans="1:10" ht="14.25">
      <c r="A18" s="596"/>
      <c r="B18" s="592"/>
      <c r="C18" s="594"/>
      <c r="D18" s="594"/>
      <c r="E18" s="594"/>
      <c r="F18" s="594"/>
      <c r="G18" s="594"/>
      <c r="H18" s="594"/>
      <c r="I18" s="599"/>
      <c r="J18" s="592"/>
    </row>
    <row r="19" spans="1:10" ht="14.25">
      <c r="A19" s="596"/>
      <c r="B19" s="592"/>
      <c r="C19" s="594"/>
      <c r="D19" s="594"/>
      <c r="E19" s="594"/>
      <c r="F19" s="594"/>
      <c r="G19" s="594"/>
      <c r="H19" s="594"/>
      <c r="I19" s="599"/>
      <c r="J19" s="592"/>
    </row>
    <row r="20" spans="1:10" ht="14.25">
      <c r="A20" s="596"/>
      <c r="B20" s="592"/>
      <c r="C20" s="594"/>
      <c r="D20" s="594"/>
      <c r="E20" s="594"/>
      <c r="F20" s="594"/>
      <c r="G20" s="594"/>
      <c r="H20" s="594"/>
      <c r="I20" s="599"/>
      <c r="J20" s="592"/>
    </row>
    <row r="21" spans="1:10" ht="14.25">
      <c r="A21" s="596"/>
      <c r="B21" s="592"/>
      <c r="C21" s="594"/>
      <c r="D21" s="594"/>
      <c r="E21" s="594"/>
      <c r="F21" s="594"/>
      <c r="G21" s="594"/>
      <c r="H21" s="594"/>
      <c r="I21" s="599"/>
      <c r="J21" s="592"/>
    </row>
    <row r="22" spans="1:10" ht="14.25">
      <c r="A22" s="603"/>
      <c r="B22" s="592"/>
      <c r="C22" s="594"/>
      <c r="D22" s="594"/>
      <c r="E22" s="594"/>
      <c r="F22" s="594"/>
      <c r="G22" s="594"/>
      <c r="H22" s="594"/>
      <c r="I22" s="592"/>
      <c r="J22" s="592"/>
    </row>
    <row r="23" spans="1:10" ht="15">
      <c r="A23" s="603"/>
      <c r="B23" s="592"/>
      <c r="C23" s="594"/>
      <c r="D23" s="618"/>
      <c r="E23" s="618"/>
      <c r="F23" s="618"/>
      <c r="G23" s="594"/>
      <c r="H23" s="594"/>
      <c r="I23" s="592"/>
      <c r="J23" s="592"/>
    </row>
    <row r="24" spans="1:10" ht="14.25">
      <c r="A24" s="605"/>
      <c r="B24" s="605" t="s">
        <v>392</v>
      </c>
      <c r="C24" s="609">
        <f>SUM(C13:C23)</f>
        <v>3656675</v>
      </c>
      <c r="D24" s="609">
        <f t="shared" ref="D24:H24" si="3">SUM(D13:D23)</f>
        <v>3508776.02</v>
      </c>
      <c r="E24" s="609">
        <f t="shared" si="3"/>
        <v>28531.93</v>
      </c>
      <c r="F24" s="609">
        <f t="shared" si="3"/>
        <v>3537307.95</v>
      </c>
      <c r="G24" s="609">
        <f t="shared" si="3"/>
        <v>40000</v>
      </c>
      <c r="H24" s="609">
        <f t="shared" si="3"/>
        <v>79367.050000000017</v>
      </c>
      <c r="I24" s="610">
        <f>+D24/C24</f>
        <v>0.95955369837352245</v>
      </c>
      <c r="J24" s="605"/>
    </row>
    <row r="25" spans="1:10">
      <c r="C25" s="564"/>
      <c r="D25" s="564"/>
      <c r="E25" s="564"/>
      <c r="F25" s="564"/>
      <c r="G25" s="564"/>
      <c r="H25" s="564"/>
    </row>
    <row r="29" spans="1:10" ht="23.25">
      <c r="B29" s="562"/>
      <c r="C29" s="562"/>
    </row>
    <row r="33" spans="7:7">
      <c r="G33" s="565" t="s">
        <v>314</v>
      </c>
    </row>
  </sheetData>
  <pageMargins left="0.25" right="0.25" top="0.75" bottom="0.75" header="0.3" footer="0.3"/>
  <pageSetup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F32" sqref="E32:F32"/>
    </sheetView>
  </sheetViews>
  <sheetFormatPr defaultRowHeight="12.75"/>
  <cols>
    <col min="1" max="1" width="29.7109375" style="565" customWidth="1"/>
    <col min="2" max="2" width="25.7109375" style="565" customWidth="1"/>
    <col min="3" max="3" width="18.140625" style="565" bestFit="1" customWidth="1"/>
    <col min="4" max="4" width="16.42578125" style="565" customWidth="1"/>
    <col min="5" max="5" width="12.5703125" style="565" customWidth="1"/>
    <col min="6" max="6" width="16.5703125" style="565" customWidth="1"/>
    <col min="7" max="7" width="16.140625" style="565" customWidth="1"/>
    <col min="8" max="8" width="12.42578125" style="565" hidden="1" customWidth="1"/>
    <col min="9" max="16384" width="9.140625" style="565"/>
  </cols>
  <sheetData>
    <row r="1" spans="1:8" ht="26.25">
      <c r="A1" s="561" t="s">
        <v>403</v>
      </c>
      <c r="B1" s="562"/>
    </row>
    <row r="3" spans="1:8">
      <c r="A3" s="565" t="s">
        <v>354</v>
      </c>
      <c r="C3" s="564">
        <f>16024+26874+26874+543400+543400</f>
        <v>1156572</v>
      </c>
    </row>
    <row r="5" spans="1:8" ht="14.25">
      <c r="B5" s="619"/>
      <c r="C5" s="620"/>
    </row>
    <row r="6" spans="1:8" ht="14.25">
      <c r="B6" s="619"/>
      <c r="C6" s="566"/>
    </row>
    <row r="7" spans="1:8" ht="14.25">
      <c r="B7" s="619"/>
      <c r="C7" s="566"/>
    </row>
    <row r="8" spans="1:8" ht="14.25">
      <c r="B8" s="619"/>
      <c r="C8" s="620"/>
    </row>
    <row r="10" spans="1:8">
      <c r="A10" s="621" t="str">
        <f>+'[1]K-8 STEM ACADEMY '!A12</f>
        <v>Expenditures as of 02/26/15</v>
      </c>
    </row>
    <row r="12" spans="1:8" ht="42.75">
      <c r="A12" s="582" t="s">
        <v>363</v>
      </c>
      <c r="B12" s="583" t="s">
        <v>364</v>
      </c>
      <c r="C12" s="582" t="s">
        <v>396</v>
      </c>
      <c r="D12" s="582" t="s">
        <v>404</v>
      </c>
      <c r="E12" s="582" t="s">
        <v>397</v>
      </c>
      <c r="F12" s="582" t="s">
        <v>369</v>
      </c>
      <c r="G12" s="582" t="s">
        <v>370</v>
      </c>
      <c r="H12" s="582" t="s">
        <v>371</v>
      </c>
    </row>
    <row r="13" spans="1:8" ht="14.25">
      <c r="A13" s="592"/>
      <c r="B13" s="593"/>
      <c r="C13" s="616"/>
      <c r="D13" s="592"/>
      <c r="E13" s="592"/>
      <c r="F13" s="592"/>
      <c r="G13" s="592"/>
      <c r="H13" s="592"/>
    </row>
    <row r="14" spans="1:8" ht="14.25">
      <c r="A14" s="596" t="s">
        <v>405</v>
      </c>
      <c r="B14" s="592" t="s">
        <v>406</v>
      </c>
      <c r="C14" s="594">
        <v>16024</v>
      </c>
      <c r="D14" s="594">
        <v>15710</v>
      </c>
      <c r="E14" s="594"/>
      <c r="F14" s="594">
        <f>+C14-D14-E14</f>
        <v>314</v>
      </c>
      <c r="G14" s="599">
        <f>+D14/C14</f>
        <v>0.98040439340988517</v>
      </c>
      <c r="H14" s="592"/>
    </row>
    <row r="15" spans="1:8" ht="14.25">
      <c r="A15" s="596" t="s">
        <v>407</v>
      </c>
      <c r="B15" s="592" t="s">
        <v>408</v>
      </c>
      <c r="C15" s="594">
        <v>26874</v>
      </c>
      <c r="D15" s="594">
        <v>26347</v>
      </c>
      <c r="E15" s="594"/>
      <c r="F15" s="594">
        <f>+C15-D15-E15</f>
        <v>527</v>
      </c>
      <c r="G15" s="599">
        <f>+D15/C15</f>
        <v>0.98038996799880929</v>
      </c>
      <c r="H15" s="592"/>
    </row>
    <row r="16" spans="1:8" ht="14.25">
      <c r="A16" s="596" t="s">
        <v>409</v>
      </c>
      <c r="B16" s="601" t="s">
        <v>410</v>
      </c>
      <c r="C16" s="594">
        <v>26874</v>
      </c>
      <c r="D16" s="594">
        <v>26347</v>
      </c>
      <c r="E16" s="594"/>
      <c r="F16" s="594">
        <f t="shared" ref="F16:F18" si="0">+C16-D16-E16</f>
        <v>527</v>
      </c>
      <c r="G16" s="599">
        <f t="shared" ref="G16:G18" si="1">+D16/C16</f>
        <v>0.98038996799880929</v>
      </c>
      <c r="H16" s="592"/>
    </row>
    <row r="17" spans="1:8" ht="14.25">
      <c r="A17" s="596" t="s">
        <v>411</v>
      </c>
      <c r="B17" s="592" t="s">
        <v>412</v>
      </c>
      <c r="C17" s="594">
        <v>543400</v>
      </c>
      <c r="D17" s="594">
        <v>0</v>
      </c>
      <c r="E17" s="594"/>
      <c r="F17" s="594">
        <f t="shared" si="0"/>
        <v>543400</v>
      </c>
      <c r="G17" s="599">
        <f t="shared" si="1"/>
        <v>0</v>
      </c>
      <c r="H17" s="592"/>
    </row>
    <row r="18" spans="1:8" ht="14.25">
      <c r="A18" s="596" t="s">
        <v>413</v>
      </c>
      <c r="B18" s="592" t="s">
        <v>414</v>
      </c>
      <c r="C18" s="594">
        <v>543400</v>
      </c>
      <c r="D18" s="594">
        <v>532745</v>
      </c>
      <c r="E18" s="594"/>
      <c r="F18" s="594">
        <f t="shared" si="0"/>
        <v>10655</v>
      </c>
      <c r="G18" s="599">
        <f t="shared" si="1"/>
        <v>0.98039197644460807</v>
      </c>
      <c r="H18" s="592"/>
    </row>
    <row r="19" spans="1:8" ht="14.25">
      <c r="A19" s="596"/>
      <c r="B19" s="592"/>
      <c r="C19" s="594"/>
      <c r="D19" s="594"/>
      <c r="E19" s="594"/>
      <c r="F19" s="594"/>
      <c r="G19" s="599"/>
      <c r="H19" s="592"/>
    </row>
    <row r="20" spans="1:8" ht="14.25">
      <c r="A20" s="596"/>
      <c r="B20" s="592"/>
      <c r="C20" s="594"/>
      <c r="D20" s="594"/>
      <c r="E20" s="594"/>
      <c r="F20" s="594"/>
      <c r="G20" s="599"/>
      <c r="H20" s="592"/>
    </row>
    <row r="21" spans="1:8" ht="14.25">
      <c r="A21" s="596"/>
      <c r="B21" s="592"/>
      <c r="C21" s="594"/>
      <c r="D21" s="594"/>
      <c r="E21" s="594"/>
      <c r="F21" s="594"/>
      <c r="G21" s="599"/>
      <c r="H21" s="592"/>
    </row>
    <row r="22" spans="1:8" ht="14.25">
      <c r="A22" s="603"/>
      <c r="B22" s="592"/>
      <c r="C22" s="594"/>
      <c r="D22" s="594"/>
      <c r="E22" s="594"/>
      <c r="F22" s="594"/>
      <c r="G22" s="592"/>
      <c r="H22" s="592"/>
    </row>
    <row r="23" spans="1:8" ht="15">
      <c r="A23" s="603"/>
      <c r="B23" s="592"/>
      <c r="C23" s="594"/>
      <c r="D23" s="618"/>
      <c r="E23" s="594"/>
      <c r="F23" s="594"/>
      <c r="G23" s="592"/>
      <c r="H23" s="592"/>
    </row>
    <row r="24" spans="1:8" ht="14.25">
      <c r="A24" s="605"/>
      <c r="B24" s="605" t="s">
        <v>392</v>
      </c>
      <c r="C24" s="609">
        <f>SUM(C14:C23)</f>
        <v>1156572</v>
      </c>
      <c r="D24" s="609">
        <f t="shared" ref="D24:F24" si="2">SUM(D14:D23)</f>
        <v>601149</v>
      </c>
      <c r="E24" s="609">
        <f t="shared" si="2"/>
        <v>0</v>
      </c>
      <c r="F24" s="609">
        <f t="shared" si="2"/>
        <v>555423</v>
      </c>
      <c r="G24" s="610">
        <f>+D24/C24</f>
        <v>0.51976790031230224</v>
      </c>
      <c r="H24" s="605"/>
    </row>
    <row r="29" spans="1:8" ht="23.25">
      <c r="B29" s="562"/>
      <c r="C29" s="562"/>
    </row>
    <row r="33" spans="5:5">
      <c r="E33" s="565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K-8 STEM ACADEMY </vt:lpstr>
      <vt:lpstr>LMS RENOVATION 2014</vt:lpstr>
      <vt:lpstr>ROOFS</vt:lpstr>
      <vt:lpstr>'Rev Exp all fds'!Print_Area</vt:lpstr>
      <vt:lpstr>'Stat of Unaudited'!Print_Area</vt:lpstr>
      <vt:lpstr>'tax coll rep'!Print_Area</vt:lpstr>
      <vt:lpstr>Print_Area</vt:lpstr>
      <vt:lpstr>'GF Budget Amds'!Print_Titles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2015-03-03T19:07:09Z</cp:lastPrinted>
  <dcterms:created xsi:type="dcterms:W3CDTF">2011-10-25T18:13:49Z</dcterms:created>
  <dcterms:modified xsi:type="dcterms:W3CDTF">2015-05-29T19:44:57Z</dcterms:modified>
</cp:coreProperties>
</file>