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55" windowWidth="15195" windowHeight="4800" activeTab="2"/>
  </bookViews>
  <sheets>
    <sheet name="GF Budget Amds" sheetId="12" r:id="rId1"/>
    <sheet name="Fund Bal Comp" sheetId="1" r:id="rId2"/>
    <sheet name="Stat of Unaudited" sheetId="2" r:id="rId3"/>
    <sheet name="GO Cash Flow" sheetId="11" r:id="rId4"/>
    <sheet name="Debt Srv Cash Flow" sheetId="3" r:id="rId5"/>
    <sheet name="Bank Rec" sheetId="4" r:id="rId6"/>
    <sheet name="General Fund Inv" sheetId="5" r:id="rId7"/>
    <sheet name="Debt Srv Fund Inv" sheetId="10" r:id="rId8"/>
    <sheet name="Rev Exp all fds" sheetId="9" r:id="rId9"/>
    <sheet name="tax coll rep" sheetId="7" r:id="rId10"/>
    <sheet name="K-8 STEM ACADEMY " sheetId="13" r:id="rId11"/>
    <sheet name="BUS BARN" sheetId="14" r:id="rId12"/>
    <sheet name="LMS RENOVATION 2014" sheetId="15" r:id="rId13"/>
    <sheet name="ROOFS" sheetId="16" r:id="rId14"/>
  </sheets>
  <externalReferences>
    <externalReference r:id="rId15"/>
  </externalReferences>
  <definedNames>
    <definedName name="_xlnm.Print_Area" localSheetId="11">#REF!</definedName>
    <definedName name="_xlnm.Print_Area" localSheetId="10">#REF!</definedName>
    <definedName name="_xlnm.Print_Area" localSheetId="12">#REF!</definedName>
    <definedName name="_xlnm.Print_Area" localSheetId="8">'Rev Exp all fds'!$A$1:$BD$35</definedName>
    <definedName name="_xlnm.Print_Area" localSheetId="13">#REF!</definedName>
    <definedName name="_xlnm.Print_Area" localSheetId="2">'Stat of Unaudited'!$A$1:$I$62</definedName>
    <definedName name="_xlnm.Print_Area" localSheetId="9">'tax coll rep'!$A$1:$AC$66</definedName>
    <definedName name="_xlnm.Print_Area">'tax coll rep'!$A$1:$AB$66</definedName>
  </definedNames>
  <calcPr calcId="145621"/>
</workbook>
</file>

<file path=xl/calcChain.xml><?xml version="1.0" encoding="utf-8"?>
<calcChain xmlns="http://schemas.openxmlformats.org/spreadsheetml/2006/main">
  <c r="H21" i="12" l="1"/>
  <c r="F21" i="12"/>
  <c r="D21" i="12"/>
  <c r="E24" i="16" l="1"/>
  <c r="D24" i="16"/>
  <c r="G24" i="16" s="1"/>
  <c r="C24" i="16"/>
  <c r="G18" i="16"/>
  <c r="F18" i="16"/>
  <c r="G17" i="16"/>
  <c r="F17" i="16"/>
  <c r="G16" i="16"/>
  <c r="F16" i="16"/>
  <c r="G15" i="16"/>
  <c r="F15" i="16"/>
  <c r="G14" i="16"/>
  <c r="F14" i="16"/>
  <c r="F24" i="16" s="1"/>
  <c r="A10" i="16"/>
  <c r="C3" i="16"/>
  <c r="D23" i="15"/>
  <c r="G23" i="15" s="1"/>
  <c r="C23" i="15"/>
  <c r="E16" i="15"/>
  <c r="E23" i="15" s="1"/>
  <c r="D16" i="15"/>
  <c r="G16" i="15" s="1"/>
  <c r="G15" i="15"/>
  <c r="F15" i="15"/>
  <c r="G14" i="15"/>
  <c r="F14" i="15"/>
  <c r="G13" i="15"/>
  <c r="F13" i="15"/>
  <c r="A9" i="15"/>
  <c r="D7" i="15"/>
  <c r="I22" i="14"/>
  <c r="G22" i="14"/>
  <c r="F22" i="14"/>
  <c r="E22" i="14"/>
  <c r="D22" i="14"/>
  <c r="C22" i="14"/>
  <c r="H20" i="14"/>
  <c r="J20" i="14" s="1"/>
  <c r="E20" i="14"/>
  <c r="H19" i="14"/>
  <c r="J19" i="14" s="1"/>
  <c r="E19" i="14"/>
  <c r="H18" i="14"/>
  <c r="J18" i="14" s="1"/>
  <c r="E18" i="14"/>
  <c r="H17" i="14"/>
  <c r="J17" i="14" s="1"/>
  <c r="E17" i="14"/>
  <c r="H16" i="14"/>
  <c r="J16" i="14" s="1"/>
  <c r="E16" i="14"/>
  <c r="H15" i="14"/>
  <c r="J15" i="14" s="1"/>
  <c r="J22" i="14" s="1"/>
  <c r="E15" i="14"/>
  <c r="A11" i="14"/>
  <c r="C7" i="14"/>
  <c r="L29" i="13"/>
  <c r="J29" i="13"/>
  <c r="I29" i="13"/>
  <c r="H29" i="13"/>
  <c r="F29" i="13"/>
  <c r="D29" i="13"/>
  <c r="K27" i="13"/>
  <c r="N27" i="13" s="1"/>
  <c r="E27" i="13"/>
  <c r="K26" i="13"/>
  <c r="N26" i="13" s="1"/>
  <c r="E26" i="13"/>
  <c r="M26" i="13" s="1"/>
  <c r="K25" i="13"/>
  <c r="N25" i="13" s="1"/>
  <c r="K24" i="13"/>
  <c r="N24" i="13" s="1"/>
  <c r="E24" i="13"/>
  <c r="M24" i="13" s="1"/>
  <c r="K23" i="13"/>
  <c r="N23" i="13" s="1"/>
  <c r="E23" i="13"/>
  <c r="M23" i="13" s="1"/>
  <c r="C23" i="13"/>
  <c r="K22" i="13"/>
  <c r="N22" i="13" s="1"/>
  <c r="E22" i="13"/>
  <c r="M22" i="13" s="1"/>
  <c r="K21" i="13"/>
  <c r="G21" i="13"/>
  <c r="C21" i="13"/>
  <c r="C29" i="13" s="1"/>
  <c r="N20" i="13"/>
  <c r="K20" i="13"/>
  <c r="E20" i="13"/>
  <c r="M20" i="13" s="1"/>
  <c r="N19" i="13"/>
  <c r="K19" i="13"/>
  <c r="E19" i="13"/>
  <c r="M19" i="13" s="1"/>
  <c r="G18" i="13"/>
  <c r="G29" i="13" s="1"/>
  <c r="E18" i="13"/>
  <c r="K17" i="13"/>
  <c r="E17" i="13"/>
  <c r="M17" i="13" s="1"/>
  <c r="C8" i="13"/>
  <c r="C6" i="13"/>
  <c r="F23" i="15" l="1"/>
  <c r="F16" i="15"/>
  <c r="K15" i="14"/>
  <c r="K16" i="14"/>
  <c r="K17" i="14"/>
  <c r="K18" i="14"/>
  <c r="K19" i="14"/>
  <c r="K20" i="14"/>
  <c r="H22" i="14"/>
  <c r="K22" i="14" s="1"/>
  <c r="M18" i="13"/>
  <c r="N21" i="13"/>
  <c r="M25" i="13"/>
  <c r="M27" i="13"/>
  <c r="M29" i="13" s="1"/>
  <c r="E29" i="13"/>
  <c r="E32" i="13" s="1"/>
  <c r="K18" i="13"/>
  <c r="N18" i="13" s="1"/>
  <c r="E21" i="13"/>
  <c r="M21" i="13" s="1"/>
  <c r="N17" i="13"/>
  <c r="K29" i="13" l="1"/>
  <c r="N29" i="13" s="1"/>
  <c r="AA48" i="7" l="1"/>
  <c r="AA46" i="7"/>
  <c r="AA26" i="7"/>
  <c r="AA24" i="7"/>
  <c r="Q35" i="7"/>
  <c r="Q32" i="7"/>
  <c r="Q22" i="7"/>
  <c r="Q19" i="7"/>
  <c r="F36" i="7"/>
  <c r="F35" i="7"/>
  <c r="F22" i="7"/>
  <c r="D36" i="7"/>
  <c r="D35" i="7"/>
  <c r="D22" i="7"/>
  <c r="AU19" i="9" l="1"/>
  <c r="AK19" i="9"/>
  <c r="AH19" i="9"/>
  <c r="W19" i="9"/>
  <c r="Q19" i="9"/>
  <c r="I19" i="9"/>
  <c r="C19" i="9"/>
  <c r="E17" i="4"/>
  <c r="I30" i="3"/>
  <c r="I10" i="3"/>
  <c r="I7" i="3"/>
  <c r="I48" i="11"/>
  <c r="I47" i="11"/>
  <c r="I46" i="11"/>
  <c r="I7" i="11"/>
  <c r="F33" i="2" l="1"/>
  <c r="F30" i="2"/>
  <c r="F29" i="2"/>
  <c r="F28" i="2"/>
  <c r="F27" i="2"/>
  <c r="F26" i="2"/>
  <c r="F24" i="2"/>
  <c r="F23" i="2"/>
  <c r="F22" i="2"/>
  <c r="F21" i="2"/>
  <c r="F20" i="2"/>
  <c r="F19" i="2"/>
  <c r="F18" i="2"/>
  <c r="F17" i="2"/>
  <c r="F16" i="2"/>
  <c r="I16" i="2"/>
  <c r="I10" i="2"/>
  <c r="G30" i="3" l="1"/>
  <c r="G7" i="3"/>
  <c r="G47" i="11"/>
  <c r="G48" i="11"/>
  <c r="G46" i="11"/>
  <c r="G7" i="11"/>
  <c r="AU21" i="9" l="1"/>
  <c r="AW21" i="9" s="1"/>
  <c r="AW19" i="9"/>
  <c r="AU24" i="9"/>
  <c r="AU14" i="9"/>
  <c r="AW14" i="9" s="1"/>
  <c r="AW12" i="9"/>
  <c r="AR24" i="9"/>
  <c r="AR21" i="9"/>
  <c r="AT21" i="9" s="1"/>
  <c r="AT19" i="9"/>
  <c r="AR14" i="9"/>
  <c r="AT14" i="9" s="1"/>
  <c r="AT12" i="9"/>
  <c r="AN24" i="9"/>
  <c r="AP21" i="9"/>
  <c r="AN21" i="9"/>
  <c r="AP19" i="9"/>
  <c r="AN14" i="9"/>
  <c r="AP14" i="9" s="1"/>
  <c r="AP12" i="9"/>
  <c r="AK24" i="9"/>
  <c r="AM19" i="9"/>
  <c r="AJ19" i="9"/>
  <c r="AH24" i="9"/>
  <c r="AK14" i="9"/>
  <c r="AM14" i="9" s="1"/>
  <c r="AH14" i="9"/>
  <c r="AJ14" i="9" s="1"/>
  <c r="AM12" i="9"/>
  <c r="AJ12" i="9"/>
  <c r="AK21" i="9" l="1"/>
  <c r="AM21" i="9" s="1"/>
  <c r="AH21" i="9"/>
  <c r="AJ21" i="9" s="1"/>
  <c r="E30" i="3" l="1"/>
  <c r="E7" i="3"/>
  <c r="E48" i="11"/>
  <c r="E47" i="11"/>
  <c r="E46" i="11"/>
  <c r="E7" i="11"/>
  <c r="H33" i="2" l="1"/>
  <c r="F13" i="2"/>
  <c r="D87" i="1" l="1"/>
  <c r="C14" i="9" l="1"/>
  <c r="AB10" i="11"/>
  <c r="AB11" i="11"/>
  <c r="AB12" i="11"/>
  <c r="AB13" i="11"/>
  <c r="AB14" i="11"/>
  <c r="AB15" i="11"/>
  <c r="AB16" i="11"/>
  <c r="AB17" i="11"/>
  <c r="AB18" i="11"/>
  <c r="AB19" i="11"/>
  <c r="AB20" i="11"/>
  <c r="AB21" i="11"/>
  <c r="AB22" i="11"/>
  <c r="AB23" i="11"/>
  <c r="AB24" i="11"/>
  <c r="E36" i="2" l="1"/>
  <c r="J82" i="1" l="1"/>
  <c r="F38" i="1" l="1"/>
  <c r="F41" i="1"/>
  <c r="F49" i="1"/>
  <c r="F50" i="1"/>
  <c r="F16" i="1"/>
  <c r="F17" i="1"/>
  <c r="F18" i="1"/>
  <c r="F36" i="2" l="1"/>
  <c r="Y29" i="7" l="1"/>
  <c r="I19" i="2" l="1"/>
  <c r="I12" i="2"/>
  <c r="I11" i="2"/>
  <c r="I17" i="2"/>
  <c r="I18" i="2"/>
  <c r="I21" i="2"/>
  <c r="I22" i="2"/>
  <c r="I25" i="2"/>
  <c r="I26" i="2"/>
  <c r="I29" i="2"/>
  <c r="I30" i="2"/>
  <c r="I33" i="2"/>
  <c r="I34" i="2"/>
  <c r="F82" i="1"/>
  <c r="I32" i="2" l="1"/>
  <c r="I28" i="2"/>
  <c r="I24" i="2"/>
  <c r="I20" i="2"/>
  <c r="I35" i="2"/>
  <c r="I31" i="2"/>
  <c r="I27" i="2"/>
  <c r="I23" i="2"/>
  <c r="J39" i="1" l="1"/>
  <c r="J38" i="1"/>
  <c r="H10" i="2" l="1"/>
  <c r="N35" i="7" l="1"/>
  <c r="N61" i="7" l="1"/>
  <c r="N59" i="7"/>
  <c r="F53" i="7"/>
  <c r="D53" i="7"/>
  <c r="F52" i="7"/>
  <c r="D52" i="7"/>
  <c r="AA51" i="7"/>
  <c r="Y51" i="7"/>
  <c r="Q51" i="7"/>
  <c r="F51" i="7"/>
  <c r="D51" i="7"/>
  <c r="F50" i="7"/>
  <c r="D50" i="7"/>
  <c r="F49" i="7"/>
  <c r="D49" i="7"/>
  <c r="Q48" i="7"/>
  <c r="F48" i="7"/>
  <c r="D48" i="7"/>
  <c r="F47" i="7"/>
  <c r="D47" i="7"/>
  <c r="Q46" i="7"/>
  <c r="Q41" i="7"/>
  <c r="F41" i="7"/>
  <c r="D41" i="7"/>
  <c r="N38" i="7"/>
  <c r="N32" i="7"/>
  <c r="AA29" i="7"/>
  <c r="Q27" i="7"/>
  <c r="R27" i="7" s="1"/>
  <c r="F27" i="7"/>
  <c r="H27" i="7" s="1"/>
  <c r="D27" i="7"/>
  <c r="N25" i="7"/>
  <c r="N22" i="7"/>
  <c r="N48" i="7" s="1"/>
  <c r="R19" i="7"/>
  <c r="N19" i="7"/>
  <c r="H19" i="7"/>
  <c r="AQ24" i="9"/>
  <c r="AE24" i="9"/>
  <c r="AC24" i="9"/>
  <c r="Z24" i="9"/>
  <c r="W24" i="9"/>
  <c r="T24" i="9"/>
  <c r="Q24" i="9"/>
  <c r="L24" i="9"/>
  <c r="I24" i="9"/>
  <c r="F24" i="9"/>
  <c r="C24" i="9"/>
  <c r="AE21" i="9"/>
  <c r="Z21" i="9"/>
  <c r="W21" i="9"/>
  <c r="Y21" i="9" s="1"/>
  <c r="T21" i="9"/>
  <c r="V21" i="9" s="1"/>
  <c r="Q21" i="9"/>
  <c r="S21" i="9" s="1"/>
  <c r="L21" i="9"/>
  <c r="N21" i="9" s="1"/>
  <c r="I21" i="9"/>
  <c r="K21" i="9" s="1"/>
  <c r="F21" i="9"/>
  <c r="H21" i="9" s="1"/>
  <c r="C21" i="9"/>
  <c r="E21" i="9" s="1"/>
  <c r="AQ19" i="9"/>
  <c r="AG19" i="9"/>
  <c r="AC19" i="9"/>
  <c r="AB19" i="9"/>
  <c r="Y19" i="9"/>
  <c r="V19" i="9"/>
  <c r="S19" i="9"/>
  <c r="O19" i="9"/>
  <c r="N19" i="9"/>
  <c r="K19" i="9"/>
  <c r="H19" i="9"/>
  <c r="E19" i="9"/>
  <c r="AE14" i="9"/>
  <c r="Z14" i="9"/>
  <c r="W14" i="9"/>
  <c r="Y14" i="9" s="1"/>
  <c r="T14" i="9"/>
  <c r="V14" i="9" s="1"/>
  <c r="Q14" i="9"/>
  <c r="S14" i="9" s="1"/>
  <c r="L14" i="9"/>
  <c r="N14" i="9" s="1"/>
  <c r="I14" i="9"/>
  <c r="K14" i="9" s="1"/>
  <c r="F14" i="9"/>
  <c r="H14" i="9" s="1"/>
  <c r="E14" i="9"/>
  <c r="AG12" i="9"/>
  <c r="Y12" i="9"/>
  <c r="V12" i="9"/>
  <c r="S12" i="9"/>
  <c r="N12" i="9"/>
  <c r="K12" i="9"/>
  <c r="H12" i="9"/>
  <c r="E12" i="9"/>
  <c r="AQ3" i="9"/>
  <c r="O3" i="9"/>
  <c r="AC3" i="9" s="1"/>
  <c r="AQ2" i="9"/>
  <c r="AC2" i="9"/>
  <c r="O2" i="9"/>
  <c r="E16" i="10"/>
  <c r="L14" i="10"/>
  <c r="L16" i="10" s="1"/>
  <c r="M13" i="10"/>
  <c r="M16" i="10" s="1"/>
  <c r="I11" i="10"/>
  <c r="I12" i="10" s="1"/>
  <c r="I13" i="10" s="1"/>
  <c r="I14" i="10" s="1"/>
  <c r="I16" i="10" s="1"/>
  <c r="E46" i="5"/>
  <c r="L44" i="5"/>
  <c r="L46" i="5" s="1"/>
  <c r="A44" i="5"/>
  <c r="M43" i="5"/>
  <c r="M46" i="5" s="1"/>
  <c r="I41" i="5"/>
  <c r="I42" i="5" s="1"/>
  <c r="I43" i="5" s="1"/>
  <c r="I44" i="5" s="1"/>
  <c r="I46" i="5" s="1"/>
  <c r="A41" i="5"/>
  <c r="M31" i="5"/>
  <c r="E31" i="5"/>
  <c r="L29" i="5"/>
  <c r="L31" i="5" s="1"/>
  <c r="A29" i="5"/>
  <c r="M28" i="5"/>
  <c r="I26" i="5"/>
  <c r="I27" i="5" s="1"/>
  <c r="I28" i="5" s="1"/>
  <c r="I29" i="5" s="1"/>
  <c r="I31" i="5" s="1"/>
  <c r="A26" i="5"/>
  <c r="M16" i="5"/>
  <c r="E16" i="5"/>
  <c r="L14" i="5"/>
  <c r="L16" i="5" s="1"/>
  <c r="M13" i="5"/>
  <c r="I11" i="5"/>
  <c r="I12" i="5" s="1"/>
  <c r="I13" i="5" s="1"/>
  <c r="I14" i="5" s="1"/>
  <c r="I16" i="5" s="1"/>
  <c r="E34" i="3"/>
  <c r="C34" i="3"/>
  <c r="AB33" i="3"/>
  <c r="AB32" i="3"/>
  <c r="AB31" i="3"/>
  <c r="AB30" i="3"/>
  <c r="I34" i="3"/>
  <c r="G34" i="3"/>
  <c r="Y23" i="3"/>
  <c r="W23" i="3"/>
  <c r="U23" i="3"/>
  <c r="S23" i="3"/>
  <c r="Q23" i="3"/>
  <c r="O23" i="3"/>
  <c r="M23" i="3"/>
  <c r="K23" i="3"/>
  <c r="I23" i="3"/>
  <c r="G23" i="3"/>
  <c r="E23" i="3"/>
  <c r="C23" i="3"/>
  <c r="AB22" i="3"/>
  <c r="AB21" i="3"/>
  <c r="AB19" i="3"/>
  <c r="U19" i="3"/>
  <c r="S19" i="3"/>
  <c r="Q19" i="3"/>
  <c r="O19" i="3"/>
  <c r="M19" i="3"/>
  <c r="K19" i="3"/>
  <c r="I19" i="3"/>
  <c r="G19" i="3"/>
  <c r="E19" i="3"/>
  <c r="C19" i="3"/>
  <c r="AB18" i="3"/>
  <c r="Y15" i="3"/>
  <c r="Y25" i="3" s="1"/>
  <c r="W15" i="3"/>
  <c r="W25" i="3" s="1"/>
  <c r="U15" i="3"/>
  <c r="U25" i="3" s="1"/>
  <c r="S15" i="3"/>
  <c r="S25" i="3" s="1"/>
  <c r="Q15" i="3"/>
  <c r="O15" i="3"/>
  <c r="M15" i="3"/>
  <c r="K15" i="3"/>
  <c r="I15" i="3"/>
  <c r="G15" i="3"/>
  <c r="G25" i="3" s="1"/>
  <c r="E15" i="3"/>
  <c r="E25" i="3" s="1"/>
  <c r="C15" i="3"/>
  <c r="C25" i="3" s="1"/>
  <c r="C27" i="3" s="1"/>
  <c r="C36" i="3" s="1"/>
  <c r="AB14" i="3"/>
  <c r="AB13" i="3"/>
  <c r="AB12" i="3"/>
  <c r="AB11" i="3"/>
  <c r="AB10" i="3"/>
  <c r="AB7" i="3"/>
  <c r="Y54" i="11"/>
  <c r="W54" i="11"/>
  <c r="U54" i="11"/>
  <c r="S54" i="11"/>
  <c r="Q54" i="11"/>
  <c r="O54" i="11"/>
  <c r="M54" i="11"/>
  <c r="K54" i="11"/>
  <c r="I54" i="11"/>
  <c r="G54" i="11"/>
  <c r="E54" i="11"/>
  <c r="C54" i="11"/>
  <c r="AB53" i="11"/>
  <c r="AB52" i="11"/>
  <c r="AB51" i="11"/>
  <c r="AB50" i="11"/>
  <c r="AB49" i="11"/>
  <c r="AB48" i="11"/>
  <c r="AB47" i="11"/>
  <c r="AB46" i="11"/>
  <c r="Q39" i="11"/>
  <c r="AB38" i="11"/>
  <c r="AB37" i="11"/>
  <c r="AB36" i="11"/>
  <c r="AB35" i="11"/>
  <c r="Y33" i="11"/>
  <c r="Y39" i="11" s="1"/>
  <c r="W33" i="11"/>
  <c r="W39" i="11" s="1"/>
  <c r="U33" i="11"/>
  <c r="U39" i="11" s="1"/>
  <c r="S33" i="11"/>
  <c r="S39" i="11" s="1"/>
  <c r="Q33" i="11"/>
  <c r="O33" i="11"/>
  <c r="O39" i="11" s="1"/>
  <c r="M33" i="11"/>
  <c r="M39" i="11" s="1"/>
  <c r="K33" i="11"/>
  <c r="K39" i="11" s="1"/>
  <c r="I33" i="11"/>
  <c r="I39" i="11" s="1"/>
  <c r="G33" i="11"/>
  <c r="E33" i="11"/>
  <c r="E39" i="11" s="1"/>
  <c r="C33" i="11"/>
  <c r="C39" i="11" s="1"/>
  <c r="AB32" i="11"/>
  <c r="AB31" i="11"/>
  <c r="AB30" i="11"/>
  <c r="AB29" i="11"/>
  <c r="AB28" i="11"/>
  <c r="Y25" i="11"/>
  <c r="W25" i="11"/>
  <c r="U25" i="11"/>
  <c r="S25" i="11"/>
  <c r="Q25" i="11"/>
  <c r="O25" i="11"/>
  <c r="M25" i="11"/>
  <c r="K25" i="11"/>
  <c r="I25" i="11"/>
  <c r="G25" i="11"/>
  <c r="E25" i="11"/>
  <c r="C25" i="11"/>
  <c r="AB7" i="11"/>
  <c r="F43" i="2"/>
  <c r="F41" i="2"/>
  <c r="E41" i="2"/>
  <c r="D41" i="2"/>
  <c r="I36" i="2"/>
  <c r="D36" i="2"/>
  <c r="H35" i="2"/>
  <c r="G35" i="2"/>
  <c r="H34" i="2"/>
  <c r="G34" i="2"/>
  <c r="G33" i="2"/>
  <c r="H32" i="2"/>
  <c r="G32" i="2"/>
  <c r="H31" i="2"/>
  <c r="G31" i="2"/>
  <c r="H30" i="2"/>
  <c r="G30" i="2"/>
  <c r="H29" i="2"/>
  <c r="G29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H17" i="2"/>
  <c r="G17" i="2"/>
  <c r="H16" i="2"/>
  <c r="G16" i="2"/>
  <c r="I13" i="2"/>
  <c r="E13" i="2"/>
  <c r="D13" i="2"/>
  <c r="H12" i="2"/>
  <c r="G12" i="2"/>
  <c r="H11" i="2"/>
  <c r="G11" i="2"/>
  <c r="G10" i="2"/>
  <c r="J87" i="1"/>
  <c r="H85" i="1"/>
  <c r="J84" i="1"/>
  <c r="J83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I61" i="1"/>
  <c r="H61" i="1"/>
  <c r="J60" i="1"/>
  <c r="J59" i="1"/>
  <c r="J58" i="1"/>
  <c r="A90" i="1"/>
  <c r="F87" i="1"/>
  <c r="A87" i="1"/>
  <c r="D85" i="1"/>
  <c r="F84" i="1"/>
  <c r="F83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E61" i="1"/>
  <c r="D61" i="1"/>
  <c r="F60" i="1"/>
  <c r="F59" i="1"/>
  <c r="F58" i="1"/>
  <c r="J41" i="1"/>
  <c r="H36" i="1"/>
  <c r="E36" i="1"/>
  <c r="D36" i="1"/>
  <c r="J35" i="1"/>
  <c r="F35" i="1"/>
  <c r="J34" i="1"/>
  <c r="F34" i="1"/>
  <c r="J33" i="1"/>
  <c r="F33" i="1"/>
  <c r="J32" i="1"/>
  <c r="F32" i="1"/>
  <c r="J31" i="1"/>
  <c r="F31" i="1"/>
  <c r="J30" i="1"/>
  <c r="F30" i="1"/>
  <c r="J29" i="1"/>
  <c r="F29" i="1"/>
  <c r="J28" i="1"/>
  <c r="F28" i="1"/>
  <c r="J27" i="1"/>
  <c r="F27" i="1"/>
  <c r="J26" i="1"/>
  <c r="F26" i="1"/>
  <c r="J25" i="1"/>
  <c r="F25" i="1"/>
  <c r="J24" i="1"/>
  <c r="F24" i="1"/>
  <c r="J23" i="1"/>
  <c r="F23" i="1"/>
  <c r="J22" i="1"/>
  <c r="F22" i="1"/>
  <c r="J21" i="1"/>
  <c r="F21" i="1"/>
  <c r="J20" i="1"/>
  <c r="F20" i="1"/>
  <c r="J19" i="1"/>
  <c r="I36" i="1" s="1"/>
  <c r="F19" i="1"/>
  <c r="J18" i="1"/>
  <c r="J17" i="1"/>
  <c r="J16" i="1"/>
  <c r="I13" i="1"/>
  <c r="I44" i="1" s="1"/>
  <c r="H13" i="1"/>
  <c r="E13" i="1"/>
  <c r="D13" i="1"/>
  <c r="J12" i="1"/>
  <c r="F12" i="1"/>
  <c r="J11" i="1"/>
  <c r="F11" i="1"/>
  <c r="J10" i="1"/>
  <c r="F10" i="1"/>
  <c r="C41" i="11" l="1"/>
  <c r="C43" i="11" s="1"/>
  <c r="I25" i="3"/>
  <c r="M25" i="3"/>
  <c r="E27" i="3"/>
  <c r="F45" i="2"/>
  <c r="J61" i="1"/>
  <c r="F85" i="1"/>
  <c r="E85" i="1" s="1"/>
  <c r="H44" i="1"/>
  <c r="H90" i="1"/>
  <c r="J85" i="1"/>
  <c r="I85" i="1" s="1"/>
  <c r="F61" i="1"/>
  <c r="D90" i="1"/>
  <c r="J13" i="1"/>
  <c r="J44" i="1" s="1"/>
  <c r="Y41" i="11"/>
  <c r="W41" i="11"/>
  <c r="U41" i="11"/>
  <c r="D44" i="1"/>
  <c r="S41" i="11"/>
  <c r="Q25" i="3"/>
  <c r="Q41" i="11"/>
  <c r="O25" i="3"/>
  <c r="O41" i="11"/>
  <c r="F36" i="1"/>
  <c r="AB34" i="3"/>
  <c r="M41" i="11"/>
  <c r="K25" i="3"/>
  <c r="AB15" i="3"/>
  <c r="K41" i="11"/>
  <c r="J36" i="1"/>
  <c r="AB23" i="3"/>
  <c r="I41" i="11"/>
  <c r="AB33" i="11"/>
  <c r="N51" i="7"/>
  <c r="G39" i="11"/>
  <c r="G41" i="11" s="1"/>
  <c r="F13" i="1"/>
  <c r="AB54" i="11"/>
  <c r="E41" i="11"/>
  <c r="AB25" i="11"/>
  <c r="H36" i="2"/>
  <c r="G36" i="2"/>
  <c r="G13" i="2"/>
  <c r="D45" i="2"/>
  <c r="H13" i="2"/>
  <c r="Q54" i="7"/>
  <c r="N41" i="7"/>
  <c r="N46" i="7"/>
  <c r="F55" i="7"/>
  <c r="O19" i="7"/>
  <c r="N27" i="7"/>
  <c r="D55" i="7"/>
  <c r="F90" i="1" l="1"/>
  <c r="E43" i="11"/>
  <c r="E56" i="11" s="1"/>
  <c r="C56" i="11"/>
  <c r="AB25" i="3"/>
  <c r="AB27" i="3" s="1"/>
  <c r="E26" i="4" s="1"/>
  <c r="E34" i="4" s="1"/>
  <c r="E36" i="3"/>
  <c r="G27" i="3"/>
  <c r="J90" i="1"/>
  <c r="I90" i="1" s="1"/>
  <c r="E90" i="1"/>
  <c r="F44" i="1"/>
  <c r="E44" i="1" s="1"/>
  <c r="AB39" i="11"/>
  <c r="K34" i="3"/>
  <c r="M30" i="3" s="1"/>
  <c r="O30" i="3" s="1"/>
  <c r="Q30" i="3" s="1"/>
  <c r="S30" i="3" s="1"/>
  <c r="U30" i="3" s="1"/>
  <c r="AB41" i="11"/>
  <c r="AB43" i="11" s="1"/>
  <c r="N54" i="7"/>
  <c r="O27" i="7"/>
  <c r="G43" i="11" l="1"/>
  <c r="G56" i="11" s="1"/>
  <c r="AB36" i="3"/>
  <c r="M34" i="3"/>
  <c r="O34" i="3" s="1"/>
  <c r="I27" i="3"/>
  <c r="G36" i="3"/>
  <c r="AB56" i="11"/>
  <c r="E8" i="4"/>
  <c r="E20" i="4" s="1"/>
  <c r="Q34" i="3"/>
  <c r="I43" i="11" l="1"/>
  <c r="K43" i="11" s="1"/>
  <c r="K27" i="3"/>
  <c r="I36" i="3"/>
  <c r="E38" i="4"/>
  <c r="S34" i="3"/>
  <c r="I56" i="11" l="1"/>
  <c r="M7" i="11"/>
  <c r="M43" i="11" s="1"/>
  <c r="K56" i="11"/>
  <c r="M7" i="3"/>
  <c r="M27" i="3" s="1"/>
  <c r="K36" i="3"/>
  <c r="W30" i="3"/>
  <c r="Y30" i="3" s="1"/>
  <c r="U34" i="3"/>
  <c r="M56" i="11" l="1"/>
  <c r="O7" i="11"/>
  <c r="O43" i="11" s="1"/>
  <c r="O7" i="3"/>
  <c r="O27" i="3" s="1"/>
  <c r="M36" i="3"/>
  <c r="W34" i="3"/>
  <c r="Y34" i="3"/>
  <c r="Q7" i="11" l="1"/>
  <c r="Q43" i="11" s="1"/>
  <c r="O56" i="11"/>
  <c r="Q7" i="3"/>
  <c r="Q27" i="3" s="1"/>
  <c r="O36" i="3"/>
  <c r="S7" i="11" l="1"/>
  <c r="S43" i="11" s="1"/>
  <c r="Q56" i="11"/>
  <c r="S7" i="3"/>
  <c r="S27" i="3" s="1"/>
  <c r="Q36" i="3"/>
  <c r="U7" i="11" l="1"/>
  <c r="U43" i="11" s="1"/>
  <c r="S56" i="11"/>
  <c r="U7" i="3"/>
  <c r="U27" i="3" s="1"/>
  <c r="S36" i="3"/>
  <c r="W7" i="11" l="1"/>
  <c r="W43" i="11" s="1"/>
  <c r="U56" i="11"/>
  <c r="W7" i="3"/>
  <c r="W27" i="3" s="1"/>
  <c r="U36" i="3"/>
  <c r="Y7" i="11" l="1"/>
  <c r="Y43" i="11" s="1"/>
  <c r="Y56" i="11" s="1"/>
  <c r="W56" i="11"/>
  <c r="Y7" i="3"/>
  <c r="Y27" i="3" s="1"/>
  <c r="Y36" i="3" s="1"/>
  <c r="W36" i="3"/>
</calcChain>
</file>

<file path=xl/comments1.xml><?xml version="1.0" encoding="utf-8"?>
<comments xmlns="http://schemas.openxmlformats.org/spreadsheetml/2006/main">
  <authors>
    <author>BETH EULER</author>
  </authors>
  <commentList>
    <comment ref="I36" authorId="0">
      <text>
        <r>
          <rPr>
            <b/>
            <sz val="9"/>
            <color indexed="81"/>
            <rFont val="Tahoma"/>
            <charset val="1"/>
          </rPr>
          <t>Transfer TEA IFA &amp; EDA payments to Debt Service account</t>
        </r>
      </text>
    </comment>
    <comment ref="C52" authorId="0">
      <text>
        <r>
          <rPr>
            <b/>
            <sz val="9"/>
            <color indexed="81"/>
            <rFont val="Tahoma"/>
            <family val="2"/>
          </rPr>
          <t>xfr to GO bank account to pay STEM invoices</t>
        </r>
      </text>
    </comment>
  </commentList>
</comments>
</file>

<file path=xl/comments2.xml><?xml version="1.0" encoding="utf-8"?>
<comments xmlns="http://schemas.openxmlformats.org/spreadsheetml/2006/main">
  <authors>
    <author>BETH EULER</author>
  </authors>
  <commentList>
    <comment ref="I13" authorId="0">
      <text>
        <r>
          <rPr>
            <b/>
            <sz val="9"/>
            <color indexed="81"/>
            <rFont val="Tahoma"/>
            <charset val="1"/>
          </rPr>
          <t>TEA IFA &amp; EDA payments</t>
        </r>
      </text>
    </comment>
  </commentList>
</comments>
</file>

<file path=xl/sharedStrings.xml><?xml version="1.0" encoding="utf-8"?>
<sst xmlns="http://schemas.openxmlformats.org/spreadsheetml/2006/main" count="949" uniqueCount="439">
  <si>
    <t>GENERAL FUND</t>
  </si>
  <si>
    <t>DEBT SERVICE FUND</t>
  </si>
  <si>
    <t>PROPOSED</t>
  </si>
  <si>
    <t>CONTROL</t>
  </si>
  <si>
    <t>CURRENT</t>
  </si>
  <si>
    <t>AMENDMENTS</t>
  </si>
  <si>
    <t>AMENDED</t>
  </si>
  <si>
    <t>CODES</t>
  </si>
  <si>
    <t>REVENUES</t>
  </si>
  <si>
    <t>BUDGET</t>
  </si>
  <si>
    <t>LOCAL</t>
  </si>
  <si>
    <t>STATE</t>
  </si>
  <si>
    <t>FEDERAL</t>
  </si>
  <si>
    <t>Expenditures</t>
  </si>
  <si>
    <t>11 Instruction</t>
  </si>
  <si>
    <t>12 Library Services</t>
  </si>
  <si>
    <t>13 Staff Development</t>
  </si>
  <si>
    <t>21 Instructional Admin</t>
  </si>
  <si>
    <t>23 Campus Administration</t>
  </si>
  <si>
    <t>31 Guidance &amp; Counseling</t>
  </si>
  <si>
    <t>32 Attendance &amp; Social Services</t>
  </si>
  <si>
    <t>33 Health Services</t>
  </si>
  <si>
    <t>34 Student Transportation</t>
  </si>
  <si>
    <t>35 Food Services</t>
  </si>
  <si>
    <t>36 Co-curricular Activities</t>
  </si>
  <si>
    <t>41 General Administration</t>
  </si>
  <si>
    <t>51 Plant Maintenance</t>
  </si>
  <si>
    <t>52 Security</t>
  </si>
  <si>
    <t>53 Data Processing</t>
  </si>
  <si>
    <t>61 Community Services</t>
  </si>
  <si>
    <t>71 Debt Services</t>
  </si>
  <si>
    <t xml:space="preserve">    TOTAL EXPENDITURES</t>
  </si>
  <si>
    <t>FOOD SERVICE FUND</t>
  </si>
  <si>
    <t>PERIOD</t>
  </si>
  <si>
    <t>Y-T-D</t>
  </si>
  <si>
    <t>VARIANCE</t>
  </si>
  <si>
    <t>PERCENT</t>
  </si>
  <si>
    <t xml:space="preserve">PERCENT </t>
  </si>
  <si>
    <t>RECEIPTS/</t>
  </si>
  <si>
    <t>RECEIVED/</t>
  </si>
  <si>
    <t>FAVORABLE</t>
  </si>
  <si>
    <t>TO</t>
  </si>
  <si>
    <t>OF YEAR</t>
  </si>
  <si>
    <t>Budget</t>
  </si>
  <si>
    <t>EXPENDITURES</t>
  </si>
  <si>
    <t>ENC + EXP</t>
  </si>
  <si>
    <t>(UNFAVORABLE)</t>
  </si>
  <si>
    <t>TOTAL</t>
  </si>
  <si>
    <t>ELAPSED</t>
  </si>
  <si>
    <t xml:space="preserve">    TOTAL REVENUES</t>
  </si>
  <si>
    <t>0011</t>
  </si>
  <si>
    <t>Instruction</t>
  </si>
  <si>
    <t>0012</t>
  </si>
  <si>
    <t>Library Services</t>
  </si>
  <si>
    <t>0013</t>
  </si>
  <si>
    <t>0021</t>
  </si>
  <si>
    <t>0023</t>
  </si>
  <si>
    <t>0031</t>
  </si>
  <si>
    <t>0032</t>
  </si>
  <si>
    <t>0033</t>
  </si>
  <si>
    <t>Health Services</t>
  </si>
  <si>
    <t>0034</t>
  </si>
  <si>
    <t>Student Transportation</t>
  </si>
  <si>
    <t>0035</t>
  </si>
  <si>
    <t>Food Services</t>
  </si>
  <si>
    <t>0036</t>
  </si>
  <si>
    <t>Co-curricular Activities</t>
  </si>
  <si>
    <t>0041</t>
  </si>
  <si>
    <t>General Administration</t>
  </si>
  <si>
    <t>0051</t>
  </si>
  <si>
    <t>Plant Maintenance</t>
  </si>
  <si>
    <t>0052</t>
  </si>
  <si>
    <t>0053</t>
  </si>
  <si>
    <t>Data Processing</t>
  </si>
  <si>
    <t>0061</t>
  </si>
  <si>
    <t>Community Service</t>
  </si>
  <si>
    <t>0071</t>
  </si>
  <si>
    <t>Debt Services</t>
  </si>
  <si>
    <t>0081</t>
  </si>
  <si>
    <t>Facility Acquisition</t>
  </si>
  <si>
    <t>0095</t>
  </si>
  <si>
    <t>Pmt to Juvenile Justice</t>
  </si>
  <si>
    <t>OPERATING TRANSFERS</t>
  </si>
  <si>
    <t>Other Resources</t>
  </si>
  <si>
    <t>Other Uses</t>
  </si>
  <si>
    <t xml:space="preserve"> </t>
  </si>
  <si>
    <t xml:space="preserve">    TOTAL OPERATING TRANSFERS</t>
  </si>
  <si>
    <t>0100</t>
  </si>
  <si>
    <t>Year to Date Fund Bal. (unaudited)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</si>
  <si>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</si>
  <si>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</si>
  <si>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</si>
  <si>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</si>
  <si>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</si>
  <si>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</si>
  <si>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</si>
  <si>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</si>
  <si>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</si>
  <si>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</si>
  <si>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</si>
  <si>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</si>
  <si>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Actual</t>
  </si>
  <si>
    <t>Beginning Cash Balance in Bank</t>
  </si>
  <si>
    <t>RECEIPTS</t>
  </si>
  <si>
    <t>Tax Collections</t>
  </si>
  <si>
    <t>Interest</t>
  </si>
  <si>
    <t>Other Local Revenue</t>
  </si>
  <si>
    <t>State Revenue - Available School</t>
  </si>
  <si>
    <t>State Revenue - Foundation</t>
  </si>
  <si>
    <t>State Revenue - Debt Service</t>
  </si>
  <si>
    <t xml:space="preserve">State Revenue - Misc </t>
  </si>
  <si>
    <t>MAC Receipts/SHARS</t>
  </si>
  <si>
    <t xml:space="preserve">Federal Program Revenue </t>
  </si>
  <si>
    <t>Federal Program Revenue 240</t>
  </si>
  <si>
    <t>Lunch Revenue - local  240</t>
  </si>
  <si>
    <t>Transfers from Investment Acct</t>
  </si>
  <si>
    <t>Total Revenue</t>
  </si>
  <si>
    <t>DISBURSEMENTS</t>
  </si>
  <si>
    <t xml:space="preserve">Payroll Checks </t>
  </si>
  <si>
    <t>Accounts Payable Checks</t>
  </si>
  <si>
    <t>TRS Deposit</t>
  </si>
  <si>
    <t>IRS Deposit</t>
  </si>
  <si>
    <t>Bank Charges/ NSFs/Bk Trans</t>
  </si>
  <si>
    <t>Total Expenditures</t>
  </si>
  <si>
    <t>Cash to TEA</t>
  </si>
  <si>
    <t>Cash Transferred to Debt Service</t>
  </si>
  <si>
    <t>Other</t>
  </si>
  <si>
    <t>Total Expenditures &amp; Transfers</t>
  </si>
  <si>
    <t>Net Change in Cash</t>
  </si>
  <si>
    <t>Ending Cash Balance in bank</t>
  </si>
  <si>
    <t>Interest Earned TexStar</t>
  </si>
  <si>
    <t>Interest Earned MBIA</t>
  </si>
  <si>
    <t>Transfers in</t>
  </si>
  <si>
    <t>Transfers out</t>
  </si>
  <si>
    <t>Ending Cash Balance Invested</t>
  </si>
  <si>
    <t>TOTAL CASH AVAILABLE</t>
  </si>
  <si>
    <t>Operating Fund:</t>
  </si>
  <si>
    <t xml:space="preserve">  Balance per bank</t>
  </si>
  <si>
    <t>Balance per Books</t>
  </si>
  <si>
    <t>Interest &amp; Sinking Fund:</t>
  </si>
  <si>
    <t>Total Balance per Books</t>
  </si>
  <si>
    <t>SUMMARY OF CURRENT INVESTMENTS - BY FUND</t>
  </si>
  <si>
    <t>PURCHASE</t>
  </si>
  <si>
    <t>TYPE</t>
  </si>
  <si>
    <t>BEGINNING</t>
  </si>
  <si>
    <t>ENDING</t>
  </si>
  <si>
    <t>AVERAGE</t>
  </si>
  <si>
    <t>DAYS</t>
  </si>
  <si>
    <t>YIELD</t>
  </si>
  <si>
    <t xml:space="preserve">INTEREST </t>
  </si>
  <si>
    <t>W/D</t>
  </si>
  <si>
    <t>/SOLD</t>
  </si>
  <si>
    <t>TRADE</t>
  </si>
  <si>
    <t>CUSIP #</t>
  </si>
  <si>
    <t>OF</t>
  </si>
  <si>
    <t>PAR</t>
  </si>
  <si>
    <t>MARKET</t>
  </si>
  <si>
    <t>MONTHLY</t>
  </si>
  <si>
    <t>BOOK</t>
  </si>
  <si>
    <t xml:space="preserve">TO </t>
  </si>
  <si>
    <t>ACCRUED</t>
  </si>
  <si>
    <t>FOR</t>
  </si>
  <si>
    <t>DATE</t>
  </si>
  <si>
    <t>TICKET #</t>
  </si>
  <si>
    <t>INVESTMENT</t>
  </si>
  <si>
    <t>VALUE</t>
  </si>
  <si>
    <t>RATE</t>
  </si>
  <si>
    <t>MATURE</t>
  </si>
  <si>
    <t>FOR PERIOD</t>
  </si>
  <si>
    <t xml:space="preserve">FOR </t>
  </si>
  <si>
    <t>TexSTAR</t>
  </si>
  <si>
    <t>Investment Pool</t>
  </si>
  <si>
    <t>MBIA-Texas CLASS</t>
  </si>
  <si>
    <t>Investment</t>
  </si>
  <si>
    <t xml:space="preserve">          Page 1</t>
  </si>
  <si>
    <t>Page 2</t>
  </si>
  <si>
    <t xml:space="preserve">        Page 3</t>
  </si>
  <si>
    <t>Monthly Collection Status Report</t>
  </si>
  <si>
    <t>Cumulative Comparative Collection Status Report</t>
  </si>
  <si>
    <t>Levy Outstanding Status Report</t>
  </si>
  <si>
    <t xml:space="preserve">  </t>
  </si>
  <si>
    <t>Collections</t>
  </si>
  <si>
    <t>Cumulative Total</t>
  </si>
  <si>
    <t>%</t>
  </si>
  <si>
    <t>Current Tax Year</t>
  </si>
  <si>
    <t>Delinquent Tax Years</t>
  </si>
  <si>
    <t>Current Tax Year Collections</t>
  </si>
  <si>
    <t>Current Month:</t>
  </si>
  <si>
    <t xml:space="preserve">      Base M&amp;O</t>
  </si>
  <si>
    <t xml:space="preserve">      Base  M&amp;O + I&amp;S</t>
  </si>
  <si>
    <t xml:space="preserve">      Base I&amp;S  </t>
  </si>
  <si>
    <t xml:space="preserve">      Base I&amp;S Bond</t>
  </si>
  <si>
    <t xml:space="preserve">      P&amp;I M&amp;O</t>
  </si>
  <si>
    <t xml:space="preserve">      P&amp;I  M&amp;O + I&amp;S</t>
  </si>
  <si>
    <t xml:space="preserve">      P&amp;I I&amp;S </t>
  </si>
  <si>
    <t xml:space="preserve">      P&amp;I I&amp;S Bond</t>
  </si>
  <si>
    <t xml:space="preserve">      Attorney Fee </t>
  </si>
  <si>
    <t xml:space="preserve">      Attorney Fee</t>
  </si>
  <si>
    <t>Base M&amp;O + I&amp;S Collections</t>
  </si>
  <si>
    <t xml:space="preserve">   </t>
  </si>
  <si>
    <t>Subtotal</t>
  </si>
  <si>
    <t xml:space="preserve">Supplement/Adjustments </t>
  </si>
  <si>
    <t>Delinquent TaxYears Collections</t>
  </si>
  <si>
    <t>Delinquent Tax Years Collections</t>
  </si>
  <si>
    <t xml:space="preserve">      Base I&amp;S   </t>
  </si>
  <si>
    <t xml:space="preserve">          Other*</t>
  </si>
  <si>
    <t>Combined Current &amp; Delinquent:</t>
  </si>
  <si>
    <t>Supplement/Adjustments</t>
  </si>
  <si>
    <t xml:space="preserve">          Other</t>
  </si>
  <si>
    <t>Total Collections</t>
  </si>
  <si>
    <t>Fund:  211</t>
  </si>
  <si>
    <t>Fund:  224</t>
  </si>
  <si>
    <t>Fund:  225</t>
  </si>
  <si>
    <t>Fund:  255</t>
  </si>
  <si>
    <t>Fund:  263</t>
  </si>
  <si>
    <t>Fund:  240</t>
  </si>
  <si>
    <t>Fund:  511</t>
  </si>
  <si>
    <t>General Operating</t>
  </si>
  <si>
    <t>Food Service</t>
  </si>
  <si>
    <t>Debt Service</t>
  </si>
  <si>
    <t>Revenue Budget</t>
  </si>
  <si>
    <t>Period Receipts</t>
  </si>
  <si>
    <t>Revenue Received to Date</t>
  </si>
  <si>
    <t>Revenues Receivable:</t>
  </si>
  <si>
    <t>Expenditure Budget</t>
  </si>
  <si>
    <t>Period Expenditures</t>
  </si>
  <si>
    <t>Exp./Encumbrances to Date</t>
  </si>
  <si>
    <t>Balance to Expend:</t>
  </si>
  <si>
    <t>Actual Revenue Over (Under)</t>
  </si>
  <si>
    <t>Actual Expenditures &amp; Encumbrances:</t>
  </si>
  <si>
    <t>Actual Expenditures:</t>
  </si>
  <si>
    <t>page 2</t>
  </si>
  <si>
    <t>page 3</t>
  </si>
  <si>
    <t>page 4</t>
  </si>
  <si>
    <t>page 1</t>
  </si>
  <si>
    <t>Little Elm Independent School District</t>
  </si>
  <si>
    <t>1XX</t>
  </si>
  <si>
    <t>99 Intergovernmental Charges</t>
  </si>
  <si>
    <t>95 Payments to JUV Justice Alt</t>
  </si>
  <si>
    <t>81 Facilities</t>
  </si>
  <si>
    <t>School Leadership</t>
  </si>
  <si>
    <t>Instructional Leadership</t>
  </si>
  <si>
    <t>Curriculum &amp; Staff Development</t>
  </si>
  <si>
    <t>Guidance &amp; Counseling</t>
  </si>
  <si>
    <t>Social Work Services</t>
  </si>
  <si>
    <t>Security &amp; Monitoring</t>
  </si>
  <si>
    <t>0099</t>
  </si>
  <si>
    <t>Intergovernmental Charges</t>
  </si>
  <si>
    <t>Fund 1XX</t>
  </si>
  <si>
    <t>Payroll Deposits</t>
  </si>
  <si>
    <t>General Operating Cash Flow Statement</t>
  </si>
  <si>
    <t>Beginning Cash Balance Lone Star</t>
  </si>
  <si>
    <t>Beginning Cash Balance TexStar</t>
  </si>
  <si>
    <t>Interest Earned Lone Star</t>
  </si>
  <si>
    <t>Transfers to Investment Accounts</t>
  </si>
  <si>
    <t>Beginning Cash Balance MBIA</t>
  </si>
  <si>
    <t>CHILD CARE</t>
  </si>
  <si>
    <t>LITTLE ELM INDEPENDENT SCHOOL DISTRICT</t>
  </si>
  <si>
    <t>Lone Star</t>
  </si>
  <si>
    <t>Withdrawal</t>
  </si>
  <si>
    <t>General Fund 199</t>
  </si>
  <si>
    <t>Construction Fund 647</t>
  </si>
  <si>
    <t>Debt Service Fund 511</t>
  </si>
  <si>
    <t>TexPool</t>
  </si>
  <si>
    <t>Debt Service Cash Flow Statement</t>
  </si>
  <si>
    <t>Beginning Cash Balance TexPool</t>
  </si>
  <si>
    <t>Interest Earned TexPool</t>
  </si>
  <si>
    <t>Fund:  1XX</t>
  </si>
  <si>
    <t>Fund:  244</t>
  </si>
  <si>
    <t>Title II TPTR</t>
  </si>
  <si>
    <t>IDEA-B Formula</t>
  </si>
  <si>
    <t>IDEA-B Pre-School</t>
  </si>
  <si>
    <t>Fund 410</t>
  </si>
  <si>
    <t>Fund:  720</t>
  </si>
  <si>
    <t>Child Care</t>
  </si>
  <si>
    <t>Title III, Part A</t>
  </si>
  <si>
    <t>LEP/Immigrant</t>
  </si>
  <si>
    <t>Basic Grant</t>
  </si>
  <si>
    <t>Voc Ed</t>
  </si>
  <si>
    <t>Improving Basic</t>
  </si>
  <si>
    <t>Title I-A</t>
  </si>
  <si>
    <t>(Spec Ed)</t>
  </si>
  <si>
    <t>Fund:  647</t>
  </si>
  <si>
    <t>Denton County</t>
  </si>
  <si>
    <t>Little Elm ISD</t>
  </si>
  <si>
    <t>% of</t>
  </si>
  <si>
    <t>Tax Levy</t>
  </si>
  <si>
    <t xml:space="preserve">% of </t>
  </si>
  <si>
    <t>Collections thru</t>
  </si>
  <si>
    <t xml:space="preserve">  Add:  </t>
  </si>
  <si>
    <t>TexStar</t>
  </si>
  <si>
    <t>Texas Class/MBIA</t>
  </si>
  <si>
    <t>Texpool</t>
  </si>
  <si>
    <t xml:space="preserve">  Less:</t>
  </si>
  <si>
    <t>Outstanding Checks</t>
  </si>
  <si>
    <t>Outstanding Checks/Wires</t>
  </si>
  <si>
    <t>Deposits in Transit</t>
  </si>
  <si>
    <t>Taxes in Transit</t>
  </si>
  <si>
    <t>Approved</t>
  </si>
  <si>
    <t>Cash and Investments Reconciliation</t>
  </si>
  <si>
    <t>Instructional Materials</t>
  </si>
  <si>
    <t>Fund 289</t>
  </si>
  <si>
    <t>Summer School LEP</t>
  </si>
  <si>
    <t>APIB Campus Awards</t>
  </si>
  <si>
    <t>Transfers from Debt Service</t>
  </si>
  <si>
    <t>Transfer to General Operating</t>
  </si>
  <si>
    <t>Fund 397</t>
  </si>
  <si>
    <t>Transfer from General Operating</t>
  </si>
  <si>
    <t>Bond Refunding</t>
  </si>
  <si>
    <t>ORIGINAL</t>
  </si>
  <si>
    <t>Tax Year 2013</t>
  </si>
  <si>
    <t>00 Other Uses</t>
  </si>
  <si>
    <t>00 Other Resources</t>
  </si>
  <si>
    <t>Proceeds Maintenance Tax Notes</t>
  </si>
  <si>
    <t>`</t>
  </si>
  <si>
    <t>Page 2 of 2</t>
  </si>
  <si>
    <t>Page 1 of 2</t>
  </si>
  <si>
    <t>2014-2015</t>
  </si>
  <si>
    <t>2014-2015 Fund Balance Comparison</t>
  </si>
  <si>
    <t>Statement of Unaudited Revenues and Expenditures - Budget vs. Actual</t>
  </si>
  <si>
    <t>FY 2014-2015</t>
  </si>
  <si>
    <t>FUND BALANCE 08/31/14</t>
  </si>
  <si>
    <t>Original 2014 Tax Levy</t>
  </si>
  <si>
    <t>Current 2014 Tax Levy</t>
  </si>
  <si>
    <t>Tax Year 2014</t>
  </si>
  <si>
    <t>Adjusted 2013 Tax Levy</t>
  </si>
  <si>
    <t>Original 2014 Tax Levy (as of 10-1-14)</t>
  </si>
  <si>
    <t>Fund Balance 08/31/14</t>
  </si>
  <si>
    <t>as of December 31, 2014</t>
  </si>
  <si>
    <t>As of December 31, 2014</t>
  </si>
  <si>
    <t>MONTH ENDED:  December 31, 2014</t>
  </si>
  <si>
    <t>MONTH ENDED: December 31, 2014</t>
  </si>
  <si>
    <t>Accounting Period: 12</t>
  </si>
  <si>
    <t>Summary of Revenue &amp; Expenditures As Of  12/31/14</t>
  </si>
  <si>
    <t>2012 &amp; 2014 Bonds</t>
  </si>
  <si>
    <t>Month of December</t>
  </si>
  <si>
    <t>10/1/14 thru 12/31/14</t>
  </si>
  <si>
    <t>December 2014</t>
  </si>
  <si>
    <t>December 2013</t>
  </si>
  <si>
    <r>
      <t>Tax Levy Remaining as of</t>
    </r>
    <r>
      <rPr>
        <sz val="12"/>
        <color theme="4"/>
        <rFont val="Arial"/>
        <family val="2"/>
      </rPr>
      <t xml:space="preserve"> 12/01/14</t>
    </r>
  </si>
  <si>
    <r>
      <t xml:space="preserve">Remaining Levy as of </t>
    </r>
    <r>
      <rPr>
        <sz val="12"/>
        <color theme="4"/>
        <rFont val="Arial"/>
        <family val="2"/>
      </rPr>
      <t xml:space="preserve"> 12/31/14</t>
    </r>
  </si>
  <si>
    <r>
      <t xml:space="preserve">Cumulative (From 10/01/14 thru </t>
    </r>
    <r>
      <rPr>
        <sz val="12"/>
        <color theme="4"/>
        <rFont val="Arial"/>
        <family val="2"/>
      </rPr>
      <t>12/31/14</t>
    </r>
    <r>
      <rPr>
        <sz val="12"/>
        <color indexed="8"/>
        <rFont val="Arial"/>
        <family val="2"/>
      </rPr>
      <t>)</t>
    </r>
  </si>
  <si>
    <r>
      <t xml:space="preserve">Remaining Levy as of  </t>
    </r>
    <r>
      <rPr>
        <sz val="12"/>
        <color theme="4"/>
        <rFont val="Arial"/>
        <family val="2"/>
      </rPr>
      <t>12/31/14</t>
    </r>
  </si>
  <si>
    <r>
      <t xml:space="preserve">EST FUND BALANCE </t>
    </r>
    <r>
      <rPr>
        <b/>
        <sz val="10"/>
        <color theme="4"/>
        <rFont val="Geneva"/>
      </rPr>
      <t>12/31/14</t>
    </r>
  </si>
  <si>
    <t>Fund</t>
  </si>
  <si>
    <t>FX</t>
  </si>
  <si>
    <t>Decrease</t>
  </si>
  <si>
    <t>Increase</t>
  </si>
  <si>
    <t>Org</t>
  </si>
  <si>
    <t>Effect on Budget</t>
  </si>
  <si>
    <t>Reason</t>
  </si>
  <si>
    <t>To reallocate funds to cover employee travel</t>
  </si>
  <si>
    <t>Total</t>
  </si>
  <si>
    <t>Board Approval: ___________________________________</t>
  </si>
  <si>
    <t>To reallocate funds to cover repairs &amp; maint.</t>
  </si>
  <si>
    <t>To reallocate funds to cover copier expenses</t>
  </si>
  <si>
    <t>To reallocate funds to additional reading materials</t>
  </si>
  <si>
    <t>To reallocate funds to cover contracted services</t>
  </si>
  <si>
    <t>To reallocate funds to cover student travel</t>
  </si>
  <si>
    <t>To reallocate funds to contracted services expenses</t>
  </si>
  <si>
    <t xml:space="preserve">K-8 STEM ACADEMY  </t>
  </si>
  <si>
    <t>Total Project Authorized by Board of Trustees</t>
  </si>
  <si>
    <t>Bond Construction Funds</t>
  </si>
  <si>
    <t>Bond Fund with interest est.</t>
  </si>
  <si>
    <t>General Fund Add'l House</t>
  </si>
  <si>
    <t>Expenditures as of 01/30/15</t>
  </si>
  <si>
    <t>Expenditures to Date</t>
  </si>
  <si>
    <t>FY 12-13</t>
  </si>
  <si>
    <t>FY 13-14</t>
  </si>
  <si>
    <t>FY 14-15</t>
  </si>
  <si>
    <t>Project Codes</t>
  </si>
  <si>
    <t>Project</t>
  </si>
  <si>
    <t>Fund 647</t>
  </si>
  <si>
    <t>Fund 199</t>
  </si>
  <si>
    <t>Total  Project Cost</t>
  </si>
  <si>
    <t>Closeout Not Yet Paid</t>
  </si>
  <si>
    <t>Available +/-</t>
  </si>
  <si>
    <t>% of Budget Committed</t>
  </si>
  <si>
    <t>% of Project Complete</t>
  </si>
  <si>
    <t>81-6629-00-999-X99000</t>
  </si>
  <si>
    <t>Architect Fees</t>
  </si>
  <si>
    <t>81-6629-01-999-X99000</t>
  </si>
  <si>
    <t>Miscellaneous</t>
  </si>
  <si>
    <t>81-6629-02-999-X99000</t>
  </si>
  <si>
    <t>Technology Design Fees</t>
  </si>
  <si>
    <t>81-6629-03-999-X99000</t>
  </si>
  <si>
    <t>Furnishings Design Fees</t>
  </si>
  <si>
    <t>81-6629-04-999-X99000</t>
  </si>
  <si>
    <t xml:space="preserve">Construction </t>
  </si>
  <si>
    <t>81-6629-05-999-X99000</t>
  </si>
  <si>
    <t>Architect Fees 3rd House</t>
  </si>
  <si>
    <t>81-6629-06-999-X99000</t>
  </si>
  <si>
    <t xml:space="preserve">Furnishings </t>
  </si>
  <si>
    <t>81-6629-07-999-X99000</t>
  </si>
  <si>
    <t xml:space="preserve">Technology     </t>
  </si>
  <si>
    <t>81-6629-08-999-X99000</t>
  </si>
  <si>
    <t>Playground Equipment</t>
  </si>
  <si>
    <t>Child Nutrition Credit</t>
  </si>
  <si>
    <t>Tribute Credit</t>
  </si>
  <si>
    <t xml:space="preserve">Total </t>
  </si>
  <si>
    <t>Bus Barn / Maintenance Facility</t>
  </si>
  <si>
    <t>General Fund</t>
  </si>
  <si>
    <t>Total Project Cost</t>
  </si>
  <si>
    <t>FY 13-14 Fund 647</t>
  </si>
  <si>
    <t>Less Retainage</t>
  </si>
  <si>
    <t>81-6629-10-999-X99000</t>
  </si>
  <si>
    <t>81-6629-11-999-X99000</t>
  </si>
  <si>
    <t>81-6629-12-999-X99000</t>
  </si>
  <si>
    <t>Propane Fueling Station</t>
  </si>
  <si>
    <t>81-6629-13-999-X99000</t>
  </si>
  <si>
    <t>Wash Bay</t>
  </si>
  <si>
    <t>81-6629-14-999-X99000</t>
  </si>
  <si>
    <t>81-6629-15-999-X99000</t>
  </si>
  <si>
    <t>CM Contingency</t>
  </si>
  <si>
    <t>LAKESIDE MIDDLE SCHOOL RENOVATION PROJECT</t>
  </si>
  <si>
    <t>Preliminary</t>
  </si>
  <si>
    <t>Savings</t>
  </si>
  <si>
    <t>Project Budget</t>
  </si>
  <si>
    <t>Current Year Expenditures to Date</t>
  </si>
  <si>
    <t>199-81-6629-00-041-499000</t>
  </si>
  <si>
    <t>199-81-6629-02-041-499000</t>
  </si>
  <si>
    <t>199-81-6629-03-041-499000</t>
  </si>
  <si>
    <t>Flooring</t>
  </si>
  <si>
    <t>199-81-6629-04-041-499000</t>
  </si>
  <si>
    <t>ROOF REPAIRS PROJECT</t>
  </si>
  <si>
    <t>199-81-6629-01-001-599000</t>
  </si>
  <si>
    <t>Roof - LEHS</t>
  </si>
  <si>
    <t>199-81-6629-01-103-599000</t>
  </si>
  <si>
    <t>Roof - Brent</t>
  </si>
  <si>
    <t>199-81-6629-01-104-599000</t>
  </si>
  <si>
    <t>Roof - Chavez</t>
  </si>
  <si>
    <t>199-81-6629-01-105-599000</t>
  </si>
  <si>
    <t>Roof - Hackberry</t>
  </si>
  <si>
    <t>199-81-6629-01-108-599000</t>
  </si>
  <si>
    <t>Roof - Oak Point</t>
  </si>
  <si>
    <t>To increase the budget by the amount of art fees received.</t>
  </si>
  <si>
    <t>To allocate funds from fund balance to cover expenditure for the remainder of school year for additional FTEs and salary/stipend adjustments previously approved</t>
  </si>
  <si>
    <t>To reallocate fund to cover employee staff development</t>
  </si>
  <si>
    <t>To reallocate funda to cover employee travel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</si>
</sst>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;\(0\)"/>
    <numFmt numFmtId="165" formatCode="_(* #,##0_);_(* \(#,##0\);_(* &quot;-&quot;??_);_(@_)"/>
    <numFmt numFmtId="166" formatCode="_(* #,##0.0_);_(* \(#,##0.0\);_(* &quot;-&quot;??_);_(@_)"/>
    <numFmt numFmtId="167" formatCode="mmmm\ d\,\ yyyy"/>
    <numFmt numFmtId="168" formatCode="0.0000%"/>
    <numFmt numFmtId="169" formatCode="mm/dd/yy"/>
    <numFmt numFmtId="170" formatCode="[$$-409]#,##0.00"/>
    <numFmt numFmtId="171" formatCode=";;;"/>
    <numFmt numFmtId="172" formatCode="mmmm\ yyyy"/>
    <numFmt numFmtId="173" formatCode="#,##0.00;[Red]#,##0.00"/>
  </numFmts>
  <fonts count="53">
    <font>
      <sz val="10"/>
      <name val="Geneva"/>
    </font>
    <font>
      <sz val="11"/>
      <color theme="1"/>
      <name val="Calibri"/>
      <family val="2"/>
      <scheme val="minor"/>
    </font>
    <font>
      <b/>
      <sz val="10"/>
      <name val="Geneva"/>
    </font>
    <font>
      <sz val="10"/>
      <name val="Geneva"/>
    </font>
    <font>
      <sz val="8"/>
      <name val="Geneva"/>
    </font>
    <font>
      <b/>
      <sz val="12"/>
      <name val="Geneva"/>
    </font>
    <font>
      <b/>
      <sz val="11"/>
      <name val="Geneva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b/>
      <sz val="10"/>
      <color indexed="12"/>
      <name val="Arial"/>
      <family val="2"/>
    </font>
    <font>
      <b/>
      <sz val="10"/>
      <color indexed="12"/>
      <name val="Arial"/>
      <family val="2"/>
    </font>
    <font>
      <sz val="10"/>
      <color indexed="8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9"/>
      <color indexed="12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4"/>
      <name val="Geneva"/>
    </font>
    <font>
      <b/>
      <sz val="12"/>
      <color indexed="56"/>
      <name val="Geneva"/>
    </font>
    <font>
      <b/>
      <sz val="10"/>
      <color indexed="56"/>
      <name val="Geneva"/>
    </font>
    <font>
      <b/>
      <sz val="9"/>
      <name val="Geneva"/>
    </font>
    <font>
      <sz val="8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indexed="10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sz val="12"/>
      <name val="Arial Black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10"/>
      <color indexed="10"/>
      <name val="Geneva"/>
    </font>
    <font>
      <sz val="10"/>
      <name val="Geneva"/>
    </font>
    <font>
      <sz val="12"/>
      <color rgb="FF0070C0"/>
      <name val="Arial"/>
      <family val="2"/>
    </font>
    <font>
      <b/>
      <sz val="9"/>
      <color indexed="81"/>
      <name val="Tahoma"/>
      <family val="2"/>
    </font>
    <font>
      <sz val="12"/>
      <color theme="4"/>
      <name val="Arial"/>
      <family val="2"/>
    </font>
    <font>
      <b/>
      <sz val="10"/>
      <color theme="4"/>
      <name val="Geneva"/>
    </font>
    <font>
      <b/>
      <sz val="9"/>
      <color indexed="81"/>
      <name val="Tahoma"/>
      <charset val="1"/>
    </font>
    <font>
      <u/>
      <sz val="10"/>
      <name val="Arial"/>
      <family val="2"/>
    </font>
    <font>
      <b/>
      <sz val="16"/>
      <name val="Arial"/>
      <family val="2"/>
    </font>
    <font>
      <sz val="10"/>
      <name val="Arial"/>
    </font>
    <font>
      <b/>
      <sz val="20"/>
      <color rgb="FFC00000"/>
      <name val="Arial"/>
      <family val="2"/>
    </font>
    <font>
      <b/>
      <sz val="18"/>
      <name val="Arial"/>
      <family val="2"/>
    </font>
    <font>
      <sz val="11"/>
      <name val="Arial"/>
      <family val="2"/>
    </font>
    <font>
      <b/>
      <sz val="10"/>
      <color rgb="FF0070C0"/>
      <name val="Arial"/>
      <family val="2"/>
    </font>
    <font>
      <sz val="10"/>
      <color rgb="FF0070C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4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medium">
        <color indexed="8"/>
      </right>
      <top style="double">
        <color indexed="8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1">
    <xf numFmtId="0" fontId="0" fillId="0" borderId="0"/>
    <xf numFmtId="40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8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3" fillId="0" borderId="0"/>
    <xf numFmtId="0" fontId="7" fillId="0" borderId="0"/>
    <xf numFmtId="0" fontId="28" fillId="0" borderId="0"/>
    <xf numFmtId="0" fontId="7" fillId="0" borderId="0"/>
    <xf numFmtId="0" fontId="3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0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4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8" fontId="3" fillId="0" borderId="0" applyFont="0" applyFill="0" applyBorder="0" applyAlignment="0" applyProtection="0"/>
  </cellStyleXfs>
  <cellXfs count="619">
    <xf numFmtId="0" fontId="0" fillId="0" borderId="0" xfId="0"/>
    <xf numFmtId="0" fontId="5" fillId="0" borderId="0" xfId="0" applyFont="1" applyFill="1"/>
    <xf numFmtId="0" fontId="5" fillId="0" borderId="0" xfId="0" applyFont="1" applyFill="1" applyAlignment="1">
      <alignment horizontal="centerContinuous"/>
    </xf>
    <xf numFmtId="0" fontId="0" fillId="0" borderId="0" xfId="0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Continuous"/>
    </xf>
    <xf numFmtId="0" fontId="2" fillId="0" borderId="0" xfId="0" quotePrefix="1" applyFont="1" applyFill="1" applyAlignment="1">
      <alignment horizontal="center"/>
    </xf>
    <xf numFmtId="0" fontId="0" fillId="0" borderId="1" xfId="0" applyFill="1" applyBorder="1"/>
    <xf numFmtId="0" fontId="2" fillId="0" borderId="1" xfId="0" applyFont="1" applyFill="1" applyBorder="1" applyAlignment="1">
      <alignment horizontal="centerContinuous"/>
    </xf>
    <xf numFmtId="164" fontId="2" fillId="0" borderId="1" xfId="0" applyNumberFormat="1" applyFont="1" applyFill="1" applyBorder="1" applyAlignment="1">
      <alignment horizontal="centerContinuous"/>
    </xf>
    <xf numFmtId="0" fontId="0" fillId="0" borderId="0" xfId="0" applyFill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5" fontId="0" fillId="0" borderId="0" xfId="0" applyNumberFormat="1" applyFill="1"/>
    <xf numFmtId="0" fontId="2" fillId="0" borderId="1" xfId="0" applyFont="1" applyBorder="1"/>
    <xf numFmtId="0" fontId="2" fillId="0" borderId="0" xfId="0" applyFont="1"/>
    <xf numFmtId="5" fontId="5" fillId="0" borderId="0" xfId="0" applyNumberFormat="1" applyFont="1" applyFill="1" applyAlignment="1">
      <alignment horizontal="center"/>
    </xf>
    <xf numFmtId="5" fontId="6" fillId="0" borderId="0" xfId="0" applyNumberFormat="1" applyFont="1" applyFill="1" applyAlignment="1">
      <alignment horizontal="center"/>
    </xf>
    <xf numFmtId="5" fontId="2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14" fontId="2" fillId="0" borderId="0" xfId="0" applyNumberFormat="1" applyFont="1"/>
    <xf numFmtId="0" fontId="8" fillId="0" borderId="0" xfId="11" applyFont="1" applyAlignment="1">
      <alignment horizontal="center"/>
    </xf>
    <xf numFmtId="0" fontId="7" fillId="0" borderId="0" xfId="11"/>
    <xf numFmtId="0" fontId="9" fillId="0" borderId="0" xfId="11" applyFont="1"/>
    <xf numFmtId="0" fontId="10" fillId="0" borderId="3" xfId="11" applyFont="1" applyBorder="1" applyAlignment="1">
      <alignment horizontal="center"/>
    </xf>
    <xf numFmtId="0" fontId="8" fillId="0" borderId="3" xfId="11" applyFont="1" applyBorder="1" applyAlignment="1">
      <alignment horizontal="center"/>
    </xf>
    <xf numFmtId="0" fontId="8" fillId="0" borderId="4" xfId="11" applyFont="1" applyBorder="1" applyAlignment="1">
      <alignment horizontal="center"/>
    </xf>
    <xf numFmtId="0" fontId="10" fillId="0" borderId="0" xfId="11" applyFont="1" applyAlignment="1">
      <alignment horizontal="center"/>
    </xf>
    <xf numFmtId="0" fontId="8" fillId="0" borderId="5" xfId="11" applyFont="1" applyBorder="1" applyAlignment="1">
      <alignment horizontal="center"/>
    </xf>
    <xf numFmtId="0" fontId="8" fillId="0" borderId="0" xfId="11" applyFont="1"/>
    <xf numFmtId="0" fontId="10" fillId="0" borderId="6" xfId="11" applyFont="1" applyBorder="1" applyAlignment="1">
      <alignment horizontal="center"/>
    </xf>
    <xf numFmtId="0" fontId="8" fillId="0" borderId="6" xfId="11" applyFont="1" applyBorder="1" applyAlignment="1">
      <alignment horizontal="center"/>
    </xf>
    <xf numFmtId="0" fontId="11" fillId="0" borderId="6" xfId="11" applyFont="1" applyBorder="1" applyAlignment="1">
      <alignment horizontal="center"/>
    </xf>
    <xf numFmtId="0" fontId="8" fillId="0" borderId="7" xfId="11" applyFont="1" applyBorder="1" applyAlignment="1">
      <alignment horizontal="center"/>
    </xf>
    <xf numFmtId="10" fontId="7" fillId="0" borderId="5" xfId="11" applyNumberFormat="1" applyFont="1" applyBorder="1"/>
    <xf numFmtId="9" fontId="7" fillId="0" borderId="0" xfId="11" applyNumberFormat="1" applyAlignment="1">
      <alignment horizontal="center"/>
    </xf>
    <xf numFmtId="9" fontId="10" fillId="0" borderId="0" xfId="11" applyNumberFormat="1" applyFont="1" applyAlignment="1">
      <alignment horizontal="center"/>
    </xf>
    <xf numFmtId="49" fontId="8" fillId="0" borderId="0" xfId="11" applyNumberFormat="1" applyFont="1" applyAlignment="1">
      <alignment horizontal="center"/>
    </xf>
    <xf numFmtId="10" fontId="12" fillId="0" borderId="5" xfId="11" applyNumberFormat="1" applyFont="1" applyBorder="1"/>
    <xf numFmtId="10" fontId="10" fillId="0" borderId="5" xfId="11" applyNumberFormat="1" applyFont="1" applyBorder="1"/>
    <xf numFmtId="0" fontId="7" fillId="0" borderId="0" xfId="11" applyAlignment="1">
      <alignment horizontal="center"/>
    </xf>
    <xf numFmtId="10" fontId="7" fillId="0" borderId="0" xfId="11" applyNumberFormat="1"/>
    <xf numFmtId="0" fontId="15" fillId="0" borderId="0" xfId="11" applyFont="1"/>
    <xf numFmtId="0" fontId="10" fillId="0" borderId="0" xfId="11" applyFont="1"/>
    <xf numFmtId="0" fontId="7" fillId="0" borderId="0" xfId="8" applyAlignment="1">
      <alignment horizontal="right"/>
    </xf>
    <xf numFmtId="0" fontId="7" fillId="0" borderId="0" xfId="8"/>
    <xf numFmtId="0" fontId="16" fillId="0" borderId="0" xfId="8" applyFont="1"/>
    <xf numFmtId="0" fontId="8" fillId="0" borderId="0" xfId="8" applyFont="1"/>
    <xf numFmtId="0" fontId="8" fillId="0" borderId="0" xfId="8" applyFont="1" applyAlignment="1">
      <alignment horizontal="right"/>
    </xf>
    <xf numFmtId="0" fontId="7" fillId="0" borderId="1" xfId="8" applyBorder="1" applyAlignment="1">
      <alignment horizontal="right"/>
    </xf>
    <xf numFmtId="0" fontId="7" fillId="0" borderId="0" xfId="8" applyAlignment="1">
      <alignment horizontal="left" indent="2"/>
    </xf>
    <xf numFmtId="0" fontId="7" fillId="0" borderId="0" xfId="8" applyBorder="1"/>
    <xf numFmtId="0" fontId="17" fillId="0" borderId="0" xfId="8" applyFont="1"/>
    <xf numFmtId="167" fontId="2" fillId="0" borderId="0" xfId="10" applyFont="1" applyBorder="1"/>
    <xf numFmtId="167" fontId="3" fillId="0" borderId="0" xfId="10" applyBorder="1"/>
    <xf numFmtId="0" fontId="7" fillId="0" borderId="0" xfId="6"/>
    <xf numFmtId="167" fontId="5" fillId="0" borderId="0" xfId="10" applyFont="1" applyBorder="1" applyAlignment="1">
      <alignment horizontal="center"/>
    </xf>
    <xf numFmtId="167" fontId="18" fillId="0" borderId="0" xfId="10" applyFont="1" applyAlignment="1">
      <alignment horizontal="center"/>
    </xf>
    <xf numFmtId="167" fontId="3" fillId="0" borderId="0" xfId="10" applyNumberFormat="1" applyFont="1" applyFill="1" applyBorder="1" applyAlignment="1" applyProtection="1"/>
    <xf numFmtId="167" fontId="19" fillId="0" borderId="6" xfId="10" applyFont="1" applyBorder="1"/>
    <xf numFmtId="167" fontId="20" fillId="0" borderId="6" xfId="10" applyFont="1" applyBorder="1"/>
    <xf numFmtId="7" fontId="2" fillId="0" borderId="0" xfId="10" applyNumberFormat="1" applyFont="1" applyBorder="1"/>
    <xf numFmtId="167" fontId="3" fillId="0" borderId="0" xfId="10" applyFont="1"/>
    <xf numFmtId="8" fontId="3" fillId="0" borderId="0" xfId="5" applyFont="1" applyBorder="1"/>
    <xf numFmtId="167" fontId="2" fillId="0" borderId="0" xfId="10" applyFont="1" applyFill="1" applyBorder="1"/>
    <xf numFmtId="8" fontId="3" fillId="0" borderId="0" xfId="5" applyFont="1" applyFill="1" applyBorder="1"/>
    <xf numFmtId="167" fontId="3" fillId="0" borderId="0" xfId="10" applyFont="1" applyBorder="1"/>
    <xf numFmtId="39" fontId="2" fillId="0" borderId="0" xfId="10" applyNumberFormat="1" applyFont="1" applyBorder="1" applyAlignment="1">
      <alignment horizontal="center"/>
    </xf>
    <xf numFmtId="167" fontId="2" fillId="0" borderId="0" xfId="10" applyFont="1" applyFill="1" applyBorder="1" applyAlignment="1">
      <alignment horizontal="center"/>
    </xf>
    <xf numFmtId="3" fontId="3" fillId="0" borderId="0" xfId="10" applyNumberFormat="1" applyFill="1" applyBorder="1"/>
    <xf numFmtId="167" fontId="2" fillId="0" borderId="8" xfId="10" applyFont="1" applyBorder="1" applyAlignment="1">
      <alignment horizontal="center"/>
    </xf>
    <xf numFmtId="167" fontId="2" fillId="0" borderId="0" xfId="10" applyFont="1" applyBorder="1" applyAlignment="1">
      <alignment horizontal="center"/>
    </xf>
    <xf numFmtId="0" fontId="23" fillId="0" borderId="0" xfId="7" applyFont="1" applyAlignment="1">
      <alignment horizontal="left"/>
    </xf>
    <xf numFmtId="0" fontId="7" fillId="0" borderId="0" xfId="7" applyAlignment="1">
      <alignment horizontal="center"/>
    </xf>
    <xf numFmtId="168" fontId="7" fillId="0" borderId="0" xfId="7" applyNumberFormat="1" applyAlignment="1">
      <alignment horizontal="center"/>
    </xf>
    <xf numFmtId="0" fontId="7" fillId="0" borderId="0" xfId="7"/>
    <xf numFmtId="0" fontId="23" fillId="0" borderId="9" xfId="7" applyFont="1" applyBorder="1" applyAlignment="1">
      <alignment horizontal="center"/>
    </xf>
    <xf numFmtId="0" fontId="23" fillId="0" borderId="3" xfId="7" applyFont="1" applyBorder="1" applyAlignment="1">
      <alignment horizontal="center"/>
    </xf>
    <xf numFmtId="168" fontId="23" fillId="0" borderId="3" xfId="7" applyNumberFormat="1" applyFont="1" applyBorder="1" applyAlignment="1">
      <alignment horizontal="center"/>
    </xf>
    <xf numFmtId="0" fontId="24" fillId="0" borderId="10" xfId="7" applyFont="1" applyBorder="1" applyAlignment="1">
      <alignment horizontal="center"/>
    </xf>
    <xf numFmtId="0" fontId="8" fillId="0" borderId="0" xfId="7" applyFont="1" applyBorder="1" applyAlignment="1">
      <alignment horizontal="center"/>
    </xf>
    <xf numFmtId="0" fontId="23" fillId="0" borderId="0" xfId="7" applyFont="1" applyBorder="1" applyAlignment="1">
      <alignment horizontal="center"/>
    </xf>
    <xf numFmtId="168" fontId="23" fillId="0" borderId="0" xfId="7" applyNumberFormat="1" applyFont="1" applyBorder="1" applyAlignment="1">
      <alignment horizontal="center"/>
    </xf>
    <xf numFmtId="0" fontId="23" fillId="0" borderId="11" xfId="7" applyFont="1" applyBorder="1" applyAlignment="1">
      <alignment horizontal="center"/>
    </xf>
    <xf numFmtId="0" fontId="23" fillId="0" borderId="6" xfId="7" applyFont="1" applyBorder="1" applyAlignment="1">
      <alignment horizontal="center"/>
    </xf>
    <xf numFmtId="168" fontId="23" fillId="0" borderId="6" xfId="7" applyNumberFormat="1" applyFont="1" applyBorder="1" applyAlignment="1">
      <alignment horizontal="center"/>
    </xf>
    <xf numFmtId="8" fontId="7" fillId="0" borderId="0" xfId="7" applyNumberFormat="1" applyAlignment="1">
      <alignment horizontal="right"/>
    </xf>
    <xf numFmtId="0" fontId="29" fillId="0" borderId="12" xfId="12" applyNumberFormat="1" applyFont="1" applyBorder="1" applyAlignment="1"/>
    <xf numFmtId="0" fontId="29" fillId="0" borderId="13" xfId="12" applyNumberFormat="1" applyFont="1" applyBorder="1" applyAlignment="1"/>
    <xf numFmtId="0" fontId="29" fillId="0" borderId="14" xfId="12" applyNumberFormat="1" applyFont="1" applyBorder="1" applyAlignment="1"/>
    <xf numFmtId="0" fontId="28" fillId="0" borderId="13" xfId="12" applyNumberFormat="1" applyFont="1" applyBorder="1" applyAlignment="1"/>
    <xf numFmtId="0" fontId="28" fillId="0" borderId="15" xfId="12" applyNumberFormat="1" applyFont="1" applyBorder="1"/>
    <xf numFmtId="0" fontId="28" fillId="0" borderId="0" xfId="12" applyNumberFormat="1" applyFont="1" applyAlignment="1"/>
    <xf numFmtId="0" fontId="29" fillId="0" borderId="15" xfId="12" applyNumberFormat="1" applyFont="1" applyBorder="1" applyAlignment="1"/>
    <xf numFmtId="0" fontId="29" fillId="0" borderId="0" xfId="12" applyNumberFormat="1" applyFont="1" applyAlignment="1"/>
    <xf numFmtId="0" fontId="29" fillId="0" borderId="16" xfId="12" applyNumberFormat="1" applyFont="1" applyBorder="1" applyAlignment="1"/>
    <xf numFmtId="0" fontId="29" fillId="0" borderId="17" xfId="12" applyNumberFormat="1" applyFont="1" applyBorder="1" applyAlignment="1"/>
    <xf numFmtId="0" fontId="29" fillId="0" borderId="18" xfId="12" applyNumberFormat="1" applyFont="1" applyBorder="1" applyAlignment="1"/>
    <xf numFmtId="0" fontId="29" fillId="0" borderId="19" xfId="12" applyNumberFormat="1" applyFont="1" applyBorder="1" applyAlignment="1"/>
    <xf numFmtId="0" fontId="28" fillId="0" borderId="18" xfId="12" applyNumberFormat="1" applyFont="1" applyBorder="1" applyAlignment="1"/>
    <xf numFmtId="0" fontId="29" fillId="0" borderId="0" xfId="12" applyNumberFormat="1" applyFont="1" applyAlignment="1">
      <alignment horizontal="center"/>
    </xf>
    <xf numFmtId="0" fontId="29" fillId="0" borderId="0" xfId="12" applyNumberFormat="1" applyFont="1" applyAlignment="1">
      <alignment horizontal="fill"/>
    </xf>
    <xf numFmtId="0" fontId="28" fillId="0" borderId="0" xfId="12" applyNumberFormat="1" applyFont="1" applyAlignment="1">
      <alignment horizontal="center"/>
    </xf>
    <xf numFmtId="0" fontId="29" fillId="0" borderId="16" xfId="12" applyNumberFormat="1" applyFont="1" applyBorder="1" applyAlignment="1">
      <alignment horizontal="fill"/>
    </xf>
    <xf numFmtId="0" fontId="30" fillId="0" borderId="15" xfId="12" applyNumberFormat="1" applyFont="1" applyBorder="1" applyAlignment="1">
      <alignment horizontal="right"/>
    </xf>
    <xf numFmtId="0" fontId="29" fillId="0" borderId="15" xfId="12" applyNumberFormat="1" applyFont="1" applyBorder="1" applyAlignment="1">
      <alignment horizontal="right"/>
    </xf>
    <xf numFmtId="170" fontId="29" fillId="0" borderId="0" xfId="12" applyNumberFormat="1" applyFont="1" applyAlignment="1"/>
    <xf numFmtId="4" fontId="29" fillId="0" borderId="0" xfId="12" applyNumberFormat="1" applyFont="1" applyAlignment="1"/>
    <xf numFmtId="10" fontId="29" fillId="0" borderId="0" xfId="12" applyNumberFormat="1" applyFont="1" applyAlignment="1"/>
    <xf numFmtId="10" fontId="29" fillId="0" borderId="0" xfId="12" applyNumberFormat="1" applyFont="1" applyAlignment="1">
      <alignment horizontal="center"/>
    </xf>
    <xf numFmtId="0" fontId="29" fillId="0" borderId="0" xfId="12" applyNumberFormat="1" applyFont="1" applyAlignment="1">
      <alignment horizontal="left"/>
    </xf>
    <xf numFmtId="170" fontId="28" fillId="0" borderId="0" xfId="12" applyNumberFormat="1" applyFont="1" applyFill="1" applyAlignment="1"/>
    <xf numFmtId="4" fontId="29" fillId="0" borderId="16" xfId="12" applyNumberFormat="1" applyFont="1" applyBorder="1" applyAlignment="1"/>
    <xf numFmtId="0" fontId="28" fillId="0" borderId="16" xfId="12" applyNumberFormat="1" applyFont="1" applyBorder="1" applyAlignment="1"/>
    <xf numFmtId="170" fontId="28" fillId="0" borderId="0" xfId="12" applyNumberFormat="1" applyFont="1" applyAlignment="1"/>
    <xf numFmtId="0" fontId="31" fillId="0" borderId="0" xfId="12" applyNumberFormat="1" applyFont="1" applyAlignment="1"/>
    <xf numFmtId="4" fontId="31" fillId="0" borderId="0" xfId="12" applyNumberFormat="1" applyFont="1" applyAlignment="1"/>
    <xf numFmtId="171" fontId="29" fillId="0" borderId="0" xfId="12" applyNumberFormat="1" applyFont="1" applyAlignment="1" applyProtection="1">
      <protection hidden="1"/>
    </xf>
    <xf numFmtId="4" fontId="31" fillId="0" borderId="16" xfId="12" applyNumberFormat="1" applyFont="1" applyBorder="1" applyAlignment="1"/>
    <xf numFmtId="10" fontId="28" fillId="0" borderId="0" xfId="12" applyNumberFormat="1" applyFont="1" applyAlignment="1"/>
    <xf numFmtId="10" fontId="29" fillId="0" borderId="16" xfId="12" applyNumberFormat="1" applyFont="1" applyBorder="1" applyAlignment="1"/>
    <xf numFmtId="4" fontId="28" fillId="0" borderId="0" xfId="12" applyNumberFormat="1" applyFont="1" applyAlignment="1"/>
    <xf numFmtId="170" fontId="29" fillId="0" borderId="18" xfId="12" applyNumberFormat="1" applyFont="1" applyBorder="1" applyAlignment="1"/>
    <xf numFmtId="10" fontId="28" fillId="0" borderId="0" xfId="12" applyNumberFormat="1" applyFont="1"/>
    <xf numFmtId="0" fontId="32" fillId="0" borderId="15" xfId="12" applyNumberFormat="1" applyFont="1" applyBorder="1" applyAlignment="1">
      <alignment horizontal="right"/>
    </xf>
    <xf numFmtId="0" fontId="28" fillId="0" borderId="15" xfId="12" applyNumberFormat="1" applyFont="1" applyBorder="1" applyAlignment="1"/>
    <xf numFmtId="0" fontId="28" fillId="0" borderId="20" xfId="12" applyNumberFormat="1" applyFont="1" applyBorder="1" applyAlignment="1"/>
    <xf numFmtId="0" fontId="28" fillId="0" borderId="6" xfId="12" applyNumberFormat="1" applyFont="1" applyBorder="1" applyAlignment="1"/>
    <xf numFmtId="0" fontId="29" fillId="0" borderId="6" xfId="12" applyNumberFormat="1" applyFont="1" applyBorder="1" applyAlignment="1"/>
    <xf numFmtId="4" fontId="29" fillId="0" borderId="6" xfId="12" applyNumberFormat="1" applyFont="1" applyBorder="1" applyAlignment="1"/>
    <xf numFmtId="10" fontId="29" fillId="0" borderId="6" xfId="12" applyNumberFormat="1" applyFont="1" applyBorder="1" applyAlignment="1"/>
    <xf numFmtId="0" fontId="29" fillId="0" borderId="21" xfId="12" applyNumberFormat="1" applyFont="1" applyBorder="1" applyAlignment="1"/>
    <xf numFmtId="0" fontId="29" fillId="0" borderId="20" xfId="12" applyNumberFormat="1" applyFont="1" applyBorder="1" applyAlignment="1"/>
    <xf numFmtId="4" fontId="29" fillId="0" borderId="21" xfId="12" applyNumberFormat="1" applyFont="1" applyBorder="1" applyAlignment="1"/>
    <xf numFmtId="0" fontId="28" fillId="0" borderId="0" xfId="12" applyNumberFormat="1" applyFont="1" applyBorder="1" applyAlignment="1"/>
    <xf numFmtId="0" fontId="28" fillId="0" borderId="0" xfId="12" applyNumberFormat="1" applyFont="1" applyBorder="1"/>
    <xf numFmtId="0" fontId="28" fillId="0" borderId="0" xfId="12" applyNumberFormat="1" applyFont="1"/>
    <xf numFmtId="5" fontId="5" fillId="0" borderId="0" xfId="0" applyNumberFormat="1" applyFont="1" applyFill="1" applyBorder="1" applyAlignment="1">
      <alignment horizontal="center"/>
    </xf>
    <xf numFmtId="5" fontId="2" fillId="0" borderId="0" xfId="0" applyNumberFormat="1" applyFont="1" applyFill="1" applyBorder="1" applyAlignment="1">
      <alignment horizontal="center"/>
    </xf>
    <xf numFmtId="0" fontId="7" fillId="0" borderId="0" xfId="9" applyBorder="1"/>
    <xf numFmtId="0" fontId="7" fillId="0" borderId="22" xfId="9" applyBorder="1"/>
    <xf numFmtId="0" fontId="7" fillId="0" borderId="0" xfId="9"/>
    <xf numFmtId="0" fontId="7" fillId="0" borderId="23" xfId="9" applyBorder="1"/>
    <xf numFmtId="0" fontId="7" fillId="0" borderId="6" xfId="9" applyBorder="1"/>
    <xf numFmtId="0" fontId="8" fillId="0" borderId="6" xfId="9" applyFont="1" applyBorder="1" applyAlignment="1">
      <alignment horizontal="center"/>
    </xf>
    <xf numFmtId="0" fontId="26" fillId="0" borderId="6" xfId="9" applyFont="1" applyFill="1" applyBorder="1"/>
    <xf numFmtId="0" fontId="8" fillId="0" borderId="24" xfId="9" applyFont="1" applyBorder="1" applyAlignment="1">
      <alignment horizontal="center"/>
    </xf>
    <xf numFmtId="0" fontId="8" fillId="0" borderId="0" xfId="9" applyFont="1"/>
    <xf numFmtId="0" fontId="26" fillId="0" borderId="0" xfId="9" applyFont="1" applyFill="1"/>
    <xf numFmtId="0" fontId="7" fillId="0" borderId="22" xfId="9" applyBorder="1" applyAlignment="1">
      <alignment horizontal="center"/>
    </xf>
    <xf numFmtId="0" fontId="35" fillId="0" borderId="0" xfId="9" applyFont="1" applyFill="1"/>
    <xf numFmtId="0" fontId="36" fillId="0" borderId="22" xfId="9" applyFont="1" applyFill="1" applyBorder="1" applyAlignment="1">
      <alignment horizontal="center"/>
    </xf>
    <xf numFmtId="44" fontId="36" fillId="0" borderId="0" xfId="9" applyNumberFormat="1" applyFont="1" applyFill="1"/>
    <xf numFmtId="0" fontId="36" fillId="0" borderId="0" xfId="9" applyFont="1" applyFill="1"/>
    <xf numFmtId="10" fontId="36" fillId="0" borderId="0" xfId="9" applyNumberFormat="1" applyFont="1" applyFill="1"/>
    <xf numFmtId="10" fontId="36" fillId="0" borderId="22" xfId="9" applyNumberFormat="1" applyFont="1" applyFill="1" applyBorder="1"/>
    <xf numFmtId="10" fontId="36" fillId="0" borderId="0" xfId="9" applyNumberFormat="1" applyFont="1" applyFill="1" applyBorder="1"/>
    <xf numFmtId="10" fontId="7" fillId="0" borderId="0" xfId="9" applyNumberFormat="1"/>
    <xf numFmtId="10" fontId="7" fillId="0" borderId="22" xfId="9" applyNumberFormat="1" applyBorder="1"/>
    <xf numFmtId="44" fontId="26" fillId="0" borderId="0" xfId="9" applyNumberFormat="1" applyFont="1" applyFill="1"/>
    <xf numFmtId="10" fontId="7" fillId="0" borderId="0" xfId="9" applyNumberFormat="1" applyBorder="1"/>
    <xf numFmtId="44" fontId="26" fillId="0" borderId="6" xfId="9" applyNumberFormat="1" applyFont="1" applyFill="1" applyBorder="1"/>
    <xf numFmtId="10" fontId="7" fillId="0" borderId="24" xfId="9" applyNumberFormat="1" applyBorder="1"/>
    <xf numFmtId="10" fontId="8" fillId="0" borderId="0" xfId="9" applyNumberFormat="1" applyFont="1"/>
    <xf numFmtId="44" fontId="24" fillId="0" borderId="0" xfId="9" applyNumberFormat="1" applyFont="1" applyFill="1"/>
    <xf numFmtId="10" fontId="8" fillId="0" borderId="22" xfId="9" applyNumberFormat="1" applyFont="1" applyBorder="1"/>
    <xf numFmtId="10" fontId="8" fillId="0" borderId="0" xfId="9" applyNumberFormat="1" applyFont="1" applyBorder="1"/>
    <xf numFmtId="0" fontId="37" fillId="0" borderId="0" xfId="9" applyFont="1"/>
    <xf numFmtId="8" fontId="7" fillId="0" borderId="0" xfId="9" applyNumberFormat="1"/>
    <xf numFmtId="8" fontId="7" fillId="0" borderId="22" xfId="9" applyNumberFormat="1" applyBorder="1"/>
    <xf numFmtId="173" fontId="26" fillId="0" borderId="0" xfId="9" applyNumberFormat="1" applyFont="1" applyFill="1"/>
    <xf numFmtId="173" fontId="7" fillId="0" borderId="22" xfId="9" applyNumberFormat="1" applyBorder="1"/>
    <xf numFmtId="173" fontId="7" fillId="0" borderId="0" xfId="9" applyNumberFormat="1" applyBorder="1"/>
    <xf numFmtId="0" fontId="24" fillId="0" borderId="0" xfId="9" applyFont="1" applyAlignment="1">
      <alignment horizontal="center"/>
    </xf>
    <xf numFmtId="0" fontId="33" fillId="0" borderId="0" xfId="9" applyFont="1"/>
    <xf numFmtId="0" fontId="10" fillId="0" borderId="0" xfId="9" applyFont="1" applyFill="1"/>
    <xf numFmtId="167" fontId="4" fillId="0" borderId="0" xfId="10" applyFont="1" applyFill="1" applyAlignment="1">
      <alignment horizontal="center"/>
    </xf>
    <xf numFmtId="43" fontId="7" fillId="0" borderId="0" xfId="8" applyNumberFormat="1"/>
    <xf numFmtId="43" fontId="7" fillId="0" borderId="0" xfId="8" applyNumberFormat="1" applyAlignment="1">
      <alignment horizontal="right"/>
    </xf>
    <xf numFmtId="0" fontId="3" fillId="0" borderId="0" xfId="0" applyFont="1" applyFill="1"/>
    <xf numFmtId="165" fontId="0" fillId="0" borderId="0" xfId="0" applyNumberFormat="1" applyFill="1"/>
    <xf numFmtId="165" fontId="0" fillId="2" borderId="25" xfId="0" applyNumberFormat="1" applyFill="1" applyBorder="1"/>
    <xf numFmtId="165" fontId="3" fillId="0" borderId="0" xfId="1" applyNumberFormat="1" applyFill="1"/>
    <xf numFmtId="165" fontId="0" fillId="0" borderId="25" xfId="0" applyNumberFormat="1" applyFill="1" applyBorder="1"/>
    <xf numFmtId="165" fontId="0" fillId="2" borderId="25" xfId="0" applyNumberFormat="1" applyFill="1" applyBorder="1" applyAlignment="1"/>
    <xf numFmtId="165" fontId="2" fillId="0" borderId="26" xfId="0" applyNumberFormat="1" applyFont="1" applyFill="1" applyBorder="1"/>
    <xf numFmtId="165" fontId="2" fillId="0" borderId="25" xfId="0" applyNumberFormat="1" applyFont="1" applyFill="1" applyBorder="1"/>
    <xf numFmtId="165" fontId="0" fillId="0" borderId="2" xfId="0" applyNumberFormat="1" applyFill="1" applyBorder="1"/>
    <xf numFmtId="165" fontId="0" fillId="0" borderId="1" xfId="0" applyNumberFormat="1" applyFill="1" applyBorder="1"/>
    <xf numFmtId="165" fontId="0" fillId="0" borderId="0" xfId="0" applyNumberFormat="1" applyFill="1" applyAlignment="1">
      <alignment horizontal="center"/>
    </xf>
    <xf numFmtId="165" fontId="0" fillId="0" borderId="25" xfId="0" applyNumberFormat="1" applyFill="1" applyBorder="1" applyAlignment="1">
      <alignment horizontal="center"/>
    </xf>
    <xf numFmtId="165" fontId="2" fillId="0" borderId="0" xfId="0" applyNumberFormat="1" applyFont="1" applyFill="1" applyAlignment="1">
      <alignment horizontal="right"/>
    </xf>
    <xf numFmtId="165" fontId="2" fillId="0" borderId="25" xfId="0" applyNumberFormat="1" applyFont="1" applyFill="1" applyBorder="1" applyAlignment="1">
      <alignment horizontal="center"/>
    </xf>
    <xf numFmtId="165" fontId="2" fillId="0" borderId="0" xfId="0" applyNumberFormat="1" applyFont="1" applyFill="1" applyAlignment="1">
      <alignment horizontal="center"/>
    </xf>
    <xf numFmtId="41" fontId="3" fillId="0" borderId="0" xfId="1" applyNumberFormat="1" applyFill="1"/>
    <xf numFmtId="41" fontId="3" fillId="2" borderId="25" xfId="1" applyNumberFormat="1" applyFill="1" applyBorder="1" applyAlignment="1">
      <alignment horizontal="centerContinuous"/>
    </xf>
    <xf numFmtId="41" fontId="0" fillId="0" borderId="0" xfId="0" applyNumberFormat="1" applyFill="1" applyBorder="1"/>
    <xf numFmtId="41" fontId="0" fillId="0" borderId="1" xfId="0" applyNumberFormat="1" applyFill="1" applyBorder="1"/>
    <xf numFmtId="41" fontId="2" fillId="0" borderId="0" xfId="0" applyNumberFormat="1" applyFont="1" applyFill="1"/>
    <xf numFmtId="41" fontId="2" fillId="0" borderId="27" xfId="0" applyNumberFormat="1" applyFont="1" applyFill="1" applyBorder="1" applyAlignment="1">
      <alignment horizontal="center"/>
    </xf>
    <xf numFmtId="41" fontId="2" fillId="0" borderId="28" xfId="0" applyNumberFormat="1" applyFont="1" applyFill="1" applyBorder="1"/>
    <xf numFmtId="41" fontId="0" fillId="0" borderId="0" xfId="0" applyNumberFormat="1" applyFill="1"/>
    <xf numFmtId="41" fontId="0" fillId="0" borderId="25" xfId="0" applyNumberFormat="1" applyFill="1" applyBorder="1"/>
    <xf numFmtId="41" fontId="0" fillId="2" borderId="25" xfId="0" applyNumberFormat="1" applyFill="1" applyBorder="1" applyAlignment="1">
      <alignment horizontal="centerContinuous"/>
    </xf>
    <xf numFmtId="41" fontId="2" fillId="0" borderId="26" xfId="0" applyNumberFormat="1" applyFont="1" applyFill="1" applyBorder="1"/>
    <xf numFmtId="41" fontId="2" fillId="0" borderId="27" xfId="0" applyNumberFormat="1" applyFont="1" applyFill="1" applyBorder="1" applyAlignment="1">
      <alignment horizontal="centerContinuous"/>
    </xf>
    <xf numFmtId="41" fontId="0" fillId="0" borderId="2" xfId="0" applyNumberFormat="1" applyFill="1" applyBorder="1" applyAlignment="1">
      <alignment horizontal="center"/>
    </xf>
    <xf numFmtId="41" fontId="0" fillId="0" borderId="0" xfId="0" applyNumberFormat="1" applyFill="1" applyAlignment="1">
      <alignment horizontal="center"/>
    </xf>
    <xf numFmtId="41" fontId="0" fillId="0" borderId="25" xfId="0" applyNumberFormat="1" applyFill="1" applyBorder="1" applyAlignment="1">
      <alignment horizontal="center"/>
    </xf>
    <xf numFmtId="41" fontId="2" fillId="0" borderId="0" xfId="0" applyNumberFormat="1" applyFont="1" applyFill="1" applyAlignment="1">
      <alignment horizontal="center"/>
    </xf>
    <xf numFmtId="41" fontId="2" fillId="0" borderId="25" xfId="0" applyNumberFormat="1" applyFont="1" applyFill="1" applyBorder="1" applyAlignment="1">
      <alignment horizontal="center"/>
    </xf>
    <xf numFmtId="41" fontId="0" fillId="2" borderId="25" xfId="0" applyNumberFormat="1" applyFill="1" applyBorder="1"/>
    <xf numFmtId="41" fontId="0" fillId="0" borderId="0" xfId="0" applyNumberFormat="1"/>
    <xf numFmtId="41" fontId="3" fillId="0" borderId="1" xfId="0" applyNumberFormat="1" applyFont="1" applyFill="1" applyBorder="1"/>
    <xf numFmtId="41" fontId="3" fillId="2" borderId="2" xfId="0" applyNumberFormat="1" applyFont="1" applyFill="1" applyBorder="1"/>
    <xf numFmtId="41" fontId="3" fillId="0" borderId="0" xfId="0" applyNumberFormat="1" applyFont="1" applyFill="1"/>
    <xf numFmtId="41" fontId="3" fillId="0" borderId="25" xfId="0" applyNumberFormat="1" applyFont="1" applyFill="1" applyBorder="1"/>
    <xf numFmtId="41" fontId="0" fillId="2" borderId="25" xfId="0" applyNumberFormat="1" applyFill="1" applyBorder="1" applyAlignment="1"/>
    <xf numFmtId="41" fontId="0" fillId="2" borderId="25" xfId="0" applyNumberFormat="1" applyFill="1" applyBorder="1" applyAlignment="1">
      <alignment horizontal="center"/>
    </xf>
    <xf numFmtId="41" fontId="0" fillId="0" borderId="1" xfId="0" applyNumberFormat="1" applyFill="1" applyBorder="1" applyAlignment="1">
      <alignment horizontal="center"/>
    </xf>
    <xf numFmtId="41" fontId="0" fillId="0" borderId="2" xfId="0" applyNumberFormat="1" applyFill="1" applyBorder="1" applyAlignment="1">
      <alignment horizontal="centerContinuous"/>
    </xf>
    <xf numFmtId="41" fontId="0" fillId="0" borderId="1" xfId="0" applyNumberFormat="1" applyFill="1" applyBorder="1" applyAlignment="1">
      <alignment horizontal="centerContinuous"/>
    </xf>
    <xf numFmtId="41" fontId="3" fillId="0" borderId="0" xfId="0" applyNumberFormat="1" applyFont="1" applyFill="1" applyAlignment="1">
      <alignment horizontal="center"/>
    </xf>
    <xf numFmtId="41" fontId="38" fillId="0" borderId="0" xfId="0" applyNumberFormat="1" applyFont="1" applyFill="1"/>
    <xf numFmtId="37" fontId="0" fillId="0" borderId="0" xfId="0" applyNumberFormat="1" applyFill="1"/>
    <xf numFmtId="37" fontId="38" fillId="0" borderId="0" xfId="0" applyNumberFormat="1" applyFont="1" applyFill="1"/>
    <xf numFmtId="43" fontId="8" fillId="0" borderId="0" xfId="11" applyNumberFormat="1" applyFont="1"/>
    <xf numFmtId="43" fontId="7" fillId="0" borderId="0" xfId="11" applyNumberFormat="1"/>
    <xf numFmtId="43" fontId="7" fillId="0" borderId="1" xfId="11" applyNumberFormat="1" applyBorder="1"/>
    <xf numFmtId="43" fontId="10" fillId="0" borderId="0" xfId="11" applyNumberFormat="1" applyFont="1"/>
    <xf numFmtId="0" fontId="7" fillId="0" borderId="0" xfId="11" applyFont="1"/>
    <xf numFmtId="0" fontId="7" fillId="0" borderId="5" xfId="11" applyFont="1" applyBorder="1"/>
    <xf numFmtId="9" fontId="7" fillId="0" borderId="0" xfId="11" applyNumberFormat="1" applyFont="1" applyAlignment="1">
      <alignment horizontal="center"/>
    </xf>
    <xf numFmtId="10" fontId="7" fillId="0" borderId="5" xfId="11" applyNumberFormat="1" applyFont="1" applyFill="1" applyBorder="1"/>
    <xf numFmtId="0" fontId="8" fillId="0" borderId="1" xfId="11" applyFont="1" applyBorder="1"/>
    <xf numFmtId="0" fontId="7" fillId="0" borderId="0" xfId="8" applyFont="1"/>
    <xf numFmtId="43" fontId="7" fillId="0" borderId="0" xfId="8" applyNumberFormat="1" applyAlignment="1">
      <alignment horizontal="center"/>
    </xf>
    <xf numFmtId="43" fontId="8" fillId="0" borderId="0" xfId="8" applyNumberFormat="1" applyFont="1"/>
    <xf numFmtId="43" fontId="8" fillId="0" borderId="0" xfId="8" applyNumberFormat="1" applyFont="1" applyAlignment="1">
      <alignment horizontal="center"/>
    </xf>
    <xf numFmtId="43" fontId="33" fillId="0" borderId="0" xfId="8" applyNumberFormat="1" applyFont="1" applyAlignment="1">
      <alignment horizontal="center"/>
    </xf>
    <xf numFmtId="43" fontId="7" fillId="0" borderId="1" xfId="8" applyNumberFormat="1" applyBorder="1" applyAlignment="1">
      <alignment horizontal="center"/>
    </xf>
    <xf numFmtId="43" fontId="7" fillId="0" borderId="1" xfId="8" applyNumberFormat="1" applyBorder="1"/>
    <xf numFmtId="43" fontId="7" fillId="0" borderId="0" xfId="4" applyNumberFormat="1"/>
    <xf numFmtId="43" fontId="7" fillId="0" borderId="0" xfId="2" applyNumberFormat="1"/>
    <xf numFmtId="43" fontId="8" fillId="0" borderId="0" xfId="8" applyNumberFormat="1" applyFont="1" applyAlignment="1">
      <alignment horizontal="right"/>
    </xf>
    <xf numFmtId="43" fontId="7" fillId="0" borderId="0" xfId="8" applyNumberFormat="1" applyBorder="1"/>
    <xf numFmtId="43" fontId="7" fillId="0" borderId="0" xfId="8" applyNumberFormat="1" applyFont="1"/>
    <xf numFmtId="43" fontId="7" fillId="0" borderId="0" xfId="8" applyNumberFormat="1" applyFill="1"/>
    <xf numFmtId="43" fontId="7" fillId="0" borderId="0" xfId="8" applyNumberFormat="1" applyFill="1" applyBorder="1"/>
    <xf numFmtId="43" fontId="7" fillId="0" borderId="1" xfId="2" applyNumberFormat="1" applyBorder="1"/>
    <xf numFmtId="43" fontId="7" fillId="0" borderId="0" xfId="8" applyNumberFormat="1" applyFont="1" applyBorder="1"/>
    <xf numFmtId="43" fontId="7" fillId="0" borderId="1" xfId="8" applyNumberFormat="1" applyFont="1" applyBorder="1"/>
    <xf numFmtId="43" fontId="7" fillId="0" borderId="0" xfId="8" applyNumberFormat="1" applyBorder="1" applyAlignment="1">
      <alignment horizontal="right"/>
    </xf>
    <xf numFmtId="43" fontId="7" fillId="0" borderId="0" xfId="8" applyNumberFormat="1" applyFont="1" applyFill="1"/>
    <xf numFmtId="43" fontId="7" fillId="3" borderId="29" xfId="4" applyNumberFormat="1" applyFill="1" applyBorder="1"/>
    <xf numFmtId="14" fontId="8" fillId="0" borderId="0" xfId="8" applyNumberFormat="1" applyFont="1"/>
    <xf numFmtId="43" fontId="7" fillId="0" borderId="0" xfId="8" applyNumberFormat="1" applyFill="1" applyBorder="1" applyAlignment="1">
      <alignment horizontal="right"/>
    </xf>
    <xf numFmtId="43" fontId="7" fillId="0" borderId="0" xfId="8" applyNumberFormat="1" applyFont="1" applyFill="1" applyBorder="1" applyAlignment="1">
      <alignment horizontal="right"/>
    </xf>
    <xf numFmtId="43" fontId="8" fillId="0" borderId="0" xfId="8" applyNumberFormat="1" applyFont="1" applyFill="1" applyBorder="1"/>
    <xf numFmtId="43" fontId="7" fillId="0" borderId="0" xfId="8" applyNumberFormat="1" applyFill="1" applyBorder="1" applyAlignment="1">
      <alignment horizontal="center"/>
    </xf>
    <xf numFmtId="43" fontId="7" fillId="0" borderId="0" xfId="4" applyNumberFormat="1" applyFill="1" applyBorder="1"/>
    <xf numFmtId="43" fontId="8" fillId="0" borderId="0" xfId="8" applyNumberFormat="1" applyFont="1" applyFill="1" applyBorder="1" applyAlignment="1">
      <alignment horizontal="right"/>
    </xf>
    <xf numFmtId="43" fontId="8" fillId="0" borderId="0" xfId="8" applyNumberFormat="1" applyFont="1" applyFill="1" applyBorder="1" applyAlignment="1">
      <alignment horizontal="center"/>
    </xf>
    <xf numFmtId="165" fontId="0" fillId="2" borderId="2" xfId="0" applyNumberFormat="1" applyFill="1" applyBorder="1" applyAlignment="1"/>
    <xf numFmtId="41" fontId="0" fillId="0" borderId="2" xfId="0" applyNumberFormat="1" applyFill="1" applyBorder="1"/>
    <xf numFmtId="43" fontId="26" fillId="0" borderId="0" xfId="9" applyNumberFormat="1" applyFont="1" applyFill="1"/>
    <xf numFmtId="43" fontId="8" fillId="0" borderId="0" xfId="9" applyNumberFormat="1" applyFont="1" applyFill="1"/>
    <xf numFmtId="41" fontId="0" fillId="2" borderId="2" xfId="0" applyNumberFormat="1" applyFill="1" applyBorder="1" applyAlignment="1"/>
    <xf numFmtId="0" fontId="0" fillId="0" borderId="0" xfId="0" applyFill="1" applyBorder="1"/>
    <xf numFmtId="43" fontId="7" fillId="0" borderId="0" xfId="7" applyNumberFormat="1" applyAlignment="1">
      <alignment horizontal="center"/>
    </xf>
    <xf numFmtId="43" fontId="23" fillId="0" borderId="3" xfId="7" applyNumberFormat="1" applyFont="1" applyBorder="1" applyAlignment="1">
      <alignment horizontal="center"/>
    </xf>
    <xf numFmtId="43" fontId="23" fillId="0" borderId="0" xfId="7" applyNumberFormat="1" applyFont="1" applyBorder="1" applyAlignment="1">
      <alignment horizontal="center"/>
    </xf>
    <xf numFmtId="43" fontId="23" fillId="0" borderId="6" xfId="7" applyNumberFormat="1" applyFont="1" applyBorder="1" applyAlignment="1">
      <alignment horizontal="center"/>
    </xf>
    <xf numFmtId="43" fontId="25" fillId="0" borderId="0" xfId="7" applyNumberFormat="1" applyFont="1" applyBorder="1" applyAlignment="1">
      <alignment horizontal="right"/>
    </xf>
    <xf numFmtId="43" fontId="7" fillId="0" borderId="0" xfId="7" applyNumberFormat="1" applyBorder="1" applyAlignment="1">
      <alignment horizontal="right"/>
    </xf>
    <xf numFmtId="43" fontId="7" fillId="0" borderId="1" xfId="7" applyNumberFormat="1" applyBorder="1" applyAlignment="1">
      <alignment horizontal="right"/>
    </xf>
    <xf numFmtId="43" fontId="7" fillId="0" borderId="0" xfId="7" applyNumberFormat="1"/>
    <xf numFmtId="43" fontId="23" fillId="0" borderId="0" xfId="7" applyNumberFormat="1" applyFont="1" applyAlignment="1">
      <alignment horizontal="right"/>
    </xf>
    <xf numFmtId="43" fontId="23" fillId="0" borderId="31" xfId="7" applyNumberFormat="1" applyFont="1" applyBorder="1" applyAlignment="1">
      <alignment horizontal="center"/>
    </xf>
    <xf numFmtId="43" fontId="23" fillId="0" borderId="32" xfId="7" applyNumberFormat="1" applyFont="1" applyBorder="1" applyAlignment="1">
      <alignment horizontal="center"/>
    </xf>
    <xf numFmtId="43" fontId="23" fillId="0" borderId="33" xfId="7" applyNumberFormat="1" applyFont="1" applyBorder="1" applyAlignment="1">
      <alignment horizontal="center"/>
    </xf>
    <xf numFmtId="0" fontId="23" fillId="0" borderId="10" xfId="7" applyFont="1" applyBorder="1" applyAlignment="1">
      <alignment horizontal="center"/>
    </xf>
    <xf numFmtId="169" fontId="7" fillId="0" borderId="10" xfId="7" applyNumberFormat="1" applyBorder="1" applyAlignment="1">
      <alignment horizontal="center"/>
    </xf>
    <xf numFmtId="0" fontId="7" fillId="0" borderId="0" xfId="7" applyBorder="1" applyAlignment="1">
      <alignment horizontal="center"/>
    </xf>
    <xf numFmtId="169" fontId="7" fillId="0" borderId="0" xfId="7" applyNumberFormat="1" applyFont="1" applyBorder="1" applyAlignment="1">
      <alignment horizontal="center"/>
    </xf>
    <xf numFmtId="168" fontId="7" fillId="0" borderId="0" xfId="7" applyNumberFormat="1" applyBorder="1" applyAlignment="1">
      <alignment horizontal="center"/>
    </xf>
    <xf numFmtId="43" fontId="7" fillId="0" borderId="0" xfId="7" applyNumberFormat="1" applyBorder="1" applyAlignment="1">
      <alignment horizontal="center"/>
    </xf>
    <xf numFmtId="43" fontId="7" fillId="0" borderId="32" xfId="7" applyNumberFormat="1" applyBorder="1" applyAlignment="1">
      <alignment horizontal="center"/>
    </xf>
    <xf numFmtId="169" fontId="25" fillId="0" borderId="10" xfId="7" applyNumberFormat="1" applyFont="1" applyBorder="1" applyAlignment="1">
      <alignment horizontal="center"/>
    </xf>
    <xf numFmtId="169" fontId="25" fillId="0" borderId="0" xfId="7" applyNumberFormat="1" applyFont="1" applyBorder="1" applyAlignment="1">
      <alignment horizontal="center"/>
    </xf>
    <xf numFmtId="43" fontId="26" fillId="0" borderId="32" xfId="7" applyNumberFormat="1" applyFont="1" applyBorder="1" applyAlignment="1">
      <alignment horizontal="center"/>
    </xf>
    <xf numFmtId="169" fontId="26" fillId="0" borderId="0" xfId="7" applyNumberFormat="1" applyFont="1" applyBorder="1" applyAlignment="1">
      <alignment horizontal="center"/>
    </xf>
    <xf numFmtId="43" fontId="7" fillId="0" borderId="0" xfId="7" applyNumberFormat="1" applyBorder="1"/>
    <xf numFmtId="43" fontId="26" fillId="0" borderId="34" xfId="7" applyNumberFormat="1" applyFont="1" applyBorder="1" applyAlignment="1">
      <alignment horizontal="center"/>
    </xf>
    <xf numFmtId="0" fontId="23" fillId="0" borderId="10" xfId="7" applyFont="1" applyBorder="1" applyAlignment="1">
      <alignment horizontal="left"/>
    </xf>
    <xf numFmtId="0" fontId="23" fillId="0" borderId="0" xfId="7" applyFont="1" applyBorder="1" applyAlignment="1">
      <alignment horizontal="left"/>
    </xf>
    <xf numFmtId="43" fontId="7" fillId="0" borderId="32" xfId="7" applyNumberFormat="1" applyBorder="1"/>
    <xf numFmtId="0" fontId="7" fillId="0" borderId="11" xfId="7" applyBorder="1"/>
    <xf numFmtId="0" fontId="7" fillId="0" borderId="6" xfId="7" applyBorder="1"/>
    <xf numFmtId="43" fontId="7" fillId="0" borderId="6" xfId="7" applyNumberFormat="1" applyBorder="1"/>
    <xf numFmtId="43" fontId="7" fillId="0" borderId="33" xfId="7" applyNumberFormat="1" applyBorder="1"/>
    <xf numFmtId="169" fontId="7" fillId="0" borderId="0" xfId="7" applyNumberFormat="1" applyBorder="1" applyAlignment="1">
      <alignment horizontal="center"/>
    </xf>
    <xf numFmtId="43" fontId="27" fillId="0" borderId="32" xfId="3" applyNumberFormat="1" applyFont="1" applyBorder="1" applyAlignment="1">
      <alignment horizontal="center"/>
    </xf>
    <xf numFmtId="43" fontId="26" fillId="0" borderId="34" xfId="7" applyNumberFormat="1" applyFont="1" applyBorder="1" applyAlignment="1">
      <alignment horizontal="right"/>
    </xf>
    <xf numFmtId="0" fontId="14" fillId="0" borderId="0" xfId="7" applyFont="1" applyFill="1" applyAlignment="1">
      <alignment horizontal="left"/>
    </xf>
    <xf numFmtId="0" fontId="7" fillId="0" borderId="0" xfId="7" applyFill="1" applyAlignment="1">
      <alignment horizontal="center"/>
    </xf>
    <xf numFmtId="43" fontId="7" fillId="0" borderId="0" xfId="7" applyNumberFormat="1" applyFill="1" applyAlignment="1">
      <alignment horizontal="center"/>
    </xf>
    <xf numFmtId="168" fontId="7" fillId="0" borderId="0" xfId="7" applyNumberFormat="1" applyFill="1" applyAlignment="1">
      <alignment horizontal="center"/>
    </xf>
    <xf numFmtId="43" fontId="7" fillId="0" borderId="0" xfId="7" applyNumberFormat="1" applyFill="1"/>
    <xf numFmtId="0" fontId="7" fillId="0" borderId="0" xfId="7" applyFill="1"/>
    <xf numFmtId="169" fontId="7" fillId="0" borderId="10" xfId="7" applyNumberFormat="1" applyFill="1" applyBorder="1" applyAlignment="1">
      <alignment horizontal="center"/>
    </xf>
    <xf numFmtId="169" fontId="7" fillId="0" borderId="0" xfId="7" applyNumberFormat="1" applyFill="1" applyBorder="1" applyAlignment="1">
      <alignment horizontal="center"/>
    </xf>
    <xf numFmtId="0" fontId="7" fillId="0" borderId="0" xfId="7" applyFill="1" applyBorder="1" applyAlignment="1">
      <alignment horizontal="center"/>
    </xf>
    <xf numFmtId="43" fontId="7" fillId="0" borderId="35" xfId="7" applyNumberFormat="1" applyFill="1" applyBorder="1" applyAlignment="1">
      <alignment horizontal="right"/>
    </xf>
    <xf numFmtId="168" fontId="7" fillId="0" borderId="0" xfId="7" applyNumberFormat="1" applyFill="1" applyBorder="1" applyAlignment="1">
      <alignment horizontal="center"/>
    </xf>
    <xf numFmtId="38" fontId="7" fillId="0" borderId="0" xfId="7" applyNumberFormat="1" applyFill="1" applyBorder="1" applyAlignment="1">
      <alignment horizontal="center"/>
    </xf>
    <xf numFmtId="43" fontId="7" fillId="0" borderId="36" xfId="7" applyNumberFormat="1" applyFill="1" applyBorder="1" applyAlignment="1">
      <alignment horizontal="center"/>
    </xf>
    <xf numFmtId="43" fontId="7" fillId="0" borderId="36" xfId="7" applyNumberFormat="1" applyFill="1" applyBorder="1" applyAlignment="1">
      <alignment horizontal="right"/>
    </xf>
    <xf numFmtId="43" fontId="7" fillId="0" borderId="0" xfId="9" applyNumberFormat="1"/>
    <xf numFmtId="43" fontId="8" fillId="0" borderId="6" xfId="9" applyNumberFormat="1" applyFont="1" applyBorder="1" applyAlignment="1">
      <alignment horizontal="left"/>
    </xf>
    <xf numFmtId="43" fontId="8" fillId="0" borderId="0" xfId="9" applyNumberFormat="1" applyFont="1"/>
    <xf numFmtId="43" fontId="36" fillId="0" borderId="0" xfId="9" applyNumberFormat="1" applyFont="1" applyFill="1"/>
    <xf numFmtId="43" fontId="7" fillId="0" borderId="6" xfId="9" applyNumberFormat="1" applyBorder="1"/>
    <xf numFmtId="43" fontId="7" fillId="0" borderId="0" xfId="9" applyNumberFormat="1" applyAlignment="1">
      <alignment horizontal="center"/>
    </xf>
    <xf numFmtId="43" fontId="8" fillId="0" borderId="6" xfId="9" applyNumberFormat="1" applyFont="1" applyBorder="1"/>
    <xf numFmtId="43" fontId="7" fillId="0" borderId="4" xfId="9" applyNumberFormat="1" applyBorder="1"/>
    <xf numFmtId="43" fontId="8" fillId="0" borderId="7" xfId="9" applyNumberFormat="1" applyFont="1" applyBorder="1"/>
    <xf numFmtId="43" fontId="8" fillId="0" borderId="5" xfId="9" applyNumberFormat="1" applyFont="1" applyBorder="1"/>
    <xf numFmtId="43" fontId="7" fillId="0" borderId="5" xfId="9" applyNumberFormat="1" applyBorder="1"/>
    <xf numFmtId="43" fontId="7" fillId="0" borderId="7" xfId="9" applyNumberFormat="1" applyBorder="1"/>
    <xf numFmtId="43" fontId="36" fillId="0" borderId="5" xfId="9" applyNumberFormat="1" applyFont="1" applyFill="1" applyBorder="1"/>
    <xf numFmtId="173" fontId="26" fillId="0" borderId="0" xfId="9" applyNumberFormat="1" applyFont="1" applyFill="1" applyBorder="1"/>
    <xf numFmtId="43" fontId="10" fillId="0" borderId="0" xfId="9" applyNumberFormat="1" applyFont="1"/>
    <xf numFmtId="43" fontId="7" fillId="0" borderId="0" xfId="9" applyNumberFormat="1" applyAlignment="1">
      <alignment horizontal="centerContinuous"/>
    </xf>
    <xf numFmtId="0" fontId="7" fillId="0" borderId="0" xfId="9" applyAlignment="1">
      <alignment horizontal="centerContinuous"/>
    </xf>
    <xf numFmtId="43" fontId="7" fillId="0" borderId="0" xfId="9" applyNumberFormat="1" applyFill="1"/>
    <xf numFmtId="43" fontId="7" fillId="0" borderId="0" xfId="9" applyNumberFormat="1" applyFont="1" applyAlignment="1">
      <alignment horizontal="center"/>
    </xf>
    <xf numFmtId="43" fontId="7" fillId="0" borderId="0" xfId="9" applyNumberFormat="1" applyBorder="1" applyAlignment="1">
      <alignment horizontal="centerContinuous"/>
    </xf>
    <xf numFmtId="0" fontId="7" fillId="0" borderId="0" xfId="9" applyBorder="1" applyAlignment="1">
      <alignment horizontal="centerContinuous"/>
    </xf>
    <xf numFmtId="43" fontId="7" fillId="0" borderId="0" xfId="9" applyNumberFormat="1" applyBorder="1"/>
    <xf numFmtId="0" fontId="8" fillId="0" borderId="0" xfId="9" applyFont="1" applyBorder="1" applyAlignment="1">
      <alignment horizontal="center"/>
    </xf>
    <xf numFmtId="43" fontId="8" fillId="0" borderId="0" xfId="9" applyNumberFormat="1" applyFont="1" applyBorder="1"/>
    <xf numFmtId="0" fontId="26" fillId="0" borderId="0" xfId="9" applyFont="1" applyFill="1" applyBorder="1"/>
    <xf numFmtId="43" fontId="36" fillId="0" borderId="0" xfId="9" applyNumberFormat="1" applyFont="1" applyFill="1" applyBorder="1"/>
    <xf numFmtId="44" fontId="36" fillId="0" borderId="0" xfId="9" applyNumberFormat="1" applyFont="1" applyFill="1" applyBorder="1"/>
    <xf numFmtId="44" fontId="26" fillId="0" borderId="0" xfId="9" applyNumberFormat="1" applyFont="1" applyFill="1" applyBorder="1"/>
    <xf numFmtId="44" fontId="24" fillId="0" borderId="0" xfId="9" applyNumberFormat="1" applyFont="1" applyFill="1" applyBorder="1"/>
    <xf numFmtId="43" fontId="26" fillId="0" borderId="0" xfId="9" applyNumberFormat="1" applyFont="1" applyFill="1" applyBorder="1"/>
    <xf numFmtId="43" fontId="8" fillId="0" borderId="0" xfId="9" applyNumberFormat="1" applyFont="1" applyFill="1" applyBorder="1"/>
    <xf numFmtId="43" fontId="8" fillId="0" borderId="0" xfId="11" applyNumberFormat="1" applyFont="1" applyFill="1"/>
    <xf numFmtId="43" fontId="10" fillId="0" borderId="0" xfId="11" applyNumberFormat="1" applyFont="1" applyFill="1"/>
    <xf numFmtId="43" fontId="25" fillId="0" borderId="0" xfId="11" applyNumberFormat="1" applyFont="1" applyFill="1"/>
    <xf numFmtId="43" fontId="25" fillId="0" borderId="0" xfId="11" applyNumberFormat="1" applyFont="1"/>
    <xf numFmtId="43" fontId="25" fillId="0" borderId="1" xfId="11" applyNumberFormat="1" applyFont="1" applyFill="1" applyBorder="1"/>
    <xf numFmtId="43" fontId="25" fillId="0" borderId="1" xfId="11" applyNumberFormat="1" applyFont="1" applyBorder="1"/>
    <xf numFmtId="0" fontId="13" fillId="0" borderId="0" xfId="11" applyFont="1" applyFill="1"/>
    <xf numFmtId="0" fontId="8" fillId="0" borderId="0" xfId="11" applyFont="1" applyFill="1"/>
    <xf numFmtId="0" fontId="10" fillId="0" borderId="0" xfId="11" applyFont="1" applyFill="1"/>
    <xf numFmtId="43" fontId="29" fillId="0" borderId="0" xfId="12" applyNumberFormat="1" applyFont="1" applyAlignment="1"/>
    <xf numFmtId="43" fontId="29" fillId="0" borderId="37" xfId="12" applyNumberFormat="1" applyFont="1" applyBorder="1" applyAlignment="1"/>
    <xf numFmtId="43" fontId="29" fillId="0" borderId="0" xfId="12" applyNumberFormat="1" applyFont="1" applyAlignment="1">
      <alignment horizontal="fill"/>
    </xf>
    <xf numFmtId="43" fontId="28" fillId="0" borderId="0" xfId="12" applyNumberFormat="1" applyFont="1" applyAlignment="1"/>
    <xf numFmtId="43" fontId="28" fillId="0" borderId="37" xfId="12" applyNumberFormat="1" applyFont="1" applyBorder="1" applyAlignment="1"/>
    <xf numFmtId="43" fontId="29" fillId="0" borderId="13" xfId="12" applyNumberFormat="1" applyFont="1" applyBorder="1" applyAlignment="1"/>
    <xf numFmtId="43" fontId="29" fillId="0" borderId="18" xfId="12" applyNumberFormat="1" applyFont="1" applyBorder="1" applyAlignment="1"/>
    <xf numFmtId="43" fontId="29" fillId="0" borderId="0" xfId="12" applyNumberFormat="1" applyFont="1" applyAlignment="1">
      <alignment horizontal="center"/>
    </xf>
    <xf numFmtId="43" fontId="29" fillId="0" borderId="0" xfId="12" applyNumberFormat="1" applyFont="1" applyFill="1" applyAlignment="1"/>
    <xf numFmtId="43" fontId="29" fillId="0" borderId="6" xfId="12" applyNumberFormat="1" applyFont="1" applyBorder="1" applyAlignment="1"/>
    <xf numFmtId="43" fontId="28" fillId="0" borderId="0" xfId="12" applyNumberFormat="1" applyFont="1" applyBorder="1"/>
    <xf numFmtId="10" fontId="29" fillId="0" borderId="0" xfId="12" applyNumberFormat="1" applyFont="1" applyFill="1" applyAlignment="1"/>
    <xf numFmtId="10" fontId="28" fillId="0" borderId="0" xfId="12" applyNumberFormat="1" applyFont="1" applyFill="1" applyAlignment="1"/>
    <xf numFmtId="0" fontId="28" fillId="0" borderId="0" xfId="12" applyNumberFormat="1" applyFont="1" applyFill="1" applyAlignment="1"/>
    <xf numFmtId="0" fontId="29" fillId="0" borderId="0" xfId="12" applyNumberFormat="1" applyFont="1" applyFill="1" applyAlignment="1">
      <alignment horizontal="center"/>
    </xf>
    <xf numFmtId="10" fontId="29" fillId="0" borderId="0" xfId="12" applyNumberFormat="1" applyFont="1" applyFill="1" applyAlignment="1">
      <alignment horizontal="center"/>
    </xf>
    <xf numFmtId="43" fontId="28" fillId="0" borderId="0" xfId="12" applyNumberFormat="1" applyFont="1"/>
    <xf numFmtId="43" fontId="31" fillId="0" borderId="0" xfId="12" applyNumberFormat="1" applyFont="1" applyAlignment="1"/>
    <xf numFmtId="43" fontId="29" fillId="0" borderId="0" xfId="12" applyNumberFormat="1" applyFont="1" applyAlignment="1" applyProtection="1">
      <protection hidden="1"/>
    </xf>
    <xf numFmtId="43" fontId="29" fillId="0" borderId="1" xfId="12" applyNumberFormat="1" applyFont="1" applyBorder="1" applyAlignment="1"/>
    <xf numFmtId="43" fontId="28" fillId="0" borderId="1" xfId="12" applyNumberFormat="1" applyFont="1" applyBorder="1" applyAlignment="1"/>
    <xf numFmtId="0" fontId="29" fillId="0" borderId="0" xfId="12" applyNumberFormat="1" applyFont="1" applyAlignment="1">
      <alignment horizontal="centerContinuous"/>
    </xf>
    <xf numFmtId="0" fontId="28" fillId="0" borderId="0" xfId="12" applyNumberFormat="1" applyFont="1" applyAlignment="1">
      <alignment horizontal="centerContinuous"/>
    </xf>
    <xf numFmtId="43" fontId="29" fillId="0" borderId="0" xfId="12" applyNumberFormat="1" applyFont="1" applyAlignment="1">
      <alignment horizontal="centerContinuous"/>
    </xf>
    <xf numFmtId="172" fontId="29" fillId="0" borderId="0" xfId="12" applyNumberFormat="1" applyFont="1" applyAlignment="1">
      <alignment horizontal="centerContinuous"/>
    </xf>
    <xf numFmtId="167" fontId="3" fillId="0" borderId="0" xfId="10" applyFont="1" applyFill="1"/>
    <xf numFmtId="43" fontId="2" fillId="0" borderId="0" xfId="5" applyNumberFormat="1" applyFont="1" applyBorder="1" applyAlignment="1">
      <alignment horizontal="center"/>
    </xf>
    <xf numFmtId="43" fontId="3" fillId="0" borderId="0" xfId="5" applyNumberFormat="1" applyFont="1" applyBorder="1"/>
    <xf numFmtId="43" fontId="3" fillId="0" borderId="0" xfId="5" applyNumberFormat="1" applyFont="1" applyFill="1" applyBorder="1"/>
    <xf numFmtId="43" fontId="3" fillId="0" borderId="0" xfId="10" applyNumberFormat="1" applyFont="1" applyFill="1" applyBorder="1"/>
    <xf numFmtId="43" fontId="3" fillId="0" borderId="0" xfId="10" applyNumberFormat="1" applyFont="1" applyBorder="1"/>
    <xf numFmtId="43" fontId="3" fillId="0" borderId="1" xfId="5" applyNumberFormat="1" applyFont="1" applyBorder="1" applyAlignment="1">
      <alignment horizontal="centerContinuous"/>
    </xf>
    <xf numFmtId="43" fontId="3" fillId="0" borderId="0" xfId="5" applyNumberFormat="1" applyFont="1" applyBorder="1" applyAlignment="1">
      <alignment horizontal="centerContinuous"/>
    </xf>
    <xf numFmtId="43" fontId="3" fillId="0" borderId="0" xfId="10" applyNumberFormat="1" applyFont="1" applyFill="1" applyBorder="1" applyAlignment="1" applyProtection="1"/>
    <xf numFmtId="43" fontId="2" fillId="0" borderId="0" xfId="10" applyNumberFormat="1" applyFont="1" applyBorder="1" applyAlignment="1">
      <alignment horizontal="center"/>
    </xf>
    <xf numFmtId="43" fontId="2" fillId="0" borderId="8" xfId="10" applyNumberFormat="1" applyFont="1" applyBorder="1"/>
    <xf numFmtId="43" fontId="2" fillId="0" borderId="0" xfId="10" applyNumberFormat="1" applyFont="1" applyBorder="1"/>
    <xf numFmtId="43" fontId="7" fillId="0" borderId="0" xfId="6" applyNumberFormat="1" applyFont="1"/>
    <xf numFmtId="0" fontId="7" fillId="0" borderId="0" xfId="6" applyFont="1"/>
    <xf numFmtId="3" fontId="3" fillId="0" borderId="0" xfId="10" applyNumberFormat="1" applyFont="1" applyFill="1" applyBorder="1"/>
    <xf numFmtId="167" fontId="39" fillId="0" borderId="0" xfId="10" applyNumberFormat="1" applyFont="1" applyFill="1" applyBorder="1" applyAlignment="1" applyProtection="1"/>
    <xf numFmtId="167" fontId="39" fillId="0" borderId="0" xfId="10" applyFont="1"/>
    <xf numFmtId="167" fontId="39" fillId="0" borderId="0" xfId="10" applyFont="1" applyFill="1"/>
    <xf numFmtId="167" fontId="39" fillId="0" borderId="0" xfId="10" applyFont="1" applyBorder="1"/>
    <xf numFmtId="39" fontId="39" fillId="0" borderId="0" xfId="10" applyNumberFormat="1" applyFont="1" applyBorder="1"/>
    <xf numFmtId="43" fontId="39" fillId="0" borderId="1" xfId="5" applyNumberFormat="1" applyFont="1" applyBorder="1" applyAlignment="1">
      <alignment horizontal="center"/>
    </xf>
    <xf numFmtId="167" fontId="2" fillId="0" borderId="0" xfId="10" applyFont="1"/>
    <xf numFmtId="167" fontId="2" fillId="0" borderId="8" xfId="10" applyFont="1" applyBorder="1"/>
    <xf numFmtId="3" fontId="3" fillId="0" borderId="8" xfId="10" applyNumberFormat="1" applyFont="1" applyBorder="1"/>
    <xf numFmtId="3" fontId="3" fillId="0" borderId="0" xfId="10" applyNumberFormat="1" applyFont="1" applyBorder="1"/>
    <xf numFmtId="167" fontId="19" fillId="0" borderId="0" xfId="10" applyFont="1" applyBorder="1"/>
    <xf numFmtId="167" fontId="20" fillId="0" borderId="0" xfId="10" applyFont="1" applyBorder="1"/>
    <xf numFmtId="167" fontId="18" fillId="0" borderId="0" xfId="10" applyFont="1" applyBorder="1" applyAlignment="1">
      <alignment horizontal="centerContinuous"/>
    </xf>
    <xf numFmtId="167" fontId="2" fillId="0" borderId="0" xfId="10" applyFont="1" applyBorder="1" applyAlignment="1">
      <alignment horizontal="centerContinuous"/>
    </xf>
    <xf numFmtId="0" fontId="7" fillId="0" borderId="0" xfId="6" applyAlignment="1">
      <alignment horizontal="centerContinuous"/>
    </xf>
    <xf numFmtId="43" fontId="3" fillId="0" borderId="0" xfId="10" applyNumberFormat="1" applyFont="1" applyBorder="1" applyAlignment="1">
      <alignment horizontal="centerContinuous"/>
    </xf>
    <xf numFmtId="167" fontId="5" fillId="0" borderId="0" xfId="10" applyFont="1" applyBorder="1" applyAlignment="1">
      <alignment horizontal="centerContinuous"/>
    </xf>
    <xf numFmtId="167" fontId="6" fillId="0" borderId="0" xfId="10" applyFont="1" applyBorder="1" applyAlignment="1">
      <alignment horizontal="centerContinuous"/>
    </xf>
    <xf numFmtId="0" fontId="29" fillId="0" borderId="0" xfId="12" applyNumberFormat="1" applyFont="1" applyBorder="1" applyAlignment="1"/>
    <xf numFmtId="43" fontId="29" fillId="0" borderId="0" xfId="12" applyNumberFormat="1" applyFont="1" applyBorder="1" applyAlignment="1"/>
    <xf numFmtId="43" fontId="29" fillId="0" borderId="0" xfId="12" applyNumberFormat="1" applyFont="1" applyBorder="1" applyAlignment="1">
      <alignment horizontal="center"/>
    </xf>
    <xf numFmtId="166" fontId="7" fillId="0" borderId="0" xfId="1" applyNumberFormat="1" applyFont="1"/>
    <xf numFmtId="166" fontId="7" fillId="0" borderId="0" xfId="6" applyNumberFormat="1"/>
    <xf numFmtId="166" fontId="7" fillId="0" borderId="0" xfId="6" applyNumberFormat="1" applyFont="1"/>
    <xf numFmtId="43" fontId="7" fillId="0" borderId="0" xfId="7" applyNumberFormat="1" applyFont="1" applyBorder="1" applyAlignment="1">
      <alignment horizontal="center"/>
    </xf>
    <xf numFmtId="43" fontId="7" fillId="0" borderId="6" xfId="9" applyNumberFormat="1" applyFont="1" applyBorder="1"/>
    <xf numFmtId="0" fontId="8" fillId="0" borderId="5" xfId="9" applyFont="1" applyBorder="1"/>
    <xf numFmtId="0" fontId="25" fillId="0" borderId="22" xfId="9" applyFont="1" applyBorder="1"/>
    <xf numFmtId="44" fontId="8" fillId="0" borderId="0" xfId="9" applyNumberFormat="1" applyFont="1" applyFill="1"/>
    <xf numFmtId="44" fontId="8" fillId="0" borderId="0" xfId="9" applyNumberFormat="1" applyFont="1" applyFill="1" applyBorder="1"/>
    <xf numFmtId="0" fontId="25" fillId="0" borderId="0" xfId="9" applyFont="1"/>
    <xf numFmtId="43" fontId="7" fillId="0" borderId="0" xfId="1" applyNumberFormat="1" applyFont="1"/>
    <xf numFmtId="43" fontId="7" fillId="0" borderId="1" xfId="7" applyNumberFormat="1" applyFont="1" applyBorder="1" applyAlignment="1">
      <alignment horizontal="right"/>
    </xf>
    <xf numFmtId="10" fontId="7" fillId="0" borderId="38" xfId="11" applyNumberFormat="1" applyFont="1" applyBorder="1"/>
    <xf numFmtId="9" fontId="7" fillId="0" borderId="1" xfId="11" applyNumberFormat="1" applyBorder="1" applyAlignment="1">
      <alignment horizontal="center"/>
    </xf>
    <xf numFmtId="43" fontId="25" fillId="0" borderId="39" xfId="11" applyNumberFormat="1" applyFont="1" applyBorder="1"/>
    <xf numFmtId="10" fontId="12" fillId="0" borderId="38" xfId="11" applyNumberFormat="1" applyFont="1" applyBorder="1"/>
    <xf numFmtId="0" fontId="10" fillId="0" borderId="0" xfId="7" applyFont="1" applyAlignment="1">
      <alignment horizontal="left"/>
    </xf>
    <xf numFmtId="43" fontId="7" fillId="0" borderId="0" xfId="11" applyNumberFormat="1" applyFont="1"/>
    <xf numFmtId="40" fontId="0" fillId="0" borderId="0" xfId="1" applyFont="1"/>
    <xf numFmtId="0" fontId="32" fillId="0" borderId="0" xfId="8" applyFont="1"/>
    <xf numFmtId="40" fontId="29" fillId="0" borderId="0" xfId="1" applyFont="1" applyFill="1" applyAlignment="1"/>
    <xf numFmtId="40" fontId="29" fillId="0" borderId="18" xfId="1" applyFont="1" applyBorder="1" applyAlignment="1"/>
    <xf numFmtId="40" fontId="29" fillId="0" borderId="35" xfId="1" applyFont="1" applyFill="1" applyBorder="1" applyAlignment="1"/>
    <xf numFmtId="43" fontId="0" fillId="0" borderId="0" xfId="10" applyNumberFormat="1" applyFont="1" applyFill="1" applyBorder="1"/>
    <xf numFmtId="40" fontId="28" fillId="0" borderId="35" xfId="1" applyFont="1" applyBorder="1" applyAlignment="1"/>
    <xf numFmtId="17" fontId="40" fillId="0" borderId="0" xfId="12" quotePrefix="1" applyNumberFormat="1" applyFont="1" applyAlignment="1">
      <alignment horizontal="center"/>
    </xf>
    <xf numFmtId="0" fontId="40" fillId="0" borderId="0" xfId="12" applyNumberFormat="1" applyFont="1" applyAlignment="1">
      <alignment horizontal="center"/>
    </xf>
    <xf numFmtId="0" fontId="40" fillId="0" borderId="0" xfId="12" applyNumberFormat="1" applyFont="1" applyBorder="1" applyAlignment="1">
      <alignment horizontal="center"/>
    </xf>
    <xf numFmtId="165" fontId="21" fillId="0" borderId="27" xfId="0" applyNumberFormat="1" applyFont="1" applyFill="1" applyBorder="1"/>
    <xf numFmtId="167" fontId="3" fillId="0" borderId="8" xfId="10" applyFont="1" applyBorder="1"/>
    <xf numFmtId="43" fontId="2" fillId="0" borderId="8" xfId="10" applyNumberFormat="1" applyFont="1" applyBorder="1" applyAlignment="1">
      <alignment horizontal="center"/>
    </xf>
    <xf numFmtId="43" fontId="39" fillId="0" borderId="0" xfId="5" applyNumberFormat="1" applyFont="1" applyBorder="1" applyAlignment="1">
      <alignment horizontal="center"/>
    </xf>
    <xf numFmtId="43" fontId="7" fillId="5" borderId="30" xfId="4" applyNumberFormat="1" applyFill="1" applyBorder="1"/>
    <xf numFmtId="43" fontId="7" fillId="4" borderId="0" xfId="8" applyNumberFormat="1" applyFill="1"/>
    <xf numFmtId="0" fontId="8" fillId="0" borderId="10" xfId="7" applyFont="1" applyBorder="1" applyAlignment="1">
      <alignment horizontal="left"/>
    </xf>
    <xf numFmtId="169" fontId="7" fillId="0" borderId="10" xfId="7" applyNumberFormat="1" applyFont="1" applyBorder="1" applyAlignment="1">
      <alignment horizontal="center"/>
    </xf>
    <xf numFmtId="40" fontId="0" fillId="0" borderId="0" xfId="0" applyNumberFormat="1"/>
    <xf numFmtId="43" fontId="7" fillId="0" borderId="0" xfId="6" applyNumberFormat="1"/>
    <xf numFmtId="41" fontId="0" fillId="0" borderId="0" xfId="1" applyNumberFormat="1" applyFont="1" applyFill="1"/>
    <xf numFmtId="40" fontId="28" fillId="0" borderId="0" xfId="1" applyFont="1"/>
    <xf numFmtId="43" fontId="7" fillId="4" borderId="4" xfId="9" applyNumberFormat="1" applyFill="1" applyBorder="1"/>
    <xf numFmtId="43" fontId="8" fillId="4" borderId="7" xfId="9" applyNumberFormat="1" applyFont="1" applyFill="1" applyBorder="1"/>
    <xf numFmtId="43" fontId="8" fillId="4" borderId="5" xfId="9" applyNumberFormat="1" applyFont="1" applyFill="1" applyBorder="1"/>
    <xf numFmtId="43" fontId="12" fillId="0" borderId="0" xfId="9" applyNumberFormat="1" applyFont="1" applyFill="1"/>
    <xf numFmtId="43" fontId="7" fillId="4" borderId="0" xfId="9" applyNumberFormat="1" applyFill="1"/>
    <xf numFmtId="0" fontId="7" fillId="4" borderId="23" xfId="9" applyFill="1" applyBorder="1"/>
    <xf numFmtId="0" fontId="7" fillId="4" borderId="6" xfId="9" applyFill="1" applyBorder="1"/>
    <xf numFmtId="0" fontId="8" fillId="4" borderId="24" xfId="9" applyFont="1" applyFill="1" applyBorder="1" applyAlignment="1">
      <alignment horizontal="center"/>
    </xf>
    <xf numFmtId="0" fontId="7" fillId="4" borderId="0" xfId="9" applyFill="1"/>
    <xf numFmtId="0" fontId="7" fillId="4" borderId="22" xfId="9" applyFill="1" applyBorder="1"/>
    <xf numFmtId="0" fontId="36" fillId="4" borderId="0" xfId="9" applyFont="1" applyFill="1"/>
    <xf numFmtId="10" fontId="36" fillId="4" borderId="22" xfId="9" applyNumberFormat="1" applyFont="1" applyFill="1" applyBorder="1"/>
    <xf numFmtId="10" fontId="7" fillId="4" borderId="22" xfId="9" applyNumberFormat="1" applyFill="1" applyBorder="1"/>
    <xf numFmtId="10" fontId="7" fillId="4" borderId="24" xfId="9" applyNumberFormat="1" applyFill="1" applyBorder="1"/>
    <xf numFmtId="0" fontId="8" fillId="4" borderId="0" xfId="9" applyFont="1" applyFill="1"/>
    <xf numFmtId="10" fontId="8" fillId="4" borderId="22" xfId="9" applyNumberFormat="1" applyFont="1" applyFill="1" applyBorder="1"/>
    <xf numFmtId="8" fontId="7" fillId="4" borderId="0" xfId="9" applyNumberFormat="1" applyFill="1"/>
    <xf numFmtId="8" fontId="7" fillId="4" borderId="22" xfId="9" applyNumberFormat="1" applyFill="1" applyBorder="1"/>
    <xf numFmtId="165" fontId="6" fillId="0" borderId="0" xfId="0" applyNumberFormat="1" applyFont="1" applyFill="1" applyAlignment="1">
      <alignment horizontal="center"/>
    </xf>
    <xf numFmtId="43" fontId="8" fillId="4" borderId="0" xfId="9" applyNumberFormat="1" applyFont="1" applyFill="1"/>
    <xf numFmtId="172" fontId="28" fillId="0" borderId="0" xfId="12" applyNumberFormat="1" applyFont="1" applyAlignment="1" applyProtection="1">
      <alignment horizontal="centerContinuous"/>
      <protection locked="0"/>
    </xf>
    <xf numFmtId="17" fontId="40" fillId="4" borderId="0" xfId="12" quotePrefix="1" applyNumberFormat="1" applyFont="1" applyFill="1" applyAlignment="1">
      <alignment horizontal="center"/>
    </xf>
    <xf numFmtId="43" fontId="7" fillId="4" borderId="5" xfId="9" applyNumberFormat="1" applyFill="1" applyBorder="1"/>
    <xf numFmtId="165" fontId="3" fillId="4" borderId="0" xfId="1" applyNumberFormat="1" applyFill="1"/>
    <xf numFmtId="168" fontId="7" fillId="4" borderId="0" xfId="7" applyNumberFormat="1" applyFill="1" applyBorder="1" applyAlignment="1">
      <alignment horizontal="center"/>
    </xf>
    <xf numFmtId="43" fontId="29" fillId="4" borderId="0" xfId="12" applyNumberFormat="1" applyFont="1" applyFill="1" applyAlignment="1"/>
    <xf numFmtId="43" fontId="29" fillId="4" borderId="37" xfId="12" applyNumberFormat="1" applyFont="1" applyFill="1" applyBorder="1" applyAlignment="1"/>
    <xf numFmtId="43" fontId="28" fillId="4" borderId="0" xfId="12" applyNumberFormat="1" applyFont="1" applyFill="1" applyAlignment="1"/>
    <xf numFmtId="43" fontId="28" fillId="4" borderId="37" xfId="12" applyNumberFormat="1" applyFont="1" applyFill="1" applyBorder="1" applyAlignment="1"/>
    <xf numFmtId="43" fontId="29" fillId="4" borderId="0" xfId="12" applyNumberFormat="1" applyFont="1" applyFill="1" applyAlignment="1">
      <alignment horizontal="fill"/>
    </xf>
    <xf numFmtId="43" fontId="29" fillId="4" borderId="18" xfId="12" applyNumberFormat="1" applyFont="1" applyFill="1" applyBorder="1" applyAlignment="1"/>
    <xf numFmtId="41" fontId="0" fillId="0" borderId="1" xfId="0" applyNumberFormat="1" applyFont="1" applyFill="1" applyBorder="1"/>
    <xf numFmtId="41" fontId="0" fillId="0" borderId="1" xfId="0" applyNumberFormat="1" applyFont="1" applyFill="1" applyBorder="1" applyAlignment="1">
      <alignment horizontal="center"/>
    </xf>
    <xf numFmtId="165" fontId="7" fillId="4" borderId="1" xfId="11" applyNumberFormat="1" applyFont="1" applyFill="1" applyBorder="1"/>
    <xf numFmtId="40" fontId="28" fillId="0" borderId="0" xfId="12" applyNumberFormat="1" applyFont="1" applyAlignment="1"/>
    <xf numFmtId="0" fontId="13" fillId="0" borderId="0" xfId="11" applyFont="1"/>
    <xf numFmtId="0" fontId="7" fillId="0" borderId="0" xfId="9" applyBorder="1" applyAlignment="1">
      <alignment horizontal="center"/>
    </xf>
    <xf numFmtId="10" fontId="25" fillId="0" borderId="0" xfId="9" applyNumberFormat="1" applyFont="1" applyBorder="1"/>
    <xf numFmtId="8" fontId="7" fillId="0" borderId="0" xfId="9" applyNumberFormat="1" applyBorder="1"/>
    <xf numFmtId="0" fontId="36" fillId="0" borderId="0" xfId="9" applyFont="1" applyFill="1" applyBorder="1"/>
    <xf numFmtId="0" fontId="8" fillId="0" borderId="0" xfId="9" applyFont="1" applyBorder="1"/>
    <xf numFmtId="0" fontId="7" fillId="0" borderId="31" xfId="9" applyBorder="1"/>
    <xf numFmtId="0" fontId="8" fillId="0" borderId="33" xfId="9" applyFont="1" applyBorder="1" applyAlignment="1">
      <alignment horizontal="center"/>
    </xf>
    <xf numFmtId="0" fontId="7" fillId="0" borderId="32" xfId="9" applyBorder="1"/>
    <xf numFmtId="0" fontId="7" fillId="0" borderId="32" xfId="9" applyBorder="1" applyAlignment="1">
      <alignment horizontal="center"/>
    </xf>
    <xf numFmtId="10" fontId="36" fillId="0" borderId="32" xfId="9" applyNumberFormat="1" applyFont="1" applyFill="1" applyBorder="1"/>
    <xf numFmtId="10" fontId="7" fillId="0" borderId="33" xfId="9" applyNumberFormat="1" applyBorder="1"/>
    <xf numFmtId="10" fontId="7" fillId="0" borderId="32" xfId="9" applyNumberFormat="1" applyBorder="1"/>
    <xf numFmtId="10" fontId="8" fillId="0" borderId="32" xfId="9" applyNumberFormat="1" applyFont="1" applyBorder="1"/>
    <xf numFmtId="8" fontId="7" fillId="0" borderId="32" xfId="9" applyNumberFormat="1" applyBorder="1"/>
    <xf numFmtId="43" fontId="7" fillId="4" borderId="1" xfId="11" applyNumberFormat="1" applyFont="1" applyFill="1" applyBorder="1"/>
    <xf numFmtId="43" fontId="36" fillId="4" borderId="5" xfId="9" applyNumberFormat="1" applyFont="1" applyFill="1" applyBorder="1"/>
    <xf numFmtId="43" fontId="7" fillId="4" borderId="7" xfId="9" applyNumberFormat="1" applyFill="1" applyBorder="1"/>
    <xf numFmtId="172" fontId="29" fillId="0" borderId="0" xfId="12" applyNumberFormat="1" applyFont="1" applyAlignment="1" applyProtection="1">
      <alignment horizontal="centerContinuous"/>
      <protection locked="0"/>
    </xf>
    <xf numFmtId="0" fontId="7" fillId="0" borderId="40" xfId="13" applyFont="1" applyBorder="1" applyAlignment="1">
      <alignment horizontal="center"/>
    </xf>
    <xf numFmtId="3" fontId="7" fillId="0" borderId="40" xfId="13" applyNumberFormat="1" applyFont="1" applyBorder="1" applyAlignment="1">
      <alignment horizontal="center"/>
    </xf>
    <xf numFmtId="3" fontId="7" fillId="0" borderId="40" xfId="13" applyNumberFormat="1" applyFont="1" applyBorder="1" applyAlignment="1">
      <alignment horizontal="center" wrapText="1"/>
    </xf>
    <xf numFmtId="0" fontId="3" fillId="0" borderId="0" xfId="14"/>
    <xf numFmtId="0" fontId="8" fillId="0" borderId="40" xfId="13" applyFont="1" applyBorder="1" applyAlignment="1">
      <alignment horizontal="center"/>
    </xf>
    <xf numFmtId="3" fontId="8" fillId="0" borderId="40" xfId="13" applyNumberFormat="1" applyFont="1" applyBorder="1" applyAlignment="1"/>
    <xf numFmtId="3" fontId="8" fillId="0" borderId="40" xfId="13" applyNumberFormat="1" applyFont="1" applyBorder="1" applyAlignment="1">
      <alignment horizontal="center"/>
    </xf>
    <xf numFmtId="0" fontId="8" fillId="0" borderId="40" xfId="13" applyFont="1" applyBorder="1" applyAlignment="1">
      <alignment horizontal="left"/>
    </xf>
    <xf numFmtId="3" fontId="7" fillId="0" borderId="40" xfId="13" applyNumberFormat="1" applyFont="1" applyBorder="1"/>
    <xf numFmtId="3" fontId="7" fillId="0" borderId="40" xfId="13" applyNumberFormat="1" applyFont="1" applyBorder="1" applyAlignment="1"/>
    <xf numFmtId="0" fontId="7" fillId="0" borderId="40" xfId="13" applyFont="1" applyBorder="1"/>
    <xf numFmtId="3" fontId="7" fillId="0" borderId="40" xfId="13" applyNumberFormat="1" applyFont="1" applyBorder="1" applyAlignment="1">
      <alignment horizontal="right"/>
    </xf>
    <xf numFmtId="0" fontId="7" fillId="0" borderId="40" xfId="13" applyFont="1" applyBorder="1" applyAlignment="1">
      <alignment wrapText="1"/>
    </xf>
    <xf numFmtId="0" fontId="45" fillId="0" borderId="40" xfId="13" applyFont="1" applyBorder="1"/>
    <xf numFmtId="0" fontId="32" fillId="0" borderId="0" xfId="13" applyFont="1" applyAlignment="1">
      <alignment horizontal="center"/>
    </xf>
    <xf numFmtId="3" fontId="28" fillId="0" borderId="0" xfId="13" applyNumberFormat="1" applyFont="1" applyAlignment="1">
      <alignment horizontal="center"/>
    </xf>
    <xf numFmtId="3" fontId="28" fillId="0" borderId="0" xfId="13" applyNumberFormat="1" applyFont="1" applyAlignment="1">
      <alignment horizontal="right"/>
    </xf>
    <xf numFmtId="3" fontId="28" fillId="0" borderId="0" xfId="13" applyNumberFormat="1" applyFont="1" applyAlignment="1"/>
    <xf numFmtId="3" fontId="32" fillId="0" borderId="0" xfId="13" applyNumberFormat="1" applyFont="1" applyAlignment="1"/>
    <xf numFmtId="0" fontId="32" fillId="0" borderId="0" xfId="13" applyFont="1" applyAlignment="1">
      <alignment horizontal="left"/>
    </xf>
    <xf numFmtId="0" fontId="46" fillId="0" borderId="0" xfId="13" applyFont="1"/>
    <xf numFmtId="0" fontId="46" fillId="0" borderId="0" xfId="13" applyFont="1" applyAlignment="1">
      <alignment horizontal="center"/>
    </xf>
    <xf numFmtId="3" fontId="46" fillId="0" borderId="0" xfId="13" applyNumberFormat="1" applyFont="1"/>
    <xf numFmtId="3" fontId="46" fillId="0" borderId="0" xfId="13" applyNumberFormat="1" applyFont="1" applyAlignment="1">
      <alignment horizontal="center"/>
    </xf>
    <xf numFmtId="3" fontId="46" fillId="0" borderId="0" xfId="13" applyNumberFormat="1" applyFont="1" applyAlignment="1"/>
    <xf numFmtId="0" fontId="46" fillId="0" borderId="0" xfId="13" applyFont="1" applyAlignment="1">
      <alignment horizontal="left"/>
    </xf>
    <xf numFmtId="49" fontId="28" fillId="0" borderId="0" xfId="13" applyNumberFormat="1" applyFont="1" applyAlignment="1">
      <alignment horizontal="center"/>
    </xf>
    <xf numFmtId="0" fontId="28" fillId="0" borderId="0" xfId="13" applyFont="1" applyAlignment="1">
      <alignment horizontal="left"/>
    </xf>
    <xf numFmtId="0" fontId="7" fillId="0" borderId="40" xfId="13" applyFont="1" applyBorder="1" applyAlignment="1">
      <alignment horizontal="center"/>
    </xf>
    <xf numFmtId="3" fontId="7" fillId="0" borderId="40" xfId="13" applyNumberFormat="1" applyFont="1" applyBorder="1" applyAlignment="1">
      <alignment horizontal="center"/>
    </xf>
    <xf numFmtId="0" fontId="8" fillId="0" borderId="40" xfId="13" applyFont="1" applyBorder="1" applyAlignment="1">
      <alignment horizontal="center"/>
    </xf>
    <xf numFmtId="3" fontId="7" fillId="0" borderId="40" xfId="13" applyNumberFormat="1" applyFont="1" applyBorder="1" applyAlignment="1">
      <alignment horizontal="right"/>
    </xf>
    <xf numFmtId="0" fontId="7" fillId="0" borderId="40" xfId="13" applyFont="1" applyBorder="1" applyAlignment="1">
      <alignment wrapText="1"/>
    </xf>
    <xf numFmtId="0" fontId="48" fillId="0" borderId="0" xfId="27" applyFont="1"/>
    <xf numFmtId="0" fontId="49" fillId="0" borderId="0" xfId="27" applyFont="1"/>
    <xf numFmtId="43" fontId="49" fillId="0" borderId="0" xfId="16" applyFont="1"/>
    <xf numFmtId="43" fontId="7" fillId="0" borderId="0" xfId="16" applyFont="1"/>
    <xf numFmtId="0" fontId="7" fillId="0" borderId="0" xfId="27"/>
    <xf numFmtId="43" fontId="50" fillId="0" borderId="0" xfId="16" applyFont="1" applyBorder="1"/>
    <xf numFmtId="0" fontId="7" fillId="0" borderId="0" xfId="27" applyFont="1"/>
    <xf numFmtId="43" fontId="50" fillId="0" borderId="26" xfId="16" applyFont="1" applyBorder="1"/>
    <xf numFmtId="44" fontId="50" fillId="0" borderId="0" xfId="19" applyFont="1" applyBorder="1"/>
    <xf numFmtId="0" fontId="51" fillId="0" borderId="0" xfId="27" applyFont="1"/>
    <xf numFmtId="43" fontId="7" fillId="6" borderId="41" xfId="16" applyFont="1" applyFill="1" applyBorder="1" applyAlignment="1">
      <alignment horizontal="centerContinuous"/>
    </xf>
    <xf numFmtId="43" fontId="7" fillId="6" borderId="42" xfId="16" applyFont="1" applyFill="1" applyBorder="1" applyAlignment="1">
      <alignment horizontal="centerContinuous"/>
    </xf>
    <xf numFmtId="43" fontId="7" fillId="6" borderId="43" xfId="16" applyFont="1" applyFill="1" applyBorder="1" applyAlignment="1">
      <alignment horizontal="centerContinuous"/>
    </xf>
    <xf numFmtId="0" fontId="7" fillId="7" borderId="41" xfId="27" applyFont="1" applyFill="1" applyBorder="1" applyAlignment="1">
      <alignment horizontal="centerContinuous"/>
    </xf>
    <xf numFmtId="0" fontId="7" fillId="7" borderId="42" xfId="27" applyFont="1" applyFill="1" applyBorder="1" applyAlignment="1">
      <alignment horizontal="centerContinuous"/>
    </xf>
    <xf numFmtId="0" fontId="7" fillId="7" borderId="42" xfId="27" applyFill="1" applyBorder="1" applyAlignment="1">
      <alignment horizontal="centerContinuous"/>
    </xf>
    <xf numFmtId="0" fontId="7" fillId="7" borderId="26" xfId="27" applyFill="1" applyBorder="1" applyAlignment="1">
      <alignment horizontal="centerContinuous"/>
    </xf>
    <xf numFmtId="0" fontId="7" fillId="7" borderId="44" xfId="27" applyFont="1" applyFill="1" applyBorder="1" applyAlignment="1">
      <alignment horizontal="centerContinuous"/>
    </xf>
    <xf numFmtId="0" fontId="7" fillId="7" borderId="41" xfId="27" applyFont="1" applyFill="1" applyBorder="1" applyAlignment="1">
      <alignment horizontal="center"/>
    </xf>
    <xf numFmtId="0" fontId="7" fillId="7" borderId="43" xfId="27" applyFill="1" applyBorder="1" applyAlignment="1">
      <alignment horizontal="centerContinuous"/>
    </xf>
    <xf numFmtId="0" fontId="7" fillId="7" borderId="27" xfId="27" applyFont="1" applyFill="1" applyBorder="1" applyAlignment="1"/>
    <xf numFmtId="0" fontId="50" fillId="8" borderId="40" xfId="27" applyFont="1" applyFill="1" applyBorder="1" applyAlignment="1">
      <alignment horizontal="center" wrapText="1"/>
    </xf>
    <xf numFmtId="0" fontId="50" fillId="8" borderId="40" xfId="27" applyFont="1" applyFill="1" applyBorder="1" applyAlignment="1">
      <alignment horizontal="center"/>
    </xf>
    <xf numFmtId="43" fontId="50" fillId="6" borderId="40" xfId="16" applyFont="1" applyFill="1" applyBorder="1" applyAlignment="1">
      <alignment horizontal="center"/>
    </xf>
    <xf numFmtId="43" fontId="50" fillId="6" borderId="43" xfId="16" applyFont="1" applyFill="1" applyBorder="1" applyAlignment="1">
      <alignment horizontal="center"/>
    </xf>
    <xf numFmtId="43" fontId="50" fillId="6" borderId="40" xfId="16" applyFont="1" applyFill="1" applyBorder="1" applyAlignment="1">
      <alignment horizontal="center" wrapText="1"/>
    </xf>
    <xf numFmtId="0" fontId="50" fillId="7" borderId="40" xfId="27" applyFont="1" applyFill="1" applyBorder="1" applyAlignment="1">
      <alignment horizontal="center" wrapText="1"/>
    </xf>
    <xf numFmtId="0" fontId="50" fillId="7" borderId="41" xfId="27" applyFont="1" applyFill="1" applyBorder="1" applyAlignment="1">
      <alignment horizontal="center" wrapText="1"/>
    </xf>
    <xf numFmtId="0" fontId="50" fillId="7" borderId="2" xfId="27" applyFont="1" applyFill="1" applyBorder="1" applyAlignment="1">
      <alignment horizontal="center" wrapText="1"/>
    </xf>
    <xf numFmtId="0" fontId="50" fillId="8" borderId="43" xfId="27" applyFont="1" applyFill="1" applyBorder="1" applyAlignment="1">
      <alignment horizontal="center" wrapText="1"/>
    </xf>
    <xf numFmtId="43" fontId="50" fillId="8" borderId="40" xfId="16" applyFont="1" applyFill="1" applyBorder="1" applyAlignment="1">
      <alignment horizontal="center" wrapText="1"/>
    </xf>
    <xf numFmtId="0" fontId="50" fillId="0" borderId="40" xfId="27" applyFont="1" applyBorder="1"/>
    <xf numFmtId="6" fontId="50" fillId="0" borderId="40" xfId="27" applyNumberFormat="1" applyFont="1" applyBorder="1"/>
    <xf numFmtId="43" fontId="50" fillId="0" borderId="40" xfId="16" applyFont="1" applyBorder="1"/>
    <xf numFmtId="43" fontId="50" fillId="0" borderId="43" xfId="16" applyFont="1" applyBorder="1"/>
    <xf numFmtId="1" fontId="50" fillId="0" borderId="40" xfId="27" applyNumberFormat="1" applyFont="1" applyBorder="1" applyAlignment="1">
      <alignment horizontal="center"/>
    </xf>
    <xf numFmtId="43" fontId="50" fillId="0" borderId="40" xfId="17" applyFont="1" applyBorder="1"/>
    <xf numFmtId="9" fontId="50" fillId="0" borderId="40" xfId="39" applyFont="1" applyBorder="1"/>
    <xf numFmtId="43" fontId="50" fillId="0" borderId="25" xfId="16" applyFont="1" applyBorder="1"/>
    <xf numFmtId="0" fontId="50" fillId="0" borderId="40" xfId="27" applyFont="1" applyBorder="1" applyAlignment="1">
      <alignment wrapText="1"/>
    </xf>
    <xf numFmtId="165" fontId="50" fillId="0" borderId="43" xfId="16" applyNumberFormat="1" applyFont="1" applyBorder="1" applyAlignment="1">
      <alignment wrapText="1"/>
    </xf>
    <xf numFmtId="1" fontId="50" fillId="0" borderId="40" xfId="27" applyNumberFormat="1" applyFont="1" applyBorder="1"/>
    <xf numFmtId="43" fontId="14" fillId="0" borderId="40" xfId="17" applyFont="1" applyBorder="1"/>
    <xf numFmtId="0" fontId="50" fillId="8" borderId="40" xfId="27" applyFont="1" applyFill="1" applyBorder="1"/>
    <xf numFmtId="43" fontId="50" fillId="6" borderId="40" xfId="16" applyFont="1" applyFill="1" applyBorder="1"/>
    <xf numFmtId="43" fontId="50" fillId="7" borderId="40" xfId="16" applyFont="1" applyFill="1" applyBorder="1"/>
    <xf numFmtId="43" fontId="50" fillId="8" borderId="40" xfId="17" applyFont="1" applyFill="1" applyBorder="1"/>
    <xf numFmtId="43" fontId="50" fillId="8" borderId="40" xfId="16" applyFont="1" applyFill="1" applyBorder="1"/>
    <xf numFmtId="9" fontId="50" fillId="8" borderId="40" xfId="39" applyFont="1" applyFill="1" applyBorder="1"/>
    <xf numFmtId="43" fontId="50" fillId="0" borderId="40" xfId="15" applyFont="1" applyBorder="1"/>
    <xf numFmtId="43" fontId="50" fillId="0" borderId="43" xfId="16" applyFont="1" applyBorder="1" applyAlignment="1">
      <alignment wrapText="1"/>
    </xf>
    <xf numFmtId="43" fontId="14" fillId="0" borderId="40" xfId="15" applyFont="1" applyBorder="1"/>
    <xf numFmtId="43" fontId="50" fillId="8" borderId="40" xfId="15" applyFont="1" applyFill="1" applyBorder="1"/>
    <xf numFmtId="44" fontId="50" fillId="0" borderId="40" xfId="19" applyFont="1" applyBorder="1"/>
    <xf numFmtId="43" fontId="14" fillId="0" borderId="40" xfId="16" applyFont="1" applyBorder="1"/>
    <xf numFmtId="0" fontId="7" fillId="0" borderId="0" xfId="27" applyBorder="1"/>
    <xf numFmtId="7" fontId="50" fillId="0" borderId="0" xfId="19" applyNumberFormat="1" applyFont="1" applyBorder="1"/>
    <xf numFmtId="0" fontId="52" fillId="0" borderId="0" xfId="27" applyFont="1"/>
    <xf numFmtId="0" fontId="3" fillId="0" borderId="40" xfId="14" applyBorder="1"/>
    <xf numFmtId="0" fontId="3" fillId="0" borderId="40" xfId="14" applyBorder="1" applyAlignment="1">
      <alignment horizontal="center"/>
    </xf>
    <xf numFmtId="3" fontId="3" fillId="0" borderId="40" xfId="14" applyNumberFormat="1" applyBorder="1"/>
    <xf numFmtId="0" fontId="8" fillId="0" borderId="0" xfId="11" applyFont="1" applyAlignment="1">
      <alignment horizontal="center"/>
    </xf>
    <xf numFmtId="0" fontId="7" fillId="0" borderId="0" xfId="7" applyBorder="1" applyAlignment="1">
      <alignment horizontal="center"/>
    </xf>
    <xf numFmtId="0" fontId="7" fillId="0" borderId="0" xfId="7" applyFont="1" applyBorder="1" applyAlignment="1">
      <alignment horizontal="center"/>
    </xf>
    <xf numFmtId="169" fontId="25" fillId="0" borderId="0" xfId="7" applyNumberFormat="1" applyFont="1" applyBorder="1" applyAlignment="1">
      <alignment horizontal="center"/>
    </xf>
    <xf numFmtId="0" fontId="34" fillId="0" borderId="0" xfId="9" applyFont="1" applyAlignment="1">
      <alignment horizontal="center"/>
    </xf>
    <xf numFmtId="0" fontId="34" fillId="0" borderId="6" xfId="9" applyFont="1" applyBorder="1" applyAlignment="1">
      <alignment horizontal="center"/>
    </xf>
    <xf numFmtId="0" fontId="34" fillId="0" borderId="0" xfId="9" applyFont="1" applyBorder="1" applyAlignment="1">
      <alignment horizontal="center"/>
    </xf>
  </cellXfs>
  <cellStyles count="41">
    <cellStyle name="Comma" xfId="1" builtinId="3"/>
    <cellStyle name="Comma 2" xfId="15"/>
    <cellStyle name="Comma 2 2" xfId="16"/>
    <cellStyle name="Comma 2 2 2" xfId="17"/>
    <cellStyle name="Comma 3" xfId="18"/>
    <cellStyle name="Comma_NISH Cash Flow Statement" xfId="2"/>
    <cellStyle name="Currency 2" xfId="19"/>
    <cellStyle name="Currency 3" xfId="20"/>
    <cellStyle name="Currency 3 2" xfId="21"/>
    <cellStyle name="Currency 4" xfId="22"/>
    <cellStyle name="Currency 5" xfId="23"/>
    <cellStyle name="Currency 6" xfId="24"/>
    <cellStyle name="Currency 7" xfId="40"/>
    <cellStyle name="Currency_Investment Report" xfId="3"/>
    <cellStyle name="Currency_NISH Cash Flow Statement" xfId="4"/>
    <cellStyle name="Currency_Sheet1" xfId="5"/>
    <cellStyle name="Normal" xfId="0" builtinId="0"/>
    <cellStyle name="Normal 10" xfId="25"/>
    <cellStyle name="Normal 11" xfId="26"/>
    <cellStyle name="Normal 2" xfId="14"/>
    <cellStyle name="Normal 2 2" xfId="27"/>
    <cellStyle name="Normal 3" xfId="28"/>
    <cellStyle name="Normal 4" xfId="29"/>
    <cellStyle name="Normal 4 2" xfId="30"/>
    <cellStyle name="Normal 5" xfId="31"/>
    <cellStyle name="Normal 5 2" xfId="32"/>
    <cellStyle name="Normal 6" xfId="33"/>
    <cellStyle name="Normal 6 2" xfId="34"/>
    <cellStyle name="Normal 7" xfId="35"/>
    <cellStyle name="Normal 7 2" xfId="36"/>
    <cellStyle name="Normal 8" xfId="37"/>
    <cellStyle name="Normal 9" xfId="38"/>
    <cellStyle name="Normal_BankRec" xfId="6"/>
    <cellStyle name="Normal_Budget Amendments" xfId="13"/>
    <cellStyle name="Normal_Investment Report" xfId="7"/>
    <cellStyle name="Normal_NISH Cash Flow Statement" xfId="8"/>
    <cellStyle name="Normal_Rev - Exp 2007 Report for Board" xfId="9"/>
    <cellStyle name="Normal_Sheet1" xfId="10"/>
    <cellStyle name="Normal_Stat of Rev &amp; Exp" xfId="11"/>
    <cellStyle name="Normal_tax collection sample monthly status report" xfId="12"/>
    <cellStyle name="Percent 2" xfId="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eisd.ws/Users/rmiller.LEISD/Downloads/Construction%20Balances%20Updated%20Template%2001%2030%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-8 STEM ACADEMY "/>
      <sheetName val="BUS BARN"/>
      <sheetName val="LMS RENOVATION 2014"/>
      <sheetName val="ROOFS"/>
    </sheetNames>
    <sheetDataSet>
      <sheetData sheetId="0">
        <row r="12">
          <cell r="A12" t="str">
            <v>Expenditures as of 01/30/15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workbookViewId="0">
      <selection activeCell="H20" sqref="H20"/>
    </sheetView>
  </sheetViews>
  <sheetFormatPr defaultRowHeight="12.75"/>
  <cols>
    <col min="1" max="1" width="4" style="521" customWidth="1"/>
    <col min="2" max="2" width="6.28515625" style="521" customWidth="1"/>
    <col min="3" max="3" width="5.7109375" style="521" customWidth="1"/>
    <col min="4" max="4" width="14" style="521" customWidth="1"/>
    <col min="5" max="5" width="5" style="521" customWidth="1"/>
    <col min="6" max="6" width="11.42578125" style="521" bestFit="1" customWidth="1"/>
    <col min="7" max="7" width="5.85546875" style="521" customWidth="1"/>
    <col min="8" max="8" width="11.42578125" style="521" bestFit="1" customWidth="1"/>
    <col min="9" max="9" width="37.140625" style="521" customWidth="1"/>
    <col min="10" max="256" width="8.85546875" style="521"/>
    <col min="257" max="257" width="4" style="521" customWidth="1"/>
    <col min="258" max="258" width="6.28515625" style="521" customWidth="1"/>
    <col min="259" max="259" width="3.7109375" style="521" customWidth="1"/>
    <col min="260" max="260" width="14" style="521" customWidth="1"/>
    <col min="261" max="261" width="5" style="521" customWidth="1"/>
    <col min="262" max="262" width="11.42578125" style="521" bestFit="1" customWidth="1"/>
    <col min="263" max="263" width="5.85546875" style="521" customWidth="1"/>
    <col min="264" max="264" width="11.42578125" style="521" bestFit="1" customWidth="1"/>
    <col min="265" max="265" width="21.28515625" style="521" customWidth="1"/>
    <col min="266" max="512" width="8.85546875" style="521"/>
    <col min="513" max="513" width="4" style="521" customWidth="1"/>
    <col min="514" max="514" width="6.28515625" style="521" customWidth="1"/>
    <col min="515" max="515" width="3.7109375" style="521" customWidth="1"/>
    <col min="516" max="516" width="14" style="521" customWidth="1"/>
    <col min="517" max="517" width="5" style="521" customWidth="1"/>
    <col min="518" max="518" width="11.42578125" style="521" bestFit="1" customWidth="1"/>
    <col min="519" max="519" width="5.85546875" style="521" customWidth="1"/>
    <col min="520" max="520" width="11.42578125" style="521" bestFit="1" customWidth="1"/>
    <col min="521" max="521" width="21.28515625" style="521" customWidth="1"/>
    <col min="522" max="768" width="8.85546875" style="521"/>
    <col min="769" max="769" width="4" style="521" customWidth="1"/>
    <col min="770" max="770" width="6.28515625" style="521" customWidth="1"/>
    <col min="771" max="771" width="3.7109375" style="521" customWidth="1"/>
    <col min="772" max="772" width="14" style="521" customWidth="1"/>
    <col min="773" max="773" width="5" style="521" customWidth="1"/>
    <col min="774" max="774" width="11.42578125" style="521" bestFit="1" customWidth="1"/>
    <col min="775" max="775" width="5.85546875" style="521" customWidth="1"/>
    <col min="776" max="776" width="11.42578125" style="521" bestFit="1" customWidth="1"/>
    <col min="777" max="777" width="21.28515625" style="521" customWidth="1"/>
    <col min="778" max="1024" width="8.85546875" style="521"/>
    <col min="1025" max="1025" width="4" style="521" customWidth="1"/>
    <col min="1026" max="1026" width="6.28515625" style="521" customWidth="1"/>
    <col min="1027" max="1027" width="3.7109375" style="521" customWidth="1"/>
    <col min="1028" max="1028" width="14" style="521" customWidth="1"/>
    <col min="1029" max="1029" width="5" style="521" customWidth="1"/>
    <col min="1030" max="1030" width="11.42578125" style="521" bestFit="1" customWidth="1"/>
    <col min="1031" max="1031" width="5.85546875" style="521" customWidth="1"/>
    <col min="1032" max="1032" width="11.42578125" style="521" bestFit="1" customWidth="1"/>
    <col min="1033" max="1033" width="21.28515625" style="521" customWidth="1"/>
    <col min="1034" max="1280" width="8.85546875" style="521"/>
    <col min="1281" max="1281" width="4" style="521" customWidth="1"/>
    <col min="1282" max="1282" width="6.28515625" style="521" customWidth="1"/>
    <col min="1283" max="1283" width="3.7109375" style="521" customWidth="1"/>
    <col min="1284" max="1284" width="14" style="521" customWidth="1"/>
    <col min="1285" max="1285" width="5" style="521" customWidth="1"/>
    <col min="1286" max="1286" width="11.42578125" style="521" bestFit="1" customWidth="1"/>
    <col min="1287" max="1287" width="5.85546875" style="521" customWidth="1"/>
    <col min="1288" max="1288" width="11.42578125" style="521" bestFit="1" customWidth="1"/>
    <col min="1289" max="1289" width="21.28515625" style="521" customWidth="1"/>
    <col min="1290" max="1536" width="8.85546875" style="521"/>
    <col min="1537" max="1537" width="4" style="521" customWidth="1"/>
    <col min="1538" max="1538" width="6.28515625" style="521" customWidth="1"/>
    <col min="1539" max="1539" width="3.7109375" style="521" customWidth="1"/>
    <col min="1540" max="1540" width="14" style="521" customWidth="1"/>
    <col min="1541" max="1541" width="5" style="521" customWidth="1"/>
    <col min="1542" max="1542" width="11.42578125" style="521" bestFit="1" customWidth="1"/>
    <col min="1543" max="1543" width="5.85546875" style="521" customWidth="1"/>
    <col min="1544" max="1544" width="11.42578125" style="521" bestFit="1" customWidth="1"/>
    <col min="1545" max="1545" width="21.28515625" style="521" customWidth="1"/>
    <col min="1546" max="1792" width="8.85546875" style="521"/>
    <col min="1793" max="1793" width="4" style="521" customWidth="1"/>
    <col min="1794" max="1794" width="6.28515625" style="521" customWidth="1"/>
    <col min="1795" max="1795" width="3.7109375" style="521" customWidth="1"/>
    <col min="1796" max="1796" width="14" style="521" customWidth="1"/>
    <col min="1797" max="1797" width="5" style="521" customWidth="1"/>
    <col min="1798" max="1798" width="11.42578125" style="521" bestFit="1" customWidth="1"/>
    <col min="1799" max="1799" width="5.85546875" style="521" customWidth="1"/>
    <col min="1800" max="1800" width="11.42578125" style="521" bestFit="1" customWidth="1"/>
    <col min="1801" max="1801" width="21.28515625" style="521" customWidth="1"/>
    <col min="1802" max="2048" width="8.85546875" style="521"/>
    <col min="2049" max="2049" width="4" style="521" customWidth="1"/>
    <col min="2050" max="2050" width="6.28515625" style="521" customWidth="1"/>
    <col min="2051" max="2051" width="3.7109375" style="521" customWidth="1"/>
    <col min="2052" max="2052" width="14" style="521" customWidth="1"/>
    <col min="2053" max="2053" width="5" style="521" customWidth="1"/>
    <col min="2054" max="2054" width="11.42578125" style="521" bestFit="1" customWidth="1"/>
    <col min="2055" max="2055" width="5.85546875" style="521" customWidth="1"/>
    <col min="2056" max="2056" width="11.42578125" style="521" bestFit="1" customWidth="1"/>
    <col min="2057" max="2057" width="21.28515625" style="521" customWidth="1"/>
    <col min="2058" max="2304" width="8.85546875" style="521"/>
    <col min="2305" max="2305" width="4" style="521" customWidth="1"/>
    <col min="2306" max="2306" width="6.28515625" style="521" customWidth="1"/>
    <col min="2307" max="2307" width="3.7109375" style="521" customWidth="1"/>
    <col min="2308" max="2308" width="14" style="521" customWidth="1"/>
    <col min="2309" max="2309" width="5" style="521" customWidth="1"/>
    <col min="2310" max="2310" width="11.42578125" style="521" bestFit="1" customWidth="1"/>
    <col min="2311" max="2311" width="5.85546875" style="521" customWidth="1"/>
    <col min="2312" max="2312" width="11.42578125" style="521" bestFit="1" customWidth="1"/>
    <col min="2313" max="2313" width="21.28515625" style="521" customWidth="1"/>
    <col min="2314" max="2560" width="8.85546875" style="521"/>
    <col min="2561" max="2561" width="4" style="521" customWidth="1"/>
    <col min="2562" max="2562" width="6.28515625" style="521" customWidth="1"/>
    <col min="2563" max="2563" width="3.7109375" style="521" customWidth="1"/>
    <col min="2564" max="2564" width="14" style="521" customWidth="1"/>
    <col min="2565" max="2565" width="5" style="521" customWidth="1"/>
    <col min="2566" max="2566" width="11.42578125" style="521" bestFit="1" customWidth="1"/>
    <col min="2567" max="2567" width="5.85546875" style="521" customWidth="1"/>
    <col min="2568" max="2568" width="11.42578125" style="521" bestFit="1" customWidth="1"/>
    <col min="2569" max="2569" width="21.28515625" style="521" customWidth="1"/>
    <col min="2570" max="2816" width="8.85546875" style="521"/>
    <col min="2817" max="2817" width="4" style="521" customWidth="1"/>
    <col min="2818" max="2818" width="6.28515625" style="521" customWidth="1"/>
    <col min="2819" max="2819" width="3.7109375" style="521" customWidth="1"/>
    <col min="2820" max="2820" width="14" style="521" customWidth="1"/>
    <col min="2821" max="2821" width="5" style="521" customWidth="1"/>
    <col min="2822" max="2822" width="11.42578125" style="521" bestFit="1" customWidth="1"/>
    <col min="2823" max="2823" width="5.85546875" style="521" customWidth="1"/>
    <col min="2824" max="2824" width="11.42578125" style="521" bestFit="1" customWidth="1"/>
    <col min="2825" max="2825" width="21.28515625" style="521" customWidth="1"/>
    <col min="2826" max="3072" width="8.85546875" style="521"/>
    <col min="3073" max="3073" width="4" style="521" customWidth="1"/>
    <col min="3074" max="3074" width="6.28515625" style="521" customWidth="1"/>
    <col min="3075" max="3075" width="3.7109375" style="521" customWidth="1"/>
    <col min="3076" max="3076" width="14" style="521" customWidth="1"/>
    <col min="3077" max="3077" width="5" style="521" customWidth="1"/>
    <col min="3078" max="3078" width="11.42578125" style="521" bestFit="1" customWidth="1"/>
    <col min="3079" max="3079" width="5.85546875" style="521" customWidth="1"/>
    <col min="3080" max="3080" width="11.42578125" style="521" bestFit="1" customWidth="1"/>
    <col min="3081" max="3081" width="21.28515625" style="521" customWidth="1"/>
    <col min="3082" max="3328" width="8.85546875" style="521"/>
    <col min="3329" max="3329" width="4" style="521" customWidth="1"/>
    <col min="3330" max="3330" width="6.28515625" style="521" customWidth="1"/>
    <col min="3331" max="3331" width="3.7109375" style="521" customWidth="1"/>
    <col min="3332" max="3332" width="14" style="521" customWidth="1"/>
    <col min="3333" max="3333" width="5" style="521" customWidth="1"/>
    <col min="3334" max="3334" width="11.42578125" style="521" bestFit="1" customWidth="1"/>
    <col min="3335" max="3335" width="5.85546875" style="521" customWidth="1"/>
    <col min="3336" max="3336" width="11.42578125" style="521" bestFit="1" customWidth="1"/>
    <col min="3337" max="3337" width="21.28515625" style="521" customWidth="1"/>
    <col min="3338" max="3584" width="8.85546875" style="521"/>
    <col min="3585" max="3585" width="4" style="521" customWidth="1"/>
    <col min="3586" max="3586" width="6.28515625" style="521" customWidth="1"/>
    <col min="3587" max="3587" width="3.7109375" style="521" customWidth="1"/>
    <col min="3588" max="3588" width="14" style="521" customWidth="1"/>
    <col min="3589" max="3589" width="5" style="521" customWidth="1"/>
    <col min="3590" max="3590" width="11.42578125" style="521" bestFit="1" customWidth="1"/>
    <col min="3591" max="3591" width="5.85546875" style="521" customWidth="1"/>
    <col min="3592" max="3592" width="11.42578125" style="521" bestFit="1" customWidth="1"/>
    <col min="3593" max="3593" width="21.28515625" style="521" customWidth="1"/>
    <col min="3594" max="3840" width="8.85546875" style="521"/>
    <col min="3841" max="3841" width="4" style="521" customWidth="1"/>
    <col min="3842" max="3842" width="6.28515625" style="521" customWidth="1"/>
    <col min="3843" max="3843" width="3.7109375" style="521" customWidth="1"/>
    <col min="3844" max="3844" width="14" style="521" customWidth="1"/>
    <col min="3845" max="3845" width="5" style="521" customWidth="1"/>
    <col min="3846" max="3846" width="11.42578125" style="521" bestFit="1" customWidth="1"/>
    <col min="3847" max="3847" width="5.85546875" style="521" customWidth="1"/>
    <col min="3848" max="3848" width="11.42578125" style="521" bestFit="1" customWidth="1"/>
    <col min="3849" max="3849" width="21.28515625" style="521" customWidth="1"/>
    <col min="3850" max="4096" width="8.85546875" style="521"/>
    <col min="4097" max="4097" width="4" style="521" customWidth="1"/>
    <col min="4098" max="4098" width="6.28515625" style="521" customWidth="1"/>
    <col min="4099" max="4099" width="3.7109375" style="521" customWidth="1"/>
    <col min="4100" max="4100" width="14" style="521" customWidth="1"/>
    <col min="4101" max="4101" width="5" style="521" customWidth="1"/>
    <col min="4102" max="4102" width="11.42578125" style="521" bestFit="1" customWidth="1"/>
    <col min="4103" max="4103" width="5.85546875" style="521" customWidth="1"/>
    <col min="4104" max="4104" width="11.42578125" style="521" bestFit="1" customWidth="1"/>
    <col min="4105" max="4105" width="21.28515625" style="521" customWidth="1"/>
    <col min="4106" max="4352" width="8.85546875" style="521"/>
    <col min="4353" max="4353" width="4" style="521" customWidth="1"/>
    <col min="4354" max="4354" width="6.28515625" style="521" customWidth="1"/>
    <col min="4355" max="4355" width="3.7109375" style="521" customWidth="1"/>
    <col min="4356" max="4356" width="14" style="521" customWidth="1"/>
    <col min="4357" max="4357" width="5" style="521" customWidth="1"/>
    <col min="4358" max="4358" width="11.42578125" style="521" bestFit="1" customWidth="1"/>
    <col min="4359" max="4359" width="5.85546875" style="521" customWidth="1"/>
    <col min="4360" max="4360" width="11.42578125" style="521" bestFit="1" customWidth="1"/>
    <col min="4361" max="4361" width="21.28515625" style="521" customWidth="1"/>
    <col min="4362" max="4608" width="8.85546875" style="521"/>
    <col min="4609" max="4609" width="4" style="521" customWidth="1"/>
    <col min="4610" max="4610" width="6.28515625" style="521" customWidth="1"/>
    <col min="4611" max="4611" width="3.7109375" style="521" customWidth="1"/>
    <col min="4612" max="4612" width="14" style="521" customWidth="1"/>
    <col min="4613" max="4613" width="5" style="521" customWidth="1"/>
    <col min="4614" max="4614" width="11.42578125" style="521" bestFit="1" customWidth="1"/>
    <col min="4615" max="4615" width="5.85546875" style="521" customWidth="1"/>
    <col min="4616" max="4616" width="11.42578125" style="521" bestFit="1" customWidth="1"/>
    <col min="4617" max="4617" width="21.28515625" style="521" customWidth="1"/>
    <col min="4618" max="4864" width="8.85546875" style="521"/>
    <col min="4865" max="4865" width="4" style="521" customWidth="1"/>
    <col min="4866" max="4866" width="6.28515625" style="521" customWidth="1"/>
    <col min="4867" max="4867" width="3.7109375" style="521" customWidth="1"/>
    <col min="4868" max="4868" width="14" style="521" customWidth="1"/>
    <col min="4869" max="4869" width="5" style="521" customWidth="1"/>
    <col min="4870" max="4870" width="11.42578125" style="521" bestFit="1" customWidth="1"/>
    <col min="4871" max="4871" width="5.85546875" style="521" customWidth="1"/>
    <col min="4872" max="4872" width="11.42578125" style="521" bestFit="1" customWidth="1"/>
    <col min="4873" max="4873" width="21.28515625" style="521" customWidth="1"/>
    <col min="4874" max="5120" width="8.85546875" style="521"/>
    <col min="5121" max="5121" width="4" style="521" customWidth="1"/>
    <col min="5122" max="5122" width="6.28515625" style="521" customWidth="1"/>
    <col min="5123" max="5123" width="3.7109375" style="521" customWidth="1"/>
    <col min="5124" max="5124" width="14" style="521" customWidth="1"/>
    <col min="5125" max="5125" width="5" style="521" customWidth="1"/>
    <col min="5126" max="5126" width="11.42578125" style="521" bestFit="1" customWidth="1"/>
    <col min="5127" max="5127" width="5.85546875" style="521" customWidth="1"/>
    <col min="5128" max="5128" width="11.42578125" style="521" bestFit="1" customWidth="1"/>
    <col min="5129" max="5129" width="21.28515625" style="521" customWidth="1"/>
    <col min="5130" max="5376" width="8.85546875" style="521"/>
    <col min="5377" max="5377" width="4" style="521" customWidth="1"/>
    <col min="5378" max="5378" width="6.28515625" style="521" customWidth="1"/>
    <col min="5379" max="5379" width="3.7109375" style="521" customWidth="1"/>
    <col min="5380" max="5380" width="14" style="521" customWidth="1"/>
    <col min="5381" max="5381" width="5" style="521" customWidth="1"/>
    <col min="5382" max="5382" width="11.42578125" style="521" bestFit="1" customWidth="1"/>
    <col min="5383" max="5383" width="5.85546875" style="521" customWidth="1"/>
    <col min="5384" max="5384" width="11.42578125" style="521" bestFit="1" customWidth="1"/>
    <col min="5385" max="5385" width="21.28515625" style="521" customWidth="1"/>
    <col min="5386" max="5632" width="8.85546875" style="521"/>
    <col min="5633" max="5633" width="4" style="521" customWidth="1"/>
    <col min="5634" max="5634" width="6.28515625" style="521" customWidth="1"/>
    <col min="5635" max="5635" width="3.7109375" style="521" customWidth="1"/>
    <col min="5636" max="5636" width="14" style="521" customWidth="1"/>
    <col min="5637" max="5637" width="5" style="521" customWidth="1"/>
    <col min="5638" max="5638" width="11.42578125" style="521" bestFit="1" customWidth="1"/>
    <col min="5639" max="5639" width="5.85546875" style="521" customWidth="1"/>
    <col min="5640" max="5640" width="11.42578125" style="521" bestFit="1" customWidth="1"/>
    <col min="5641" max="5641" width="21.28515625" style="521" customWidth="1"/>
    <col min="5642" max="5888" width="8.85546875" style="521"/>
    <col min="5889" max="5889" width="4" style="521" customWidth="1"/>
    <col min="5890" max="5890" width="6.28515625" style="521" customWidth="1"/>
    <col min="5891" max="5891" width="3.7109375" style="521" customWidth="1"/>
    <col min="5892" max="5892" width="14" style="521" customWidth="1"/>
    <col min="5893" max="5893" width="5" style="521" customWidth="1"/>
    <col min="5894" max="5894" width="11.42578125" style="521" bestFit="1" customWidth="1"/>
    <col min="5895" max="5895" width="5.85546875" style="521" customWidth="1"/>
    <col min="5896" max="5896" width="11.42578125" style="521" bestFit="1" customWidth="1"/>
    <col min="5897" max="5897" width="21.28515625" style="521" customWidth="1"/>
    <col min="5898" max="6144" width="8.85546875" style="521"/>
    <col min="6145" max="6145" width="4" style="521" customWidth="1"/>
    <col min="6146" max="6146" width="6.28515625" style="521" customWidth="1"/>
    <col min="6147" max="6147" width="3.7109375" style="521" customWidth="1"/>
    <col min="6148" max="6148" width="14" style="521" customWidth="1"/>
    <col min="6149" max="6149" width="5" style="521" customWidth="1"/>
    <col min="6150" max="6150" width="11.42578125" style="521" bestFit="1" customWidth="1"/>
    <col min="6151" max="6151" width="5.85546875" style="521" customWidth="1"/>
    <col min="6152" max="6152" width="11.42578125" style="521" bestFit="1" customWidth="1"/>
    <col min="6153" max="6153" width="21.28515625" style="521" customWidth="1"/>
    <col min="6154" max="6400" width="8.85546875" style="521"/>
    <col min="6401" max="6401" width="4" style="521" customWidth="1"/>
    <col min="6402" max="6402" width="6.28515625" style="521" customWidth="1"/>
    <col min="6403" max="6403" width="3.7109375" style="521" customWidth="1"/>
    <col min="6404" max="6404" width="14" style="521" customWidth="1"/>
    <col min="6405" max="6405" width="5" style="521" customWidth="1"/>
    <col min="6406" max="6406" width="11.42578125" style="521" bestFit="1" customWidth="1"/>
    <col min="6407" max="6407" width="5.85546875" style="521" customWidth="1"/>
    <col min="6408" max="6408" width="11.42578125" style="521" bestFit="1" customWidth="1"/>
    <col min="6409" max="6409" width="21.28515625" style="521" customWidth="1"/>
    <col min="6410" max="6656" width="8.85546875" style="521"/>
    <col min="6657" max="6657" width="4" style="521" customWidth="1"/>
    <col min="6658" max="6658" width="6.28515625" style="521" customWidth="1"/>
    <col min="6659" max="6659" width="3.7109375" style="521" customWidth="1"/>
    <col min="6660" max="6660" width="14" style="521" customWidth="1"/>
    <col min="6661" max="6661" width="5" style="521" customWidth="1"/>
    <col min="6662" max="6662" width="11.42578125" style="521" bestFit="1" customWidth="1"/>
    <col min="6663" max="6663" width="5.85546875" style="521" customWidth="1"/>
    <col min="6664" max="6664" width="11.42578125" style="521" bestFit="1" customWidth="1"/>
    <col min="6665" max="6665" width="21.28515625" style="521" customWidth="1"/>
    <col min="6666" max="6912" width="8.85546875" style="521"/>
    <col min="6913" max="6913" width="4" style="521" customWidth="1"/>
    <col min="6914" max="6914" width="6.28515625" style="521" customWidth="1"/>
    <col min="6915" max="6915" width="3.7109375" style="521" customWidth="1"/>
    <col min="6916" max="6916" width="14" style="521" customWidth="1"/>
    <col min="6917" max="6917" width="5" style="521" customWidth="1"/>
    <col min="6918" max="6918" width="11.42578125" style="521" bestFit="1" customWidth="1"/>
    <col min="6919" max="6919" width="5.85546875" style="521" customWidth="1"/>
    <col min="6920" max="6920" width="11.42578125" style="521" bestFit="1" customWidth="1"/>
    <col min="6921" max="6921" width="21.28515625" style="521" customWidth="1"/>
    <col min="6922" max="7168" width="8.85546875" style="521"/>
    <col min="7169" max="7169" width="4" style="521" customWidth="1"/>
    <col min="7170" max="7170" width="6.28515625" style="521" customWidth="1"/>
    <col min="7171" max="7171" width="3.7109375" style="521" customWidth="1"/>
    <col min="7172" max="7172" width="14" style="521" customWidth="1"/>
    <col min="7173" max="7173" width="5" style="521" customWidth="1"/>
    <col min="7174" max="7174" width="11.42578125" style="521" bestFit="1" customWidth="1"/>
    <col min="7175" max="7175" width="5.85546875" style="521" customWidth="1"/>
    <col min="7176" max="7176" width="11.42578125" style="521" bestFit="1" customWidth="1"/>
    <col min="7177" max="7177" width="21.28515625" style="521" customWidth="1"/>
    <col min="7178" max="7424" width="8.85546875" style="521"/>
    <col min="7425" max="7425" width="4" style="521" customWidth="1"/>
    <col min="7426" max="7426" width="6.28515625" style="521" customWidth="1"/>
    <col min="7427" max="7427" width="3.7109375" style="521" customWidth="1"/>
    <col min="7428" max="7428" width="14" style="521" customWidth="1"/>
    <col min="7429" max="7429" width="5" style="521" customWidth="1"/>
    <col min="7430" max="7430" width="11.42578125" style="521" bestFit="1" customWidth="1"/>
    <col min="7431" max="7431" width="5.85546875" style="521" customWidth="1"/>
    <col min="7432" max="7432" width="11.42578125" style="521" bestFit="1" customWidth="1"/>
    <col min="7433" max="7433" width="21.28515625" style="521" customWidth="1"/>
    <col min="7434" max="7680" width="8.85546875" style="521"/>
    <col min="7681" max="7681" width="4" style="521" customWidth="1"/>
    <col min="7682" max="7682" width="6.28515625" style="521" customWidth="1"/>
    <col min="7683" max="7683" width="3.7109375" style="521" customWidth="1"/>
    <col min="7684" max="7684" width="14" style="521" customWidth="1"/>
    <col min="7685" max="7685" width="5" style="521" customWidth="1"/>
    <col min="7686" max="7686" width="11.42578125" style="521" bestFit="1" customWidth="1"/>
    <col min="7687" max="7687" width="5.85546875" style="521" customWidth="1"/>
    <col min="7688" max="7688" width="11.42578125" style="521" bestFit="1" customWidth="1"/>
    <col min="7689" max="7689" width="21.28515625" style="521" customWidth="1"/>
    <col min="7690" max="7936" width="8.85546875" style="521"/>
    <col min="7937" max="7937" width="4" style="521" customWidth="1"/>
    <col min="7938" max="7938" width="6.28515625" style="521" customWidth="1"/>
    <col min="7939" max="7939" width="3.7109375" style="521" customWidth="1"/>
    <col min="7940" max="7940" width="14" style="521" customWidth="1"/>
    <col min="7941" max="7941" width="5" style="521" customWidth="1"/>
    <col min="7942" max="7942" width="11.42578125" style="521" bestFit="1" customWidth="1"/>
    <col min="7943" max="7943" width="5.85546875" style="521" customWidth="1"/>
    <col min="7944" max="7944" width="11.42578125" style="521" bestFit="1" customWidth="1"/>
    <col min="7945" max="7945" width="21.28515625" style="521" customWidth="1"/>
    <col min="7946" max="8192" width="8.85546875" style="521"/>
    <col min="8193" max="8193" width="4" style="521" customWidth="1"/>
    <col min="8194" max="8194" width="6.28515625" style="521" customWidth="1"/>
    <col min="8195" max="8195" width="3.7109375" style="521" customWidth="1"/>
    <col min="8196" max="8196" width="14" style="521" customWidth="1"/>
    <col min="8197" max="8197" width="5" style="521" customWidth="1"/>
    <col min="8198" max="8198" width="11.42578125" style="521" bestFit="1" customWidth="1"/>
    <col min="8199" max="8199" width="5.85546875" style="521" customWidth="1"/>
    <col min="8200" max="8200" width="11.42578125" style="521" bestFit="1" customWidth="1"/>
    <col min="8201" max="8201" width="21.28515625" style="521" customWidth="1"/>
    <col min="8202" max="8448" width="8.85546875" style="521"/>
    <col min="8449" max="8449" width="4" style="521" customWidth="1"/>
    <col min="8450" max="8450" width="6.28515625" style="521" customWidth="1"/>
    <col min="8451" max="8451" width="3.7109375" style="521" customWidth="1"/>
    <col min="8452" max="8452" width="14" style="521" customWidth="1"/>
    <col min="8453" max="8453" width="5" style="521" customWidth="1"/>
    <col min="8454" max="8454" width="11.42578125" style="521" bestFit="1" customWidth="1"/>
    <col min="8455" max="8455" width="5.85546875" style="521" customWidth="1"/>
    <col min="8456" max="8456" width="11.42578125" style="521" bestFit="1" customWidth="1"/>
    <col min="8457" max="8457" width="21.28515625" style="521" customWidth="1"/>
    <col min="8458" max="8704" width="8.85546875" style="521"/>
    <col min="8705" max="8705" width="4" style="521" customWidth="1"/>
    <col min="8706" max="8706" width="6.28515625" style="521" customWidth="1"/>
    <col min="8707" max="8707" width="3.7109375" style="521" customWidth="1"/>
    <col min="8708" max="8708" width="14" style="521" customWidth="1"/>
    <col min="8709" max="8709" width="5" style="521" customWidth="1"/>
    <col min="8710" max="8710" width="11.42578125" style="521" bestFit="1" customWidth="1"/>
    <col min="8711" max="8711" width="5.85546875" style="521" customWidth="1"/>
    <col min="8712" max="8712" width="11.42578125" style="521" bestFit="1" customWidth="1"/>
    <col min="8713" max="8713" width="21.28515625" style="521" customWidth="1"/>
    <col min="8714" max="8960" width="8.85546875" style="521"/>
    <col min="8961" max="8961" width="4" style="521" customWidth="1"/>
    <col min="8962" max="8962" width="6.28515625" style="521" customWidth="1"/>
    <col min="8963" max="8963" width="3.7109375" style="521" customWidth="1"/>
    <col min="8964" max="8964" width="14" style="521" customWidth="1"/>
    <col min="8965" max="8965" width="5" style="521" customWidth="1"/>
    <col min="8966" max="8966" width="11.42578125" style="521" bestFit="1" customWidth="1"/>
    <col min="8967" max="8967" width="5.85546875" style="521" customWidth="1"/>
    <col min="8968" max="8968" width="11.42578125" style="521" bestFit="1" customWidth="1"/>
    <col min="8969" max="8969" width="21.28515625" style="521" customWidth="1"/>
    <col min="8970" max="9216" width="8.85546875" style="521"/>
    <col min="9217" max="9217" width="4" style="521" customWidth="1"/>
    <col min="9218" max="9218" width="6.28515625" style="521" customWidth="1"/>
    <col min="9219" max="9219" width="3.7109375" style="521" customWidth="1"/>
    <col min="9220" max="9220" width="14" style="521" customWidth="1"/>
    <col min="9221" max="9221" width="5" style="521" customWidth="1"/>
    <col min="9222" max="9222" width="11.42578125" style="521" bestFit="1" customWidth="1"/>
    <col min="9223" max="9223" width="5.85546875" style="521" customWidth="1"/>
    <col min="9224" max="9224" width="11.42578125" style="521" bestFit="1" customWidth="1"/>
    <col min="9225" max="9225" width="21.28515625" style="521" customWidth="1"/>
    <col min="9226" max="9472" width="8.85546875" style="521"/>
    <col min="9473" max="9473" width="4" style="521" customWidth="1"/>
    <col min="9474" max="9474" width="6.28515625" style="521" customWidth="1"/>
    <col min="9475" max="9475" width="3.7109375" style="521" customWidth="1"/>
    <col min="9476" max="9476" width="14" style="521" customWidth="1"/>
    <col min="9477" max="9477" width="5" style="521" customWidth="1"/>
    <col min="9478" max="9478" width="11.42578125" style="521" bestFit="1" customWidth="1"/>
    <col min="9479" max="9479" width="5.85546875" style="521" customWidth="1"/>
    <col min="9480" max="9480" width="11.42578125" style="521" bestFit="1" customWidth="1"/>
    <col min="9481" max="9481" width="21.28515625" style="521" customWidth="1"/>
    <col min="9482" max="9728" width="8.85546875" style="521"/>
    <col min="9729" max="9729" width="4" style="521" customWidth="1"/>
    <col min="9730" max="9730" width="6.28515625" style="521" customWidth="1"/>
    <col min="9731" max="9731" width="3.7109375" style="521" customWidth="1"/>
    <col min="9732" max="9732" width="14" style="521" customWidth="1"/>
    <col min="9733" max="9733" width="5" style="521" customWidth="1"/>
    <col min="9734" max="9734" width="11.42578125" style="521" bestFit="1" customWidth="1"/>
    <col min="9735" max="9735" width="5.85546875" style="521" customWidth="1"/>
    <col min="9736" max="9736" width="11.42578125" style="521" bestFit="1" customWidth="1"/>
    <col min="9737" max="9737" width="21.28515625" style="521" customWidth="1"/>
    <col min="9738" max="9984" width="8.85546875" style="521"/>
    <col min="9985" max="9985" width="4" style="521" customWidth="1"/>
    <col min="9986" max="9986" width="6.28515625" style="521" customWidth="1"/>
    <col min="9987" max="9987" width="3.7109375" style="521" customWidth="1"/>
    <col min="9988" max="9988" width="14" style="521" customWidth="1"/>
    <col min="9989" max="9989" width="5" style="521" customWidth="1"/>
    <col min="9990" max="9990" width="11.42578125" style="521" bestFit="1" customWidth="1"/>
    <col min="9991" max="9991" width="5.85546875" style="521" customWidth="1"/>
    <col min="9992" max="9992" width="11.42578125" style="521" bestFit="1" customWidth="1"/>
    <col min="9993" max="9993" width="21.28515625" style="521" customWidth="1"/>
    <col min="9994" max="10240" width="8.85546875" style="521"/>
    <col min="10241" max="10241" width="4" style="521" customWidth="1"/>
    <col min="10242" max="10242" width="6.28515625" style="521" customWidth="1"/>
    <col min="10243" max="10243" width="3.7109375" style="521" customWidth="1"/>
    <col min="10244" max="10244" width="14" style="521" customWidth="1"/>
    <col min="10245" max="10245" width="5" style="521" customWidth="1"/>
    <col min="10246" max="10246" width="11.42578125" style="521" bestFit="1" customWidth="1"/>
    <col min="10247" max="10247" width="5.85546875" style="521" customWidth="1"/>
    <col min="10248" max="10248" width="11.42578125" style="521" bestFit="1" customWidth="1"/>
    <col min="10249" max="10249" width="21.28515625" style="521" customWidth="1"/>
    <col min="10250" max="10496" width="8.85546875" style="521"/>
    <col min="10497" max="10497" width="4" style="521" customWidth="1"/>
    <col min="10498" max="10498" width="6.28515625" style="521" customWidth="1"/>
    <col min="10499" max="10499" width="3.7109375" style="521" customWidth="1"/>
    <col min="10500" max="10500" width="14" style="521" customWidth="1"/>
    <col min="10501" max="10501" width="5" style="521" customWidth="1"/>
    <col min="10502" max="10502" width="11.42578125" style="521" bestFit="1" customWidth="1"/>
    <col min="10503" max="10503" width="5.85546875" style="521" customWidth="1"/>
    <col min="10504" max="10504" width="11.42578125" style="521" bestFit="1" customWidth="1"/>
    <col min="10505" max="10505" width="21.28515625" style="521" customWidth="1"/>
    <col min="10506" max="10752" width="8.85546875" style="521"/>
    <col min="10753" max="10753" width="4" style="521" customWidth="1"/>
    <col min="10754" max="10754" width="6.28515625" style="521" customWidth="1"/>
    <col min="10755" max="10755" width="3.7109375" style="521" customWidth="1"/>
    <col min="10756" max="10756" width="14" style="521" customWidth="1"/>
    <col min="10757" max="10757" width="5" style="521" customWidth="1"/>
    <col min="10758" max="10758" width="11.42578125" style="521" bestFit="1" customWidth="1"/>
    <col min="10759" max="10759" width="5.85546875" style="521" customWidth="1"/>
    <col min="10760" max="10760" width="11.42578125" style="521" bestFit="1" customWidth="1"/>
    <col min="10761" max="10761" width="21.28515625" style="521" customWidth="1"/>
    <col min="10762" max="11008" width="8.85546875" style="521"/>
    <col min="11009" max="11009" width="4" style="521" customWidth="1"/>
    <col min="11010" max="11010" width="6.28515625" style="521" customWidth="1"/>
    <col min="11011" max="11011" width="3.7109375" style="521" customWidth="1"/>
    <col min="11012" max="11012" width="14" style="521" customWidth="1"/>
    <col min="11013" max="11013" width="5" style="521" customWidth="1"/>
    <col min="11014" max="11014" width="11.42578125" style="521" bestFit="1" customWidth="1"/>
    <col min="11015" max="11015" width="5.85546875" style="521" customWidth="1"/>
    <col min="11016" max="11016" width="11.42578125" style="521" bestFit="1" customWidth="1"/>
    <col min="11017" max="11017" width="21.28515625" style="521" customWidth="1"/>
    <col min="11018" max="11264" width="8.85546875" style="521"/>
    <col min="11265" max="11265" width="4" style="521" customWidth="1"/>
    <col min="11266" max="11266" width="6.28515625" style="521" customWidth="1"/>
    <col min="11267" max="11267" width="3.7109375" style="521" customWidth="1"/>
    <col min="11268" max="11268" width="14" style="521" customWidth="1"/>
    <col min="11269" max="11269" width="5" style="521" customWidth="1"/>
    <col min="11270" max="11270" width="11.42578125" style="521" bestFit="1" customWidth="1"/>
    <col min="11271" max="11271" width="5.85546875" style="521" customWidth="1"/>
    <col min="11272" max="11272" width="11.42578125" style="521" bestFit="1" customWidth="1"/>
    <col min="11273" max="11273" width="21.28515625" style="521" customWidth="1"/>
    <col min="11274" max="11520" width="8.85546875" style="521"/>
    <col min="11521" max="11521" width="4" style="521" customWidth="1"/>
    <col min="11522" max="11522" width="6.28515625" style="521" customWidth="1"/>
    <col min="11523" max="11523" width="3.7109375" style="521" customWidth="1"/>
    <col min="11524" max="11524" width="14" style="521" customWidth="1"/>
    <col min="11525" max="11525" width="5" style="521" customWidth="1"/>
    <col min="11526" max="11526" width="11.42578125" style="521" bestFit="1" customWidth="1"/>
    <col min="11527" max="11527" width="5.85546875" style="521" customWidth="1"/>
    <col min="11528" max="11528" width="11.42578125" style="521" bestFit="1" customWidth="1"/>
    <col min="11529" max="11529" width="21.28515625" style="521" customWidth="1"/>
    <col min="11530" max="11776" width="8.85546875" style="521"/>
    <col min="11777" max="11777" width="4" style="521" customWidth="1"/>
    <col min="11778" max="11778" width="6.28515625" style="521" customWidth="1"/>
    <col min="11779" max="11779" width="3.7109375" style="521" customWidth="1"/>
    <col min="11780" max="11780" width="14" style="521" customWidth="1"/>
    <col min="11781" max="11781" width="5" style="521" customWidth="1"/>
    <col min="11782" max="11782" width="11.42578125" style="521" bestFit="1" customWidth="1"/>
    <col min="11783" max="11783" width="5.85546875" style="521" customWidth="1"/>
    <col min="11784" max="11784" width="11.42578125" style="521" bestFit="1" customWidth="1"/>
    <col min="11785" max="11785" width="21.28515625" style="521" customWidth="1"/>
    <col min="11786" max="12032" width="8.85546875" style="521"/>
    <col min="12033" max="12033" width="4" style="521" customWidth="1"/>
    <col min="12034" max="12034" width="6.28515625" style="521" customWidth="1"/>
    <col min="12035" max="12035" width="3.7109375" style="521" customWidth="1"/>
    <col min="12036" max="12036" width="14" style="521" customWidth="1"/>
    <col min="12037" max="12037" width="5" style="521" customWidth="1"/>
    <col min="12038" max="12038" width="11.42578125" style="521" bestFit="1" customWidth="1"/>
    <col min="12039" max="12039" width="5.85546875" style="521" customWidth="1"/>
    <col min="12040" max="12040" width="11.42578125" style="521" bestFit="1" customWidth="1"/>
    <col min="12041" max="12041" width="21.28515625" style="521" customWidth="1"/>
    <col min="12042" max="12288" width="8.85546875" style="521"/>
    <col min="12289" max="12289" width="4" style="521" customWidth="1"/>
    <col min="12290" max="12290" width="6.28515625" style="521" customWidth="1"/>
    <col min="12291" max="12291" width="3.7109375" style="521" customWidth="1"/>
    <col min="12292" max="12292" width="14" style="521" customWidth="1"/>
    <col min="12293" max="12293" width="5" style="521" customWidth="1"/>
    <col min="12294" max="12294" width="11.42578125" style="521" bestFit="1" customWidth="1"/>
    <col min="12295" max="12295" width="5.85546875" style="521" customWidth="1"/>
    <col min="12296" max="12296" width="11.42578125" style="521" bestFit="1" customWidth="1"/>
    <col min="12297" max="12297" width="21.28515625" style="521" customWidth="1"/>
    <col min="12298" max="12544" width="8.85546875" style="521"/>
    <col min="12545" max="12545" width="4" style="521" customWidth="1"/>
    <col min="12546" max="12546" width="6.28515625" style="521" customWidth="1"/>
    <col min="12547" max="12547" width="3.7109375" style="521" customWidth="1"/>
    <col min="12548" max="12548" width="14" style="521" customWidth="1"/>
    <col min="12549" max="12549" width="5" style="521" customWidth="1"/>
    <col min="12550" max="12550" width="11.42578125" style="521" bestFit="1" customWidth="1"/>
    <col min="12551" max="12551" width="5.85546875" style="521" customWidth="1"/>
    <col min="12552" max="12552" width="11.42578125" style="521" bestFit="1" customWidth="1"/>
    <col min="12553" max="12553" width="21.28515625" style="521" customWidth="1"/>
    <col min="12554" max="12800" width="8.85546875" style="521"/>
    <col min="12801" max="12801" width="4" style="521" customWidth="1"/>
    <col min="12802" max="12802" width="6.28515625" style="521" customWidth="1"/>
    <col min="12803" max="12803" width="3.7109375" style="521" customWidth="1"/>
    <col min="12804" max="12804" width="14" style="521" customWidth="1"/>
    <col min="12805" max="12805" width="5" style="521" customWidth="1"/>
    <col min="12806" max="12806" width="11.42578125" style="521" bestFit="1" customWidth="1"/>
    <col min="12807" max="12807" width="5.85546875" style="521" customWidth="1"/>
    <col min="12808" max="12808" width="11.42578125" style="521" bestFit="1" customWidth="1"/>
    <col min="12809" max="12809" width="21.28515625" style="521" customWidth="1"/>
    <col min="12810" max="13056" width="8.85546875" style="521"/>
    <col min="13057" max="13057" width="4" style="521" customWidth="1"/>
    <col min="13058" max="13058" width="6.28515625" style="521" customWidth="1"/>
    <col min="13059" max="13059" width="3.7109375" style="521" customWidth="1"/>
    <col min="13060" max="13060" width="14" style="521" customWidth="1"/>
    <col min="13061" max="13061" width="5" style="521" customWidth="1"/>
    <col min="13062" max="13062" width="11.42578125" style="521" bestFit="1" customWidth="1"/>
    <col min="13063" max="13063" width="5.85546875" style="521" customWidth="1"/>
    <col min="13064" max="13064" width="11.42578125" style="521" bestFit="1" customWidth="1"/>
    <col min="13065" max="13065" width="21.28515625" style="521" customWidth="1"/>
    <col min="13066" max="13312" width="8.85546875" style="521"/>
    <col min="13313" max="13313" width="4" style="521" customWidth="1"/>
    <col min="13314" max="13314" width="6.28515625" style="521" customWidth="1"/>
    <col min="13315" max="13315" width="3.7109375" style="521" customWidth="1"/>
    <col min="13316" max="13316" width="14" style="521" customWidth="1"/>
    <col min="13317" max="13317" width="5" style="521" customWidth="1"/>
    <col min="13318" max="13318" width="11.42578125" style="521" bestFit="1" customWidth="1"/>
    <col min="13319" max="13319" width="5.85546875" style="521" customWidth="1"/>
    <col min="13320" max="13320" width="11.42578125" style="521" bestFit="1" customWidth="1"/>
    <col min="13321" max="13321" width="21.28515625" style="521" customWidth="1"/>
    <col min="13322" max="13568" width="8.85546875" style="521"/>
    <col min="13569" max="13569" width="4" style="521" customWidth="1"/>
    <col min="13570" max="13570" width="6.28515625" style="521" customWidth="1"/>
    <col min="13571" max="13571" width="3.7109375" style="521" customWidth="1"/>
    <col min="13572" max="13572" width="14" style="521" customWidth="1"/>
    <col min="13573" max="13573" width="5" style="521" customWidth="1"/>
    <col min="13574" max="13574" width="11.42578125" style="521" bestFit="1" customWidth="1"/>
    <col min="13575" max="13575" width="5.85546875" style="521" customWidth="1"/>
    <col min="13576" max="13576" width="11.42578125" style="521" bestFit="1" customWidth="1"/>
    <col min="13577" max="13577" width="21.28515625" style="521" customWidth="1"/>
    <col min="13578" max="13824" width="8.85546875" style="521"/>
    <col min="13825" max="13825" width="4" style="521" customWidth="1"/>
    <col min="13826" max="13826" width="6.28515625" style="521" customWidth="1"/>
    <col min="13827" max="13827" width="3.7109375" style="521" customWidth="1"/>
    <col min="13828" max="13828" width="14" style="521" customWidth="1"/>
    <col min="13829" max="13829" width="5" style="521" customWidth="1"/>
    <col min="13830" max="13830" width="11.42578125" style="521" bestFit="1" customWidth="1"/>
    <col min="13831" max="13831" width="5.85546875" style="521" customWidth="1"/>
    <col min="13832" max="13832" width="11.42578125" style="521" bestFit="1" customWidth="1"/>
    <col min="13833" max="13833" width="21.28515625" style="521" customWidth="1"/>
    <col min="13834" max="14080" width="8.85546875" style="521"/>
    <col min="14081" max="14081" width="4" style="521" customWidth="1"/>
    <col min="14082" max="14082" width="6.28515625" style="521" customWidth="1"/>
    <col min="14083" max="14083" width="3.7109375" style="521" customWidth="1"/>
    <col min="14084" max="14084" width="14" style="521" customWidth="1"/>
    <col min="14085" max="14085" width="5" style="521" customWidth="1"/>
    <col min="14086" max="14086" width="11.42578125" style="521" bestFit="1" customWidth="1"/>
    <col min="14087" max="14087" width="5.85546875" style="521" customWidth="1"/>
    <col min="14088" max="14088" width="11.42578125" style="521" bestFit="1" customWidth="1"/>
    <col min="14089" max="14089" width="21.28515625" style="521" customWidth="1"/>
    <col min="14090" max="14336" width="8.85546875" style="521"/>
    <col min="14337" max="14337" width="4" style="521" customWidth="1"/>
    <col min="14338" max="14338" width="6.28515625" style="521" customWidth="1"/>
    <col min="14339" max="14339" width="3.7109375" style="521" customWidth="1"/>
    <col min="14340" max="14340" width="14" style="521" customWidth="1"/>
    <col min="14341" max="14341" width="5" style="521" customWidth="1"/>
    <col min="14342" max="14342" width="11.42578125" style="521" bestFit="1" customWidth="1"/>
    <col min="14343" max="14343" width="5.85546875" style="521" customWidth="1"/>
    <col min="14344" max="14344" width="11.42578125" style="521" bestFit="1" customWidth="1"/>
    <col min="14345" max="14345" width="21.28515625" style="521" customWidth="1"/>
    <col min="14346" max="14592" width="8.85546875" style="521"/>
    <col min="14593" max="14593" width="4" style="521" customWidth="1"/>
    <col min="14594" max="14594" width="6.28515625" style="521" customWidth="1"/>
    <col min="14595" max="14595" width="3.7109375" style="521" customWidth="1"/>
    <col min="14596" max="14596" width="14" style="521" customWidth="1"/>
    <col min="14597" max="14597" width="5" style="521" customWidth="1"/>
    <col min="14598" max="14598" width="11.42578125" style="521" bestFit="1" customWidth="1"/>
    <col min="14599" max="14599" width="5.85546875" style="521" customWidth="1"/>
    <col min="14600" max="14600" width="11.42578125" style="521" bestFit="1" customWidth="1"/>
    <col min="14601" max="14601" width="21.28515625" style="521" customWidth="1"/>
    <col min="14602" max="14848" width="8.85546875" style="521"/>
    <col min="14849" max="14849" width="4" style="521" customWidth="1"/>
    <col min="14850" max="14850" width="6.28515625" style="521" customWidth="1"/>
    <col min="14851" max="14851" width="3.7109375" style="521" customWidth="1"/>
    <col min="14852" max="14852" width="14" style="521" customWidth="1"/>
    <col min="14853" max="14853" width="5" style="521" customWidth="1"/>
    <col min="14854" max="14854" width="11.42578125" style="521" bestFit="1" customWidth="1"/>
    <col min="14855" max="14855" width="5.85546875" style="521" customWidth="1"/>
    <col min="14856" max="14856" width="11.42578125" style="521" bestFit="1" customWidth="1"/>
    <col min="14857" max="14857" width="21.28515625" style="521" customWidth="1"/>
    <col min="14858" max="15104" width="8.85546875" style="521"/>
    <col min="15105" max="15105" width="4" style="521" customWidth="1"/>
    <col min="15106" max="15106" width="6.28515625" style="521" customWidth="1"/>
    <col min="15107" max="15107" width="3.7109375" style="521" customWidth="1"/>
    <col min="15108" max="15108" width="14" style="521" customWidth="1"/>
    <col min="15109" max="15109" width="5" style="521" customWidth="1"/>
    <col min="15110" max="15110" width="11.42578125" style="521" bestFit="1" customWidth="1"/>
    <col min="15111" max="15111" width="5.85546875" style="521" customWidth="1"/>
    <col min="15112" max="15112" width="11.42578125" style="521" bestFit="1" customWidth="1"/>
    <col min="15113" max="15113" width="21.28515625" style="521" customWidth="1"/>
    <col min="15114" max="15360" width="8.85546875" style="521"/>
    <col min="15361" max="15361" width="4" style="521" customWidth="1"/>
    <col min="15362" max="15362" width="6.28515625" style="521" customWidth="1"/>
    <col min="15363" max="15363" width="3.7109375" style="521" customWidth="1"/>
    <col min="15364" max="15364" width="14" style="521" customWidth="1"/>
    <col min="15365" max="15365" width="5" style="521" customWidth="1"/>
    <col min="15366" max="15366" width="11.42578125" style="521" bestFit="1" customWidth="1"/>
    <col min="15367" max="15367" width="5.85546875" style="521" customWidth="1"/>
    <col min="15368" max="15368" width="11.42578125" style="521" bestFit="1" customWidth="1"/>
    <col min="15369" max="15369" width="21.28515625" style="521" customWidth="1"/>
    <col min="15370" max="15616" width="8.85546875" style="521"/>
    <col min="15617" max="15617" width="4" style="521" customWidth="1"/>
    <col min="15618" max="15618" width="6.28515625" style="521" customWidth="1"/>
    <col min="15619" max="15619" width="3.7109375" style="521" customWidth="1"/>
    <col min="15620" max="15620" width="14" style="521" customWidth="1"/>
    <col min="15621" max="15621" width="5" style="521" customWidth="1"/>
    <col min="15622" max="15622" width="11.42578125" style="521" bestFit="1" customWidth="1"/>
    <col min="15623" max="15623" width="5.85546875" style="521" customWidth="1"/>
    <col min="15624" max="15624" width="11.42578125" style="521" bestFit="1" customWidth="1"/>
    <col min="15625" max="15625" width="21.28515625" style="521" customWidth="1"/>
    <col min="15626" max="15872" width="8.85546875" style="521"/>
    <col min="15873" max="15873" width="4" style="521" customWidth="1"/>
    <col min="15874" max="15874" width="6.28515625" style="521" customWidth="1"/>
    <col min="15875" max="15875" width="3.7109375" style="521" customWidth="1"/>
    <col min="15876" max="15876" width="14" style="521" customWidth="1"/>
    <col min="15877" max="15877" width="5" style="521" customWidth="1"/>
    <col min="15878" max="15878" width="11.42578125" style="521" bestFit="1" customWidth="1"/>
    <col min="15879" max="15879" width="5.85546875" style="521" customWidth="1"/>
    <col min="15880" max="15880" width="11.42578125" style="521" bestFit="1" customWidth="1"/>
    <col min="15881" max="15881" width="21.28515625" style="521" customWidth="1"/>
    <col min="15882" max="16128" width="8.85546875" style="521"/>
    <col min="16129" max="16129" width="4" style="521" customWidth="1"/>
    <col min="16130" max="16130" width="6.28515625" style="521" customWidth="1"/>
    <col min="16131" max="16131" width="3.7109375" style="521" customWidth="1"/>
    <col min="16132" max="16132" width="14" style="521" customWidth="1"/>
    <col min="16133" max="16133" width="5" style="521" customWidth="1"/>
    <col min="16134" max="16134" width="11.42578125" style="521" bestFit="1" customWidth="1"/>
    <col min="16135" max="16135" width="5.85546875" style="521" customWidth="1"/>
    <col min="16136" max="16136" width="11.42578125" style="521" bestFit="1" customWidth="1"/>
    <col min="16137" max="16137" width="21.28515625" style="521" customWidth="1"/>
    <col min="16138" max="16384" width="8.85546875" style="521"/>
  </cols>
  <sheetData>
    <row r="1" spans="1:9" ht="25.5">
      <c r="A1" s="518"/>
      <c r="B1" s="518" t="s">
        <v>344</v>
      </c>
      <c r="C1" s="518" t="s">
        <v>345</v>
      </c>
      <c r="D1" s="519" t="s">
        <v>346</v>
      </c>
      <c r="E1" s="519" t="s">
        <v>345</v>
      </c>
      <c r="F1" s="519" t="s">
        <v>347</v>
      </c>
      <c r="G1" s="519" t="s">
        <v>348</v>
      </c>
      <c r="H1" s="520" t="s">
        <v>349</v>
      </c>
      <c r="I1" s="518" t="s">
        <v>350</v>
      </c>
    </row>
    <row r="2" spans="1:9" ht="9" hidden="1" customHeight="1">
      <c r="A2" s="522"/>
      <c r="B2" s="518"/>
      <c r="C2" s="522"/>
      <c r="D2" s="523"/>
      <c r="E2" s="524"/>
      <c r="F2" s="523"/>
      <c r="G2" s="523"/>
      <c r="H2" s="523"/>
      <c r="I2" s="525"/>
    </row>
    <row r="3" spans="1:9" ht="27" hidden="1" customHeight="1">
      <c r="A3" s="522"/>
      <c r="B3" s="519"/>
      <c r="C3" s="518"/>
      <c r="D3" s="526"/>
      <c r="E3" s="519"/>
      <c r="F3" s="527"/>
      <c r="G3" s="527"/>
      <c r="H3" s="526"/>
      <c r="I3" s="528"/>
    </row>
    <row r="4" spans="1:9" ht="25.5">
      <c r="A4" s="522">
        <v>1</v>
      </c>
      <c r="B4" s="518">
        <v>199</v>
      </c>
      <c r="C4" s="518">
        <v>11</v>
      </c>
      <c r="D4" s="529">
        <v>600</v>
      </c>
      <c r="E4" s="519">
        <v>23</v>
      </c>
      <c r="F4" s="529">
        <v>600</v>
      </c>
      <c r="G4" s="529">
        <v>108</v>
      </c>
      <c r="H4" s="529"/>
      <c r="I4" s="530" t="s">
        <v>354</v>
      </c>
    </row>
    <row r="5" spans="1:9" ht="25.5">
      <c r="A5" s="522">
        <v>2</v>
      </c>
      <c r="B5" s="518">
        <v>199</v>
      </c>
      <c r="C5" s="518">
        <v>11</v>
      </c>
      <c r="D5" s="529">
        <v>180</v>
      </c>
      <c r="E5" s="519">
        <v>13</v>
      </c>
      <c r="F5" s="529">
        <v>180</v>
      </c>
      <c r="G5" s="529">
        <v>108</v>
      </c>
      <c r="H5" s="529"/>
      <c r="I5" s="530" t="s">
        <v>437</v>
      </c>
    </row>
    <row r="6" spans="1:9" ht="25.5">
      <c r="A6" s="522">
        <v>3</v>
      </c>
      <c r="B6" s="518">
        <v>199</v>
      </c>
      <c r="C6" s="518">
        <v>11</v>
      </c>
      <c r="D6" s="529">
        <v>890</v>
      </c>
      <c r="E6" s="519">
        <v>23</v>
      </c>
      <c r="F6" s="529">
        <v>890</v>
      </c>
      <c r="G6" s="529">
        <v>103</v>
      </c>
      <c r="H6" s="529"/>
      <c r="I6" s="530" t="s">
        <v>355</v>
      </c>
    </row>
    <row r="7" spans="1:9" ht="25.5">
      <c r="A7" s="522">
        <v>4</v>
      </c>
      <c r="B7" s="518">
        <v>199</v>
      </c>
      <c r="C7" s="518">
        <v>11</v>
      </c>
      <c r="D7" s="529">
        <v>6500</v>
      </c>
      <c r="E7" s="519">
        <v>23</v>
      </c>
      <c r="F7" s="529">
        <v>500</v>
      </c>
      <c r="G7" s="529">
        <v>42</v>
      </c>
      <c r="H7" s="529"/>
      <c r="I7" s="530" t="s">
        <v>359</v>
      </c>
    </row>
    <row r="8" spans="1:9" ht="25.5">
      <c r="A8" s="522"/>
      <c r="B8" s="518">
        <v>199</v>
      </c>
      <c r="C8" s="518">
        <v>11</v>
      </c>
      <c r="D8" s="529"/>
      <c r="E8" s="519">
        <v>12</v>
      </c>
      <c r="F8" s="529">
        <v>6000</v>
      </c>
      <c r="G8" s="529">
        <v>42</v>
      </c>
      <c r="H8" s="529"/>
      <c r="I8" s="530" t="s">
        <v>356</v>
      </c>
    </row>
    <row r="9" spans="1:9" ht="25.5">
      <c r="A9" s="522">
        <v>5</v>
      </c>
      <c r="B9" s="518">
        <v>199</v>
      </c>
      <c r="C9" s="518">
        <v>11</v>
      </c>
      <c r="D9" s="529">
        <v>116</v>
      </c>
      <c r="E9" s="519">
        <v>53</v>
      </c>
      <c r="F9" s="529">
        <v>116</v>
      </c>
      <c r="G9" s="529">
        <v>42</v>
      </c>
      <c r="H9" s="529"/>
      <c r="I9" s="530" t="s">
        <v>357</v>
      </c>
    </row>
    <row r="10" spans="1:9" ht="25.5">
      <c r="A10" s="522">
        <v>6</v>
      </c>
      <c r="B10" s="518">
        <v>199</v>
      </c>
      <c r="C10" s="518">
        <v>11</v>
      </c>
      <c r="D10" s="529">
        <v>1200</v>
      </c>
      <c r="E10" s="519">
        <v>31</v>
      </c>
      <c r="F10" s="529">
        <v>1200</v>
      </c>
      <c r="G10" s="529">
        <v>821</v>
      </c>
      <c r="H10" s="529"/>
      <c r="I10" s="530" t="s">
        <v>351</v>
      </c>
    </row>
    <row r="11" spans="1:9" ht="25.5">
      <c r="A11" s="522">
        <v>7</v>
      </c>
      <c r="B11" s="518">
        <v>199</v>
      </c>
      <c r="C11" s="518">
        <v>11</v>
      </c>
      <c r="D11" s="529">
        <v>153</v>
      </c>
      <c r="E11" s="519">
        <v>23</v>
      </c>
      <c r="F11" s="529">
        <v>153</v>
      </c>
      <c r="G11" s="529">
        <v>105</v>
      </c>
      <c r="H11" s="529"/>
      <c r="I11" s="530" t="s">
        <v>355</v>
      </c>
    </row>
    <row r="12" spans="1:9">
      <c r="A12" s="522">
        <v>8</v>
      </c>
      <c r="B12" s="518">
        <v>199</v>
      </c>
      <c r="C12" s="518">
        <v>11</v>
      </c>
      <c r="D12" s="529">
        <v>4076</v>
      </c>
      <c r="E12" s="519">
        <v>36</v>
      </c>
      <c r="F12" s="529">
        <v>4076</v>
      </c>
      <c r="G12" s="529">
        <v>1</v>
      </c>
      <c r="H12" s="529"/>
      <c r="I12" s="530" t="s">
        <v>358</v>
      </c>
    </row>
    <row r="13" spans="1:9" ht="25.5">
      <c r="A13" s="522">
        <v>9</v>
      </c>
      <c r="B13" s="518">
        <v>199</v>
      </c>
      <c r="C13" s="518">
        <v>11</v>
      </c>
      <c r="D13" s="529">
        <v>882</v>
      </c>
      <c r="E13" s="519">
        <v>23</v>
      </c>
      <c r="F13" s="529">
        <v>882</v>
      </c>
      <c r="G13" s="529">
        <v>104</v>
      </c>
      <c r="H13" s="529"/>
      <c r="I13" s="530" t="s">
        <v>355</v>
      </c>
    </row>
    <row r="14" spans="1:9" ht="55.9" customHeight="1">
      <c r="A14" s="522">
        <v>10</v>
      </c>
      <c r="B14" s="518">
        <v>199</v>
      </c>
      <c r="C14" s="518">
        <v>0</v>
      </c>
      <c r="D14" s="529">
        <v>126734</v>
      </c>
      <c r="E14" s="519">
        <v>41</v>
      </c>
      <c r="F14" s="529">
        <v>89144</v>
      </c>
      <c r="G14" s="529">
        <v>750</v>
      </c>
      <c r="H14" s="529">
        <v>89144</v>
      </c>
      <c r="I14" s="550" t="s">
        <v>436</v>
      </c>
    </row>
    <row r="15" spans="1:9">
      <c r="A15" s="548"/>
      <c r="B15" s="546">
        <v>199</v>
      </c>
      <c r="C15" s="546">
        <v>0</v>
      </c>
      <c r="D15" s="549"/>
      <c r="E15" s="547">
        <v>21</v>
      </c>
      <c r="F15" s="549">
        <v>20190</v>
      </c>
      <c r="G15" s="549">
        <v>821</v>
      </c>
      <c r="H15" s="549">
        <v>20190</v>
      </c>
      <c r="I15" s="550"/>
    </row>
    <row r="16" spans="1:9">
      <c r="A16" s="548"/>
      <c r="B16" s="546">
        <v>199</v>
      </c>
      <c r="C16" s="546">
        <v>0</v>
      </c>
      <c r="D16" s="549"/>
      <c r="E16" s="547">
        <v>11</v>
      </c>
      <c r="F16" s="549">
        <v>15000</v>
      </c>
      <c r="G16" s="549">
        <v>104</v>
      </c>
      <c r="H16" s="549">
        <v>15000</v>
      </c>
      <c r="I16" s="550"/>
    </row>
    <row r="17" spans="1:9">
      <c r="A17" s="548"/>
      <c r="B17" s="546">
        <v>199</v>
      </c>
      <c r="C17" s="546">
        <v>0</v>
      </c>
      <c r="D17" s="549"/>
      <c r="E17" s="547">
        <v>36</v>
      </c>
      <c r="F17" s="549">
        <v>2400</v>
      </c>
      <c r="G17" s="549">
        <v>1</v>
      </c>
      <c r="H17" s="549">
        <v>2400</v>
      </c>
      <c r="I17" s="550"/>
    </row>
    <row r="18" spans="1:9" ht="25.5">
      <c r="A18" s="548">
        <v>11</v>
      </c>
      <c r="B18" s="610">
        <v>199</v>
      </c>
      <c r="C18" s="610">
        <v>11</v>
      </c>
      <c r="D18" s="609">
        <v>108</v>
      </c>
      <c r="E18" s="610">
        <v>13</v>
      </c>
      <c r="F18" s="609">
        <v>108</v>
      </c>
      <c r="G18" s="609">
        <v>41</v>
      </c>
      <c r="H18" s="609"/>
      <c r="I18" s="550" t="s">
        <v>351</v>
      </c>
    </row>
    <row r="19" spans="1:9" ht="25.5">
      <c r="A19" s="548">
        <v>12</v>
      </c>
      <c r="B19" s="610">
        <v>199</v>
      </c>
      <c r="C19" s="610">
        <v>0</v>
      </c>
      <c r="D19" s="611">
        <v>1228</v>
      </c>
      <c r="E19" s="610">
        <v>11</v>
      </c>
      <c r="F19" s="611">
        <v>1228</v>
      </c>
      <c r="G19" s="609">
        <v>41</v>
      </c>
      <c r="H19" s="609"/>
      <c r="I19" s="550" t="s">
        <v>435</v>
      </c>
    </row>
    <row r="20" spans="1:9" ht="25.5">
      <c r="A20" s="548">
        <v>13</v>
      </c>
      <c r="B20" s="610">
        <v>199</v>
      </c>
      <c r="C20" s="610">
        <v>11</v>
      </c>
      <c r="D20" s="611">
        <v>4000</v>
      </c>
      <c r="E20" s="610">
        <v>13</v>
      </c>
      <c r="F20" s="611">
        <v>4000</v>
      </c>
      <c r="G20" s="609">
        <v>821</v>
      </c>
      <c r="H20" s="609"/>
      <c r="I20" s="550" t="s">
        <v>438</v>
      </c>
    </row>
    <row r="21" spans="1:9">
      <c r="A21" s="522"/>
      <c r="B21" s="518"/>
      <c r="C21" s="524" t="s">
        <v>352</v>
      </c>
      <c r="D21" s="526">
        <f>SUM(D4:D20)</f>
        <v>146667</v>
      </c>
      <c r="E21" s="531"/>
      <c r="F21" s="526">
        <f>SUM(F4:F20)</f>
        <v>146667</v>
      </c>
      <c r="G21" s="526"/>
      <c r="H21" s="526">
        <f>SUM(H4:H20)</f>
        <v>126734</v>
      </c>
      <c r="I21" s="530"/>
    </row>
    <row r="22" spans="1:9" ht="38.25" hidden="1" customHeight="1">
      <c r="A22" s="532"/>
      <c r="B22" s="533"/>
      <c r="C22" s="533"/>
      <c r="D22" s="534"/>
      <c r="E22" s="533"/>
      <c r="F22" s="535"/>
      <c r="G22" s="535"/>
      <c r="H22" s="536"/>
      <c r="I22" s="537"/>
    </row>
    <row r="23" spans="1:9" ht="38.25" hidden="1" customHeight="1">
      <c r="A23" s="538" t="s">
        <v>353</v>
      </c>
      <c r="B23" s="539"/>
      <c r="C23" s="539"/>
      <c r="D23" s="540"/>
      <c r="E23" s="541"/>
      <c r="F23" s="542"/>
      <c r="G23" s="542"/>
      <c r="H23" s="542"/>
      <c r="I23" s="543"/>
    </row>
    <row r="24" spans="1:9" ht="56.25" hidden="1" customHeight="1">
      <c r="A24" s="532"/>
      <c r="B24" s="532"/>
      <c r="C24" s="544"/>
      <c r="D24" s="535"/>
      <c r="E24" s="533"/>
      <c r="F24" s="535"/>
      <c r="G24" s="535"/>
      <c r="H24" s="535"/>
      <c r="I24" s="545"/>
    </row>
    <row r="25" spans="1:9" ht="38.25" hidden="1" customHeight="1"/>
    <row r="26" spans="1:9" ht="51.75" hidden="1" customHeight="1"/>
    <row r="27" spans="1:9" ht="45" customHeight="1"/>
    <row r="28" spans="1:9" ht="51.75" customHeight="1"/>
    <row r="29" spans="1:9" ht="51.75" customHeight="1"/>
    <row r="30" spans="1:9" ht="51.75" customHeight="1"/>
    <row r="31" spans="1:9" ht="51.75" customHeight="1"/>
    <row r="32" spans="1:9" ht="51.75" customHeight="1"/>
    <row r="33" ht="51.75" customHeight="1"/>
    <row r="34" ht="51.75" customHeight="1"/>
    <row r="35" ht="51.75" customHeight="1"/>
    <row r="36" ht="63" customHeight="1"/>
    <row r="37" ht="28.5" customHeight="1"/>
    <row r="38" ht="50.25" customHeight="1"/>
    <row r="39" ht="10.5" customHeight="1"/>
  </sheetData>
  <pageMargins left="0.75" right="0.75" top="1.5" bottom="1" header="0.5" footer="0.5"/>
  <pageSetup scale="90" fitToHeight="10" orientation="portrait" r:id="rId1"/>
  <headerFooter>
    <oddHeader>&amp;CLittle Elm Independent School District
General Fund 
Budget Amendments
February 2015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"/>
  <sheetViews>
    <sheetView zoomScaleNormal="100" workbookViewId="0"/>
  </sheetViews>
  <sheetFormatPr defaultColWidth="11.42578125" defaultRowHeight="12.75"/>
  <cols>
    <col min="1" max="1" width="11.5703125" customWidth="1"/>
    <col min="2" max="2" width="13" customWidth="1"/>
    <col min="3" max="3" width="8.85546875" customWidth="1"/>
    <col min="4" max="4" width="15" customWidth="1"/>
    <col min="5" max="5" width="14.42578125" customWidth="1"/>
    <col min="6" max="6" width="13.7109375" customWidth="1"/>
    <col min="7" max="7" width="8.28515625" customWidth="1"/>
    <col min="8" max="8" width="12.85546875" customWidth="1"/>
    <col min="9" max="9" width="14.7109375" customWidth="1"/>
    <col min="10" max="10" width="15.5703125" customWidth="1"/>
    <col min="13" max="13" width="13.42578125" bestFit="1" customWidth="1"/>
  </cols>
  <sheetData>
    <row r="1" spans="1:10" ht="15.75">
      <c r="A1" t="s">
        <v>85</v>
      </c>
      <c r="D1" s="1"/>
      <c r="E1" s="1"/>
      <c r="F1" s="2" t="s">
        <v>235</v>
      </c>
      <c r="G1" s="1"/>
      <c r="H1" s="1"/>
      <c r="I1" s="3"/>
      <c r="J1" s="4" t="s">
        <v>316</v>
      </c>
    </row>
    <row r="2" spans="1:10">
      <c r="D2" s="5"/>
      <c r="E2" s="5"/>
      <c r="F2" s="6" t="s">
        <v>318</v>
      </c>
      <c r="G2" s="5"/>
      <c r="H2" s="5"/>
      <c r="I2" s="3"/>
      <c r="J2" s="3"/>
    </row>
    <row r="3" spans="1:10">
      <c r="D3" s="3"/>
      <c r="E3" s="3"/>
      <c r="F3" s="7" t="s">
        <v>328</v>
      </c>
      <c r="G3" s="3"/>
      <c r="H3" s="3"/>
      <c r="I3" s="3"/>
      <c r="J3" s="3"/>
    </row>
    <row r="4" spans="1:10">
      <c r="D4" s="3"/>
      <c r="E4" s="3"/>
      <c r="F4" s="5"/>
      <c r="G4" s="3"/>
      <c r="H4" s="3"/>
      <c r="I4" s="3"/>
      <c r="J4" s="3"/>
    </row>
    <row r="5" spans="1:10" ht="15.75">
      <c r="D5" s="3"/>
      <c r="E5" s="2" t="s">
        <v>0</v>
      </c>
      <c r="F5" s="3"/>
      <c r="G5" s="3"/>
      <c r="H5" s="184"/>
      <c r="I5" s="2" t="s">
        <v>1</v>
      </c>
      <c r="J5" s="3"/>
    </row>
    <row r="6" spans="1:10">
      <c r="A6" t="s">
        <v>85</v>
      </c>
      <c r="D6" s="8"/>
      <c r="E6" s="9" t="s">
        <v>236</v>
      </c>
      <c r="F6" s="8"/>
      <c r="G6" s="3"/>
      <c r="H6" s="8"/>
      <c r="I6" s="10">
        <v>511</v>
      </c>
      <c r="J6" s="8"/>
    </row>
    <row r="7" spans="1:10">
      <c r="D7" s="11"/>
      <c r="E7" s="11" t="s">
        <v>2</v>
      </c>
      <c r="F7" s="4"/>
      <c r="G7" s="3"/>
      <c r="H7" s="11"/>
      <c r="I7" s="11" t="s">
        <v>2</v>
      </c>
      <c r="J7" s="4"/>
    </row>
    <row r="8" spans="1:10">
      <c r="A8" t="s">
        <v>3</v>
      </c>
      <c r="D8" s="11" t="s">
        <v>309</v>
      </c>
      <c r="E8" s="11" t="s">
        <v>5</v>
      </c>
      <c r="F8" s="4" t="s">
        <v>6</v>
      </c>
      <c r="G8" s="3"/>
      <c r="H8" s="11" t="s">
        <v>4</v>
      </c>
      <c r="I8" s="11" t="s">
        <v>5</v>
      </c>
      <c r="J8" s="4" t="s">
        <v>6</v>
      </c>
    </row>
    <row r="9" spans="1:10">
      <c r="A9" s="12" t="s">
        <v>7</v>
      </c>
      <c r="B9" s="12" t="s">
        <v>8</v>
      </c>
      <c r="D9" s="13" t="s">
        <v>9</v>
      </c>
      <c r="E9" s="14"/>
      <c r="F9" s="15" t="s">
        <v>9</v>
      </c>
      <c r="G9" s="3"/>
      <c r="H9" s="13" t="s">
        <v>9</v>
      </c>
      <c r="I9" s="14"/>
      <c r="J9" s="15" t="s">
        <v>9</v>
      </c>
    </row>
    <row r="10" spans="1:10">
      <c r="A10" s="16">
        <v>5700</v>
      </c>
      <c r="B10" s="17" t="s">
        <v>10</v>
      </c>
      <c r="D10" s="185">
        <v>23162321</v>
      </c>
      <c r="E10" s="186">
        <v>495</v>
      </c>
      <c r="F10" s="187">
        <f>D10+E10</f>
        <v>23162816</v>
      </c>
      <c r="G10" s="3"/>
      <c r="H10" s="199">
        <v>10557643</v>
      </c>
      <c r="I10" s="200"/>
      <c r="J10" s="199">
        <f>H10+I10</f>
        <v>10557643</v>
      </c>
    </row>
    <row r="11" spans="1:10">
      <c r="A11" s="16">
        <v>5800</v>
      </c>
      <c r="B11" s="17" t="s">
        <v>11</v>
      </c>
      <c r="D11" s="185">
        <v>26074068</v>
      </c>
      <c r="E11" s="186"/>
      <c r="F11" s="187">
        <f>D11+E11</f>
        <v>26074068</v>
      </c>
      <c r="G11" s="3"/>
      <c r="H11" s="199">
        <v>773250</v>
      </c>
      <c r="I11" s="200"/>
      <c r="J11" s="199">
        <f>H11+I11</f>
        <v>773250</v>
      </c>
    </row>
    <row r="12" spans="1:10">
      <c r="A12" s="16">
        <v>5900</v>
      </c>
      <c r="B12" s="17" t="s">
        <v>12</v>
      </c>
      <c r="D12" s="185">
        <v>275000</v>
      </c>
      <c r="E12" s="186"/>
      <c r="F12" s="187">
        <f>D12+E12</f>
        <v>275000</v>
      </c>
      <c r="G12" s="3"/>
      <c r="H12" s="201">
        <v>0</v>
      </c>
      <c r="I12" s="208"/>
      <c r="J12" s="201">
        <f>H12+I12</f>
        <v>0</v>
      </c>
    </row>
    <row r="13" spans="1:10" ht="12" customHeight="1">
      <c r="D13" s="190">
        <f>SUM(D10:D12)</f>
        <v>49511389</v>
      </c>
      <c r="E13" s="452">
        <f>SUM(E10:E12)</f>
        <v>495</v>
      </c>
      <c r="F13" s="190">
        <f>SUM(F10:F12)</f>
        <v>49511884</v>
      </c>
      <c r="G13" s="3"/>
      <c r="H13" s="209">
        <f>SUM(H10:H12)</f>
        <v>11330893</v>
      </c>
      <c r="I13" s="204">
        <f>SUM(I10:I12)</f>
        <v>0</v>
      </c>
      <c r="J13" s="205">
        <f>SUM(J10:J12)</f>
        <v>11330893</v>
      </c>
    </row>
    <row r="14" spans="1:10">
      <c r="D14" s="185"/>
      <c r="E14" s="188"/>
      <c r="F14" s="185"/>
      <c r="G14" s="3"/>
      <c r="H14" s="206"/>
      <c r="I14" s="207"/>
      <c r="J14" s="206"/>
    </row>
    <row r="15" spans="1:10">
      <c r="A15" s="19" t="s">
        <v>13</v>
      </c>
      <c r="B15" s="12"/>
      <c r="D15" s="202"/>
      <c r="E15" s="269"/>
      <c r="F15" s="202"/>
      <c r="G15" s="229"/>
      <c r="H15" s="202"/>
      <c r="I15" s="269"/>
      <c r="J15" s="202"/>
    </row>
    <row r="16" spans="1:10">
      <c r="A16" t="s">
        <v>14</v>
      </c>
      <c r="D16" s="199">
        <v>30394287</v>
      </c>
      <c r="E16" s="200">
        <v>-16613</v>
      </c>
      <c r="F16" s="462">
        <f t="shared" ref="F16:F35" si="0">D16+E16</f>
        <v>30377674</v>
      </c>
      <c r="G16" s="230"/>
      <c r="H16" s="199">
        <v>0</v>
      </c>
      <c r="I16" s="200"/>
      <c r="J16" s="199">
        <f t="shared" ref="J16:J31" si="1">H16+I16</f>
        <v>0</v>
      </c>
    </row>
    <row r="17" spans="1:10">
      <c r="A17" t="s">
        <v>15</v>
      </c>
      <c r="D17" s="185">
        <v>659090</v>
      </c>
      <c r="E17" s="189">
        <v>1774</v>
      </c>
      <c r="F17" s="187">
        <f t="shared" ref="F17:F22" si="2">D17+E17</f>
        <v>660864</v>
      </c>
      <c r="G17" s="229"/>
      <c r="H17" s="206">
        <v>0</v>
      </c>
      <c r="I17" s="216"/>
      <c r="J17" s="206">
        <f t="shared" si="1"/>
        <v>0</v>
      </c>
    </row>
    <row r="18" spans="1:10">
      <c r="A18" t="s">
        <v>16</v>
      </c>
      <c r="D18" s="185">
        <v>522897</v>
      </c>
      <c r="E18" s="189">
        <v>3125</v>
      </c>
      <c r="F18" s="487">
        <f t="shared" si="2"/>
        <v>526022</v>
      </c>
      <c r="G18" s="229"/>
      <c r="H18" s="206">
        <v>0</v>
      </c>
      <c r="I18" s="216"/>
      <c r="J18" s="206">
        <f t="shared" si="1"/>
        <v>0</v>
      </c>
    </row>
    <row r="19" spans="1:10">
      <c r="A19" t="s">
        <v>17</v>
      </c>
      <c r="D19" s="185">
        <v>607163</v>
      </c>
      <c r="E19" s="189">
        <v>5400</v>
      </c>
      <c r="F19" s="187">
        <f t="shared" si="2"/>
        <v>612563</v>
      </c>
      <c r="G19" s="229"/>
      <c r="H19" s="206">
        <v>0</v>
      </c>
      <c r="I19" s="216"/>
      <c r="J19" s="206">
        <f t="shared" si="1"/>
        <v>0</v>
      </c>
    </row>
    <row r="20" spans="1:10">
      <c r="A20" t="s">
        <v>18</v>
      </c>
      <c r="D20" s="185">
        <v>3167499</v>
      </c>
      <c r="E20" s="189">
        <v>784</v>
      </c>
      <c r="F20" s="187">
        <f t="shared" si="2"/>
        <v>3168283</v>
      </c>
      <c r="G20" s="229"/>
      <c r="H20" s="206">
        <v>0</v>
      </c>
      <c r="I20" s="216"/>
      <c r="J20" s="206">
        <f t="shared" si="1"/>
        <v>0</v>
      </c>
    </row>
    <row r="21" spans="1:10">
      <c r="A21" t="s">
        <v>19</v>
      </c>
      <c r="D21" s="185">
        <v>1682556</v>
      </c>
      <c r="E21" s="189">
        <v>1500</v>
      </c>
      <c r="F21" s="187">
        <f t="shared" si="2"/>
        <v>1684056</v>
      </c>
      <c r="G21" s="229"/>
      <c r="H21" s="206">
        <v>0</v>
      </c>
      <c r="I21" s="216"/>
      <c r="J21" s="206">
        <f t="shared" si="1"/>
        <v>0</v>
      </c>
    </row>
    <row r="22" spans="1:10">
      <c r="A22" s="3" t="s">
        <v>20</v>
      </c>
      <c r="D22" s="185">
        <v>13000</v>
      </c>
      <c r="E22" s="189"/>
      <c r="F22" s="187">
        <f t="shared" si="2"/>
        <v>13000</v>
      </c>
      <c r="G22" s="229"/>
      <c r="H22" s="206">
        <v>0</v>
      </c>
      <c r="I22" s="216"/>
      <c r="J22" s="206">
        <f t="shared" si="1"/>
        <v>0</v>
      </c>
    </row>
    <row r="23" spans="1:10">
      <c r="A23" s="3" t="s">
        <v>21</v>
      </c>
      <c r="B23" s="3"/>
      <c r="D23" s="185">
        <v>473366</v>
      </c>
      <c r="E23" s="189"/>
      <c r="F23" s="187">
        <f t="shared" si="0"/>
        <v>473366</v>
      </c>
      <c r="G23" s="229"/>
      <c r="H23" s="206">
        <v>0</v>
      </c>
      <c r="I23" s="216"/>
      <c r="J23" s="206">
        <f t="shared" si="1"/>
        <v>0</v>
      </c>
    </row>
    <row r="24" spans="1:10">
      <c r="A24" s="3" t="s">
        <v>22</v>
      </c>
      <c r="B24" s="3"/>
      <c r="D24" s="185">
        <v>1548150</v>
      </c>
      <c r="E24" s="189"/>
      <c r="F24" s="187">
        <f t="shared" si="0"/>
        <v>1548150</v>
      </c>
      <c r="G24" s="229"/>
      <c r="H24" s="206">
        <v>0</v>
      </c>
      <c r="I24" s="216"/>
      <c r="J24" s="206">
        <f t="shared" si="1"/>
        <v>0</v>
      </c>
    </row>
    <row r="25" spans="1:10">
      <c r="A25" s="3" t="s">
        <v>23</v>
      </c>
      <c r="B25" s="3"/>
      <c r="D25" s="185">
        <v>74460</v>
      </c>
      <c r="E25" s="189"/>
      <c r="F25" s="187">
        <f t="shared" si="0"/>
        <v>74460</v>
      </c>
      <c r="G25" s="229"/>
      <c r="H25" s="206">
        <v>0</v>
      </c>
      <c r="I25" s="216"/>
      <c r="J25" s="206">
        <f t="shared" si="1"/>
        <v>0</v>
      </c>
    </row>
    <row r="26" spans="1:10">
      <c r="A26" s="3" t="s">
        <v>24</v>
      </c>
      <c r="B26" s="3"/>
      <c r="D26" s="185">
        <v>1356950</v>
      </c>
      <c r="E26" s="189">
        <v>825</v>
      </c>
      <c r="F26" s="187">
        <f t="shared" si="0"/>
        <v>1357775</v>
      </c>
      <c r="G26" s="229"/>
      <c r="H26" s="206">
        <v>0</v>
      </c>
      <c r="I26" s="216"/>
      <c r="J26" s="206">
        <f t="shared" si="1"/>
        <v>0</v>
      </c>
    </row>
    <row r="27" spans="1:10">
      <c r="A27" s="3" t="s">
        <v>25</v>
      </c>
      <c r="B27" s="3"/>
      <c r="D27" s="185">
        <v>1900189</v>
      </c>
      <c r="E27" s="189"/>
      <c r="F27" s="187">
        <f t="shared" si="0"/>
        <v>1900189</v>
      </c>
      <c r="G27" s="230"/>
      <c r="H27" s="228">
        <v>0</v>
      </c>
      <c r="I27" s="216"/>
      <c r="J27" s="206">
        <f t="shared" si="1"/>
        <v>0</v>
      </c>
    </row>
    <row r="28" spans="1:10">
      <c r="A28" s="3" t="s">
        <v>26</v>
      </c>
      <c r="B28" s="3"/>
      <c r="D28" s="185">
        <v>5082853</v>
      </c>
      <c r="E28" s="189">
        <v>103700</v>
      </c>
      <c r="F28" s="187">
        <f t="shared" si="0"/>
        <v>5186553</v>
      </c>
      <c r="G28" s="230"/>
      <c r="H28" s="228">
        <v>0</v>
      </c>
      <c r="I28" s="216"/>
      <c r="J28" s="206">
        <f t="shared" si="1"/>
        <v>0</v>
      </c>
    </row>
    <row r="29" spans="1:10">
      <c r="A29" s="3" t="s">
        <v>27</v>
      </c>
      <c r="B29" s="3"/>
      <c r="D29" s="185">
        <v>482604</v>
      </c>
      <c r="E29" s="189"/>
      <c r="F29" s="187">
        <f t="shared" si="0"/>
        <v>482604</v>
      </c>
      <c r="G29" s="229"/>
      <c r="H29" s="206">
        <v>0</v>
      </c>
      <c r="I29" s="208"/>
      <c r="J29" s="206">
        <f t="shared" si="1"/>
        <v>0</v>
      </c>
    </row>
    <row r="30" spans="1:10">
      <c r="A30" s="3" t="s">
        <v>28</v>
      </c>
      <c r="B30" s="3"/>
      <c r="D30" s="185">
        <v>964125</v>
      </c>
      <c r="E30" s="189"/>
      <c r="F30" s="187">
        <f t="shared" si="0"/>
        <v>964125</v>
      </c>
      <c r="G30" s="3"/>
      <c r="H30" s="206">
        <v>0</v>
      </c>
      <c r="I30" s="208"/>
      <c r="J30" s="206">
        <f t="shared" si="1"/>
        <v>0</v>
      </c>
    </row>
    <row r="31" spans="1:10">
      <c r="A31" s="3" t="s">
        <v>29</v>
      </c>
      <c r="B31" s="3"/>
      <c r="D31" s="185">
        <v>36831</v>
      </c>
      <c r="E31" s="189"/>
      <c r="F31" s="187">
        <f t="shared" si="0"/>
        <v>36831</v>
      </c>
      <c r="G31" s="3"/>
      <c r="H31" s="206">
        <v>0</v>
      </c>
      <c r="I31" s="208"/>
      <c r="J31" s="206">
        <f t="shared" si="1"/>
        <v>0</v>
      </c>
    </row>
    <row r="32" spans="1:10">
      <c r="A32" s="3" t="s">
        <v>30</v>
      </c>
      <c r="B32" s="3"/>
      <c r="D32" s="185">
        <v>850606</v>
      </c>
      <c r="E32" s="189"/>
      <c r="F32" s="187">
        <f t="shared" si="0"/>
        <v>850606</v>
      </c>
      <c r="G32" s="3"/>
      <c r="H32" s="199">
        <v>11330893</v>
      </c>
      <c r="I32" s="208"/>
      <c r="J32" s="206">
        <f>H32+I32</f>
        <v>11330893</v>
      </c>
    </row>
    <row r="33" spans="1:13">
      <c r="A33" s="3" t="s">
        <v>239</v>
      </c>
      <c r="B33" s="3"/>
      <c r="D33" s="185">
        <v>1256572</v>
      </c>
      <c r="E33" s="189">
        <v>-100000</v>
      </c>
      <c r="F33" s="187">
        <f t="shared" si="0"/>
        <v>1156572</v>
      </c>
      <c r="G33" s="3"/>
      <c r="H33" s="199">
        <v>0</v>
      </c>
      <c r="I33" s="208"/>
      <c r="J33" s="206">
        <f>H33+I33</f>
        <v>0</v>
      </c>
    </row>
    <row r="34" spans="1:13">
      <c r="A34" s="3" t="s">
        <v>238</v>
      </c>
      <c r="B34" s="3"/>
      <c r="D34" s="185">
        <v>32000</v>
      </c>
      <c r="E34" s="189"/>
      <c r="F34" s="187">
        <f t="shared" si="0"/>
        <v>32000</v>
      </c>
      <c r="G34" s="3"/>
      <c r="H34" s="206">
        <v>0</v>
      </c>
      <c r="I34" s="208"/>
      <c r="J34" s="206">
        <f>H34+I34</f>
        <v>0</v>
      </c>
      <c r="M34" s="442"/>
    </row>
    <row r="35" spans="1:13">
      <c r="A35" s="3" t="s">
        <v>237</v>
      </c>
      <c r="B35" s="3"/>
      <c r="D35" s="185">
        <v>245000</v>
      </c>
      <c r="E35" s="268"/>
      <c r="F35" s="187">
        <f t="shared" si="0"/>
        <v>245000</v>
      </c>
      <c r="G35" s="3"/>
      <c r="H35" s="206">
        <v>0</v>
      </c>
      <c r="I35" s="208"/>
      <c r="J35" s="206">
        <f>H35+I35</f>
        <v>0</v>
      </c>
      <c r="M35" s="442"/>
    </row>
    <row r="36" spans="1:13">
      <c r="A36" t="s">
        <v>31</v>
      </c>
      <c r="D36" s="190">
        <f>SUM(D16:D35)</f>
        <v>51350198</v>
      </c>
      <c r="E36" s="191">
        <f>SUM(E16:E35)</f>
        <v>495</v>
      </c>
      <c r="F36" s="190">
        <f>SUM(F16:F35)</f>
        <v>51350693</v>
      </c>
      <c r="G36" s="3"/>
      <c r="H36" s="209">
        <f>SUM(H15:H35)</f>
        <v>11330893</v>
      </c>
      <c r="I36" s="210">
        <f>SUM(I16:I35)</f>
        <v>0</v>
      </c>
      <c r="J36" s="209">
        <f>SUM(J15:J35)</f>
        <v>11330893</v>
      </c>
      <c r="M36" s="442"/>
    </row>
    <row r="37" spans="1:13">
      <c r="D37" s="185"/>
      <c r="E37" s="188"/>
      <c r="F37" s="185"/>
      <c r="G37" s="3"/>
      <c r="H37" s="206"/>
      <c r="I37" s="207"/>
      <c r="J37" s="206"/>
      <c r="M37" s="442"/>
    </row>
    <row r="38" spans="1:13">
      <c r="A38" t="s">
        <v>312</v>
      </c>
      <c r="D38" s="185"/>
      <c r="E38" s="188"/>
      <c r="F38" s="185">
        <f>+D38+E38</f>
        <v>0</v>
      </c>
      <c r="G38" s="3"/>
      <c r="H38" s="206"/>
      <c r="I38" s="207"/>
      <c r="J38" s="206">
        <f>+H38+I38</f>
        <v>0</v>
      </c>
      <c r="M38" s="442"/>
    </row>
    <row r="39" spans="1:13">
      <c r="A39" t="s">
        <v>311</v>
      </c>
      <c r="D39" s="185"/>
      <c r="E39" s="188"/>
      <c r="F39" s="185"/>
      <c r="G39" s="3"/>
      <c r="H39" s="206"/>
      <c r="I39" s="207"/>
      <c r="J39" s="206">
        <f>+H39+I39</f>
        <v>0</v>
      </c>
      <c r="M39" s="442"/>
    </row>
    <row r="40" spans="1:13">
      <c r="D40" s="185"/>
      <c r="E40" s="188"/>
      <c r="F40" s="185"/>
      <c r="G40" s="3"/>
      <c r="H40" s="206"/>
      <c r="I40" s="207"/>
      <c r="J40" s="206"/>
      <c r="M40" s="442"/>
    </row>
    <row r="41" spans="1:13">
      <c r="A41" s="20" t="s">
        <v>321</v>
      </c>
      <c r="D41" s="497">
        <v>21653740</v>
      </c>
      <c r="E41" s="192"/>
      <c r="F41" s="193">
        <f>D41</f>
        <v>21653740</v>
      </c>
      <c r="G41" s="18"/>
      <c r="H41" s="495">
        <v>3710704</v>
      </c>
      <c r="I41" s="211"/>
      <c r="J41" s="202">
        <f>H41</f>
        <v>3710704</v>
      </c>
      <c r="M41" s="460"/>
    </row>
    <row r="42" spans="1:13">
      <c r="D42" s="194"/>
      <c r="E42" s="195"/>
      <c r="F42" s="194"/>
      <c r="G42" s="11"/>
      <c r="H42" s="212"/>
      <c r="I42" s="213"/>
      <c r="J42" s="212"/>
    </row>
    <row r="43" spans="1:13">
      <c r="A43" s="20"/>
      <c r="B43" s="20"/>
      <c r="D43" s="194"/>
      <c r="E43" s="195"/>
      <c r="F43" s="194"/>
      <c r="G43" s="11"/>
      <c r="H43" s="212"/>
      <c r="I43" s="213"/>
      <c r="J43" s="212"/>
    </row>
    <row r="44" spans="1:13">
      <c r="A44" s="20" t="s">
        <v>343</v>
      </c>
      <c r="B44" s="20"/>
      <c r="D44" s="196">
        <f>D13-D36+D38+D41</f>
        <v>19814931</v>
      </c>
      <c r="E44" s="197">
        <f>F44-D44</f>
        <v>0</v>
      </c>
      <c r="F44" s="198">
        <f>F13-F36+F38-F39+F41</f>
        <v>19814931</v>
      </c>
      <c r="G44" s="11"/>
      <c r="H44" s="214">
        <f>H13-H32+H38+H39+H41</f>
        <v>3710704</v>
      </c>
      <c r="I44" s="214">
        <f t="shared" ref="I44" si="3">I13-I32+I38+I39+I41</f>
        <v>0</v>
      </c>
      <c r="J44" s="214">
        <f>J13-J32+J38+J39+J41</f>
        <v>3710704</v>
      </c>
    </row>
    <row r="45" spans="1:13" ht="15.75">
      <c r="A45" s="20"/>
      <c r="B45" s="20"/>
      <c r="D45" s="21"/>
      <c r="E45" s="142"/>
      <c r="F45" s="22"/>
      <c r="G45" s="11"/>
      <c r="H45" s="23"/>
      <c r="I45" s="143"/>
      <c r="J45" s="23"/>
    </row>
    <row r="46" spans="1:13" ht="15.75">
      <c r="A46" s="20"/>
      <c r="B46" s="20"/>
      <c r="D46" s="21"/>
      <c r="E46" s="142"/>
      <c r="F46" s="482"/>
      <c r="G46" s="11"/>
      <c r="H46" s="23"/>
      <c r="I46" s="143"/>
      <c r="J46" s="23"/>
    </row>
    <row r="47" spans="1:13" ht="15.75">
      <c r="D47" s="21"/>
      <c r="E47" s="24"/>
      <c r="F47" s="21"/>
      <c r="G47" s="11"/>
      <c r="H47" s="23"/>
      <c r="I47" s="4"/>
      <c r="J47" s="23"/>
    </row>
    <row r="48" spans="1:13" ht="15.75">
      <c r="D48" s="1"/>
      <c r="E48" s="1"/>
      <c r="F48" s="2" t="s">
        <v>235</v>
      </c>
      <c r="G48" s="1"/>
      <c r="H48" s="1"/>
      <c r="I48" s="3"/>
      <c r="J48" s="4" t="s">
        <v>315</v>
      </c>
    </row>
    <row r="49" spans="1:11">
      <c r="D49" s="5"/>
      <c r="E49" s="5"/>
      <c r="F49" s="6" t="str">
        <f>F2</f>
        <v>2014-2015 Fund Balance Comparison</v>
      </c>
      <c r="G49" s="5"/>
      <c r="H49" s="5"/>
      <c r="I49" s="3"/>
      <c r="J49" s="3"/>
    </row>
    <row r="50" spans="1:11">
      <c r="D50" s="3"/>
      <c r="E50" s="3"/>
      <c r="F50" s="4" t="str">
        <f>F3</f>
        <v>as of December 31, 2014</v>
      </c>
      <c r="G50" s="3"/>
      <c r="H50" s="3"/>
      <c r="I50" s="3"/>
      <c r="J50" s="3"/>
    </row>
    <row r="51" spans="1:11">
      <c r="D51" s="3"/>
      <c r="E51" s="3"/>
      <c r="F51" s="4"/>
      <c r="G51" s="3"/>
      <c r="H51" s="3"/>
      <c r="I51" s="3"/>
      <c r="J51" s="3"/>
    </row>
    <row r="52" spans="1:11">
      <c r="D52" s="3"/>
      <c r="E52" s="3"/>
      <c r="F52" s="3"/>
      <c r="G52" s="3"/>
      <c r="H52" s="273"/>
      <c r="I52" s="273"/>
      <c r="J52" s="273"/>
    </row>
    <row r="53" spans="1:11" ht="15.75">
      <c r="D53" s="3"/>
      <c r="E53" s="2" t="s">
        <v>32</v>
      </c>
      <c r="F53" s="3"/>
      <c r="G53" s="3"/>
      <c r="H53" s="3"/>
      <c r="I53" s="2" t="s">
        <v>256</v>
      </c>
      <c r="J53" s="3"/>
    </row>
    <row r="54" spans="1:11">
      <c r="D54" s="8"/>
      <c r="E54" s="9">
        <v>240</v>
      </c>
      <c r="F54" s="8"/>
      <c r="G54" s="3"/>
      <c r="H54" s="8"/>
      <c r="I54" s="9">
        <v>720</v>
      </c>
      <c r="J54" s="8"/>
    </row>
    <row r="55" spans="1:11">
      <c r="D55" s="11"/>
      <c r="E55" s="11" t="s">
        <v>2</v>
      </c>
      <c r="F55" s="4"/>
      <c r="G55" s="3"/>
      <c r="H55" s="11"/>
      <c r="I55" s="11" t="s">
        <v>2</v>
      </c>
      <c r="J55" s="4"/>
    </row>
    <row r="56" spans="1:11">
      <c r="A56" t="s">
        <v>3</v>
      </c>
      <c r="D56" s="11" t="s">
        <v>4</v>
      </c>
      <c r="E56" s="11" t="s">
        <v>5</v>
      </c>
      <c r="F56" s="4" t="s">
        <v>6</v>
      </c>
      <c r="G56" s="3"/>
      <c r="H56" s="11" t="s">
        <v>4</v>
      </c>
      <c r="I56" s="11" t="s">
        <v>5</v>
      </c>
      <c r="J56" s="4" t="s">
        <v>6</v>
      </c>
    </row>
    <row r="57" spans="1:11">
      <c r="A57" s="12" t="s">
        <v>7</v>
      </c>
      <c r="B57" s="12" t="s">
        <v>8</v>
      </c>
      <c r="D57" s="13" t="s">
        <v>9</v>
      </c>
      <c r="E57" s="14"/>
      <c r="F57" s="15" t="s">
        <v>9</v>
      </c>
      <c r="G57" s="3"/>
      <c r="H57" s="13" t="s">
        <v>9</v>
      </c>
      <c r="I57" s="14"/>
      <c r="J57" s="15" t="s">
        <v>9</v>
      </c>
    </row>
    <row r="58" spans="1:11" ht="15.75" customHeight="1">
      <c r="A58" s="16">
        <v>5700</v>
      </c>
      <c r="B58" s="17" t="s">
        <v>10</v>
      </c>
      <c r="D58" s="206">
        <v>1118025</v>
      </c>
      <c r="E58" s="216"/>
      <c r="F58" s="206">
        <f>D58+E58</f>
        <v>1118025</v>
      </c>
      <c r="G58" s="206"/>
      <c r="H58" s="206">
        <v>579032</v>
      </c>
      <c r="I58" s="216"/>
      <c r="J58" s="206">
        <f>H58+I58</f>
        <v>579032</v>
      </c>
      <c r="K58" s="217"/>
    </row>
    <row r="59" spans="1:11" ht="14.25" customHeight="1">
      <c r="A59" s="16">
        <v>5800</v>
      </c>
      <c r="B59" s="17" t="s">
        <v>11</v>
      </c>
      <c r="D59" s="206">
        <v>17000</v>
      </c>
      <c r="E59" s="216"/>
      <c r="F59" s="206">
        <f>D59+E59</f>
        <v>17000</v>
      </c>
      <c r="G59" s="206"/>
      <c r="H59" s="206">
        <v>0</v>
      </c>
      <c r="I59" s="216"/>
      <c r="J59" s="206">
        <f>H59+I59</f>
        <v>0</v>
      </c>
      <c r="K59" s="217"/>
    </row>
    <row r="60" spans="1:11">
      <c r="A60" s="16">
        <v>5900</v>
      </c>
      <c r="B60" s="17" t="s">
        <v>12</v>
      </c>
      <c r="D60" s="218">
        <v>1714759</v>
      </c>
      <c r="E60" s="219"/>
      <c r="F60" s="218">
        <f>D60+E60</f>
        <v>1714759</v>
      </c>
      <c r="G60" s="220"/>
      <c r="H60" s="218">
        <v>0</v>
      </c>
      <c r="I60" s="219"/>
      <c r="J60" s="218">
        <f>H60+I60</f>
        <v>0</v>
      </c>
      <c r="K60" s="217"/>
    </row>
    <row r="61" spans="1:11">
      <c r="D61" s="220">
        <f>SUM(D58:D60)</f>
        <v>2849784</v>
      </c>
      <c r="E61" s="221">
        <f>SUM(E58:E60)</f>
        <v>0</v>
      </c>
      <c r="F61" s="220">
        <f>SUM(F58:F60)</f>
        <v>2849784</v>
      </c>
      <c r="G61" s="220"/>
      <c r="H61" s="220">
        <f>SUM(H58:H60)</f>
        <v>579032</v>
      </c>
      <c r="I61" s="221">
        <f>SUM(I58:I60)</f>
        <v>0</v>
      </c>
      <c r="J61" s="220">
        <f>SUM(J58:J60)</f>
        <v>579032</v>
      </c>
      <c r="K61" s="217"/>
    </row>
    <row r="62" spans="1:11">
      <c r="D62" s="206"/>
      <c r="E62" s="207"/>
      <c r="F62" s="206"/>
      <c r="G62" s="206"/>
      <c r="H62" s="206"/>
      <c r="I62" s="207"/>
      <c r="J62" s="206"/>
      <c r="K62" s="217"/>
    </row>
    <row r="63" spans="1:11">
      <c r="D63" s="206"/>
      <c r="E63" s="207"/>
      <c r="F63" s="206"/>
      <c r="G63" s="206"/>
      <c r="H63" s="206"/>
      <c r="I63" s="207"/>
      <c r="J63" s="206"/>
      <c r="K63" s="217"/>
    </row>
    <row r="64" spans="1:11">
      <c r="A64" s="19" t="s">
        <v>13</v>
      </c>
      <c r="B64" s="12"/>
      <c r="D64" s="202"/>
      <c r="E64" s="269"/>
      <c r="F64" s="202"/>
      <c r="G64" s="206"/>
      <c r="H64" s="202"/>
      <c r="I64" s="269"/>
      <c r="J64" s="202"/>
      <c r="K64" s="217"/>
    </row>
    <row r="65" spans="1:11">
      <c r="A65" t="s">
        <v>14</v>
      </c>
      <c r="D65" s="206">
        <v>0</v>
      </c>
      <c r="E65" s="222"/>
      <c r="F65" s="206">
        <f t="shared" ref="F65:F84" si="4">D65+E65</f>
        <v>0</v>
      </c>
      <c r="G65" s="206"/>
      <c r="H65" s="206">
        <v>0</v>
      </c>
      <c r="I65" s="222"/>
      <c r="J65" s="206">
        <f t="shared" ref="J65:J84" si="5">H65+I65</f>
        <v>0</v>
      </c>
      <c r="K65" s="217"/>
    </row>
    <row r="66" spans="1:11">
      <c r="A66" t="s">
        <v>15</v>
      </c>
      <c r="D66" s="206">
        <v>0</v>
      </c>
      <c r="E66" s="222"/>
      <c r="F66" s="206">
        <f t="shared" si="4"/>
        <v>0</v>
      </c>
      <c r="G66" s="206"/>
      <c r="H66" s="206">
        <v>0</v>
      </c>
      <c r="I66" s="222"/>
      <c r="J66" s="206">
        <f t="shared" si="5"/>
        <v>0</v>
      </c>
      <c r="K66" s="217"/>
    </row>
    <row r="67" spans="1:11">
      <c r="A67" t="s">
        <v>16</v>
      </c>
      <c r="D67" s="206">
        <v>0</v>
      </c>
      <c r="E67" s="222"/>
      <c r="F67" s="206">
        <f t="shared" si="4"/>
        <v>0</v>
      </c>
      <c r="G67" s="206"/>
      <c r="H67" s="206">
        <v>0</v>
      </c>
      <c r="I67" s="222"/>
      <c r="J67" s="206">
        <f t="shared" si="5"/>
        <v>0</v>
      </c>
      <c r="K67" s="217"/>
    </row>
    <row r="68" spans="1:11">
      <c r="A68" t="s">
        <v>17</v>
      </c>
      <c r="D68" s="206">
        <v>0</v>
      </c>
      <c r="E68" s="222"/>
      <c r="F68" s="206">
        <f t="shared" si="4"/>
        <v>0</v>
      </c>
      <c r="G68" s="206"/>
      <c r="H68" s="206">
        <v>0</v>
      </c>
      <c r="I68" s="222"/>
      <c r="J68" s="206">
        <f t="shared" si="5"/>
        <v>0</v>
      </c>
      <c r="K68" s="217"/>
    </row>
    <row r="69" spans="1:11">
      <c r="A69" t="s">
        <v>18</v>
      </c>
      <c r="D69" s="206">
        <v>0</v>
      </c>
      <c r="E69" s="222"/>
      <c r="F69" s="206">
        <f t="shared" si="4"/>
        <v>0</v>
      </c>
      <c r="G69" s="206"/>
      <c r="H69" s="206">
        <v>0</v>
      </c>
      <c r="I69" s="222"/>
      <c r="J69" s="206">
        <f t="shared" si="5"/>
        <v>0</v>
      </c>
      <c r="K69" s="217"/>
    </row>
    <row r="70" spans="1:11">
      <c r="A70" t="s">
        <v>19</v>
      </c>
      <c r="D70" s="206">
        <v>0</v>
      </c>
      <c r="E70" s="222"/>
      <c r="F70" s="206">
        <f t="shared" si="4"/>
        <v>0</v>
      </c>
      <c r="G70" s="206"/>
      <c r="H70" s="206">
        <v>0</v>
      </c>
      <c r="I70" s="222"/>
      <c r="J70" s="206">
        <f t="shared" si="5"/>
        <v>0</v>
      </c>
      <c r="K70" s="217"/>
    </row>
    <row r="71" spans="1:11">
      <c r="A71" t="s">
        <v>20</v>
      </c>
      <c r="D71" s="206">
        <v>0</v>
      </c>
      <c r="E71" s="222"/>
      <c r="F71" s="206">
        <f t="shared" si="4"/>
        <v>0</v>
      </c>
      <c r="G71" s="206"/>
      <c r="H71" s="206">
        <v>0</v>
      </c>
      <c r="I71" s="222"/>
      <c r="J71" s="206">
        <f t="shared" si="5"/>
        <v>0</v>
      </c>
      <c r="K71" s="217"/>
    </row>
    <row r="72" spans="1:11">
      <c r="A72" t="s">
        <v>21</v>
      </c>
      <c r="D72" s="206">
        <v>0</v>
      </c>
      <c r="E72" s="222"/>
      <c r="F72" s="206">
        <f t="shared" si="4"/>
        <v>0</v>
      </c>
      <c r="G72" s="206"/>
      <c r="H72" s="206">
        <v>0</v>
      </c>
      <c r="I72" s="222"/>
      <c r="J72" s="206">
        <f t="shared" si="5"/>
        <v>0</v>
      </c>
      <c r="K72" s="217"/>
    </row>
    <row r="73" spans="1:11">
      <c r="A73" t="s">
        <v>22</v>
      </c>
      <c r="D73" s="206">
        <v>0</v>
      </c>
      <c r="E73" s="222"/>
      <c r="F73" s="206">
        <f t="shared" si="4"/>
        <v>0</v>
      </c>
      <c r="G73" s="206"/>
      <c r="H73" s="206">
        <v>0</v>
      </c>
      <c r="I73" s="222"/>
      <c r="J73" s="206">
        <f t="shared" si="5"/>
        <v>0</v>
      </c>
      <c r="K73" s="217"/>
    </row>
    <row r="74" spans="1:11">
      <c r="A74" t="s">
        <v>23</v>
      </c>
      <c r="D74" s="206">
        <v>2849784</v>
      </c>
      <c r="E74" s="223">
        <v>294015</v>
      </c>
      <c r="F74" s="206">
        <f t="shared" si="4"/>
        <v>3143799</v>
      </c>
      <c r="G74" s="206"/>
      <c r="H74" s="206">
        <v>0</v>
      </c>
      <c r="I74" s="223"/>
      <c r="J74" s="206">
        <f t="shared" si="5"/>
        <v>0</v>
      </c>
      <c r="K74" s="217"/>
    </row>
    <row r="75" spans="1:11">
      <c r="A75" t="s">
        <v>24</v>
      </c>
      <c r="D75" s="206">
        <v>0</v>
      </c>
      <c r="E75" s="222"/>
      <c r="F75" s="206">
        <f t="shared" si="4"/>
        <v>0</v>
      </c>
      <c r="G75" s="206"/>
      <c r="H75" s="206">
        <v>0</v>
      </c>
      <c r="I75" s="222"/>
      <c r="J75" s="206">
        <f t="shared" si="5"/>
        <v>0</v>
      </c>
      <c r="K75" s="217"/>
    </row>
    <row r="76" spans="1:11">
      <c r="A76" t="s">
        <v>25</v>
      </c>
      <c r="D76" s="206">
        <v>0</v>
      </c>
      <c r="E76" s="222"/>
      <c r="F76" s="206">
        <f t="shared" si="4"/>
        <v>0</v>
      </c>
      <c r="G76" s="206"/>
      <c r="H76" s="206">
        <v>0</v>
      </c>
      <c r="I76" s="222"/>
      <c r="J76" s="206">
        <f t="shared" si="5"/>
        <v>0</v>
      </c>
      <c r="K76" s="217"/>
    </row>
    <row r="77" spans="1:11">
      <c r="A77" t="s">
        <v>26</v>
      </c>
      <c r="D77" s="206">
        <v>0</v>
      </c>
      <c r="E77" s="223"/>
      <c r="F77" s="206">
        <f t="shared" si="4"/>
        <v>0</v>
      </c>
      <c r="G77" s="206"/>
      <c r="H77" s="206">
        <v>0</v>
      </c>
      <c r="I77" s="223"/>
      <c r="J77" s="206">
        <f t="shared" si="5"/>
        <v>0</v>
      </c>
      <c r="K77" s="217"/>
    </row>
    <row r="78" spans="1:11">
      <c r="A78" t="s">
        <v>27</v>
      </c>
      <c r="D78" s="206">
        <v>0</v>
      </c>
      <c r="E78" s="222"/>
      <c r="F78" s="206">
        <f t="shared" si="4"/>
        <v>0</v>
      </c>
      <c r="G78" s="206"/>
      <c r="H78" s="206">
        <v>0</v>
      </c>
      <c r="I78" s="222"/>
      <c r="J78" s="206">
        <f t="shared" si="5"/>
        <v>0</v>
      </c>
      <c r="K78" s="217"/>
    </row>
    <row r="79" spans="1:11">
      <c r="A79" t="s">
        <v>28</v>
      </c>
      <c r="D79" s="206">
        <v>0</v>
      </c>
      <c r="E79" s="222"/>
      <c r="F79" s="206">
        <f t="shared" si="4"/>
        <v>0</v>
      </c>
      <c r="G79" s="206"/>
      <c r="H79" s="206">
        <v>0</v>
      </c>
      <c r="I79" s="222"/>
      <c r="J79" s="206">
        <f t="shared" si="5"/>
        <v>0</v>
      </c>
      <c r="K79" s="217"/>
    </row>
    <row r="80" spans="1:11">
      <c r="A80" t="s">
        <v>29</v>
      </c>
      <c r="D80" s="206">
        <v>0</v>
      </c>
      <c r="E80" s="222"/>
      <c r="F80" s="206">
        <f t="shared" si="4"/>
        <v>0</v>
      </c>
      <c r="G80" s="206"/>
      <c r="H80" s="206">
        <v>579032</v>
      </c>
      <c r="I80" s="222"/>
      <c r="J80" s="206">
        <f t="shared" si="5"/>
        <v>579032</v>
      </c>
      <c r="K80" s="217"/>
    </row>
    <row r="81" spans="1:11">
      <c r="A81" t="s">
        <v>30</v>
      </c>
      <c r="D81" s="206">
        <v>0</v>
      </c>
      <c r="E81" s="222"/>
      <c r="F81" s="206">
        <f t="shared" si="4"/>
        <v>0</v>
      </c>
      <c r="G81" s="206"/>
      <c r="H81" s="206">
        <v>0</v>
      </c>
      <c r="I81" s="222"/>
      <c r="J81" s="206">
        <f t="shared" si="5"/>
        <v>0</v>
      </c>
      <c r="K81" s="217"/>
    </row>
    <row r="82" spans="1:11">
      <c r="A82" s="3" t="s">
        <v>239</v>
      </c>
      <c r="D82" s="206">
        <v>0</v>
      </c>
      <c r="E82" s="222"/>
      <c r="F82" s="206">
        <f t="shared" si="4"/>
        <v>0</v>
      </c>
      <c r="G82" s="206"/>
      <c r="H82" s="206">
        <v>0</v>
      </c>
      <c r="I82" s="222"/>
      <c r="J82" s="206">
        <f t="shared" si="5"/>
        <v>0</v>
      </c>
      <c r="K82" s="217"/>
    </row>
    <row r="83" spans="1:11">
      <c r="A83" s="3" t="s">
        <v>238</v>
      </c>
      <c r="B83" s="3"/>
      <c r="D83" s="206">
        <v>0</v>
      </c>
      <c r="E83" s="222"/>
      <c r="F83" s="199">
        <f t="shared" si="4"/>
        <v>0</v>
      </c>
      <c r="G83" s="206"/>
      <c r="H83" s="206">
        <v>0</v>
      </c>
      <c r="I83" s="222"/>
      <c r="J83" s="199">
        <f t="shared" si="5"/>
        <v>0</v>
      </c>
      <c r="K83" s="217"/>
    </row>
    <row r="84" spans="1:11">
      <c r="A84" s="3" t="s">
        <v>237</v>
      </c>
      <c r="B84" s="3"/>
      <c r="D84" s="206">
        <v>0</v>
      </c>
      <c r="E84" s="272"/>
      <c r="F84" s="199">
        <f t="shared" si="4"/>
        <v>0</v>
      </c>
      <c r="G84" s="206"/>
      <c r="H84" s="206">
        <v>0</v>
      </c>
      <c r="I84" s="272"/>
      <c r="J84" s="199">
        <f t="shared" si="5"/>
        <v>0</v>
      </c>
      <c r="K84" s="217"/>
    </row>
    <row r="85" spans="1:11">
      <c r="A85" t="s">
        <v>31</v>
      </c>
      <c r="D85" s="209">
        <f>SUM(D64:D84)</f>
        <v>2849784</v>
      </c>
      <c r="E85" s="215">
        <f>F85-D85</f>
        <v>294015</v>
      </c>
      <c r="F85" s="209">
        <f>SUM(F65:F84)</f>
        <v>3143799</v>
      </c>
      <c r="G85" s="203"/>
      <c r="H85" s="209">
        <f>SUM(H64:H84)</f>
        <v>579032</v>
      </c>
      <c r="I85" s="215">
        <f>J85-H85</f>
        <v>0</v>
      </c>
      <c r="J85" s="209">
        <f>SUM(J65:J84)</f>
        <v>579032</v>
      </c>
      <c r="K85" s="217"/>
    </row>
    <row r="86" spans="1:11">
      <c r="D86" s="206"/>
      <c r="E86" s="207"/>
      <c r="F86" s="206"/>
      <c r="G86" s="206"/>
      <c r="H86" s="206"/>
      <c r="I86" s="207"/>
      <c r="J86" s="206"/>
      <c r="K86" s="217"/>
    </row>
    <row r="87" spans="1:11">
      <c r="A87" s="20" t="str">
        <f>+A41</f>
        <v>FUND BALANCE 08/31/14</v>
      </c>
      <c r="D87" s="496">
        <f>1189951-36790</f>
        <v>1153161</v>
      </c>
      <c r="E87" s="225"/>
      <c r="F87" s="226">
        <f>D87</f>
        <v>1153161</v>
      </c>
      <c r="G87" s="206"/>
      <c r="H87" s="224">
        <v>134292</v>
      </c>
      <c r="I87" s="225"/>
      <c r="J87" s="226">
        <f>H87</f>
        <v>134292</v>
      </c>
      <c r="K87" s="217"/>
    </row>
    <row r="88" spans="1:11">
      <c r="D88" s="212"/>
      <c r="E88" s="213"/>
      <c r="F88" s="212"/>
      <c r="G88" s="212"/>
      <c r="H88" s="212"/>
      <c r="I88" s="213"/>
      <c r="J88" s="212"/>
      <c r="K88" s="217"/>
    </row>
    <row r="89" spans="1:11">
      <c r="A89" s="20"/>
      <c r="D89" s="212"/>
      <c r="E89" s="213"/>
      <c r="F89" s="212"/>
      <c r="G89" s="212"/>
      <c r="H89" s="212"/>
      <c r="I89" s="213"/>
      <c r="J89" s="212"/>
      <c r="K89" s="217"/>
    </row>
    <row r="90" spans="1:11">
      <c r="A90" s="20" t="str">
        <f>A44</f>
        <v>EST FUND BALANCE 12/31/14</v>
      </c>
      <c r="D90" s="214">
        <f>D61-D85+D87</f>
        <v>1153161</v>
      </c>
      <c r="E90" s="215">
        <f>F90-D90</f>
        <v>-294015</v>
      </c>
      <c r="F90" s="214">
        <f>F87+F61-F85</f>
        <v>859146</v>
      </c>
      <c r="G90" s="227"/>
      <c r="H90" s="214">
        <f>H61-H85+H87</f>
        <v>134292</v>
      </c>
      <c r="I90" s="215">
        <f>J90-H90</f>
        <v>0</v>
      </c>
      <c r="J90" s="214">
        <f>J87+J61-J85</f>
        <v>134292</v>
      </c>
      <c r="K90" s="217"/>
    </row>
    <row r="91" spans="1:11">
      <c r="D91" s="217"/>
      <c r="E91" s="217"/>
      <c r="F91" s="217"/>
      <c r="G91" s="217"/>
      <c r="H91" s="201"/>
      <c r="I91" s="201"/>
      <c r="J91" s="201"/>
      <c r="K91" s="217"/>
    </row>
    <row r="92" spans="1:11">
      <c r="A92" s="20"/>
      <c r="D92" s="217"/>
      <c r="E92" s="217"/>
      <c r="F92" s="217"/>
      <c r="G92" s="217"/>
      <c r="H92" s="217"/>
      <c r="I92" s="217"/>
      <c r="J92" s="217"/>
      <c r="K92" s="217"/>
    </row>
    <row r="93" spans="1:11">
      <c r="A93" s="25"/>
    </row>
  </sheetData>
  <phoneticPr fontId="4" type="noConversion"/>
  <pageMargins left="0.5" right="0.5" top="1" bottom="0.5" header="0.5" footer="0.5"/>
  <pageSetup scale="80" fitToHeight="12" orientation="landscape" r:id="rId1"/>
  <headerFooter alignWithMargins="0"/>
  <rowBreaks count="1" manualBreakCount="1">
    <brk id="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6"/>
  <sheetViews>
    <sheetView tabSelected="1" workbookViewId="0">
      <selection activeCell="D36" sqref="D36"/>
    </sheetView>
  </sheetViews>
  <sheetFormatPr defaultColWidth="9.140625" defaultRowHeight="12.75"/>
  <cols>
    <col min="1" max="1" width="9.42578125" style="27" customWidth="1"/>
    <col min="2" max="2" width="9.140625" style="27"/>
    <col min="3" max="3" width="21.7109375" style="27" customWidth="1"/>
    <col min="4" max="7" width="15.7109375" style="27" customWidth="1"/>
    <col min="8" max="8" width="11.7109375" style="27" customWidth="1"/>
    <col min="9" max="9" width="10.28515625" style="27" customWidth="1"/>
    <col min="10" max="16384" width="9.140625" style="27"/>
  </cols>
  <sheetData>
    <row r="1" spans="1:9">
      <c r="A1" s="612" t="s">
        <v>235</v>
      </c>
      <c r="B1" s="612"/>
      <c r="C1" s="612"/>
      <c r="D1" s="612"/>
      <c r="E1" s="612"/>
      <c r="F1" s="612"/>
      <c r="G1" s="612"/>
      <c r="H1" s="612"/>
      <c r="I1" s="612"/>
    </row>
    <row r="2" spans="1:9">
      <c r="A2" s="612" t="s">
        <v>319</v>
      </c>
      <c r="B2" s="612"/>
      <c r="C2" s="612"/>
      <c r="D2" s="612"/>
      <c r="E2" s="612"/>
      <c r="F2" s="612"/>
      <c r="G2" s="612"/>
      <c r="H2" s="612"/>
      <c r="I2" s="612"/>
    </row>
    <row r="3" spans="1:9">
      <c r="A3" s="612" t="s">
        <v>329</v>
      </c>
      <c r="B3" s="612"/>
      <c r="C3" s="612"/>
      <c r="D3" s="612"/>
      <c r="E3" s="612"/>
      <c r="F3" s="612"/>
      <c r="G3" s="612"/>
      <c r="H3" s="612"/>
      <c r="I3" s="612"/>
    </row>
    <row r="4" spans="1:9" ht="15">
      <c r="A4" s="28"/>
    </row>
    <row r="5" spans="1:9">
      <c r="A5" s="612" t="s">
        <v>0</v>
      </c>
      <c r="B5" s="612"/>
      <c r="C5" s="612"/>
      <c r="D5" s="612"/>
      <c r="E5" s="612"/>
      <c r="F5" s="612"/>
      <c r="G5" s="612"/>
      <c r="H5" s="612"/>
      <c r="I5" s="612"/>
    </row>
    <row r="6" spans="1:9" ht="13.5" thickBot="1">
      <c r="A6" s="612" t="s">
        <v>248</v>
      </c>
      <c r="B6" s="612"/>
      <c r="C6" s="612"/>
      <c r="D6" s="612"/>
      <c r="E6" s="612"/>
      <c r="F6" s="612"/>
      <c r="G6" s="612"/>
      <c r="H6" s="612"/>
      <c r="I6" s="612"/>
    </row>
    <row r="7" spans="1:9">
      <c r="D7" s="29" t="s">
        <v>317</v>
      </c>
      <c r="E7" s="30" t="s">
        <v>33</v>
      </c>
      <c r="F7" s="30" t="s">
        <v>34</v>
      </c>
      <c r="G7" s="29" t="s">
        <v>35</v>
      </c>
      <c r="H7" s="31" t="s">
        <v>36</v>
      </c>
      <c r="I7" s="30" t="s">
        <v>37</v>
      </c>
    </row>
    <row r="8" spans="1:9">
      <c r="A8" s="34" t="s">
        <v>3</v>
      </c>
      <c r="D8" s="32" t="s">
        <v>298</v>
      </c>
      <c r="E8" s="26" t="s">
        <v>38</v>
      </c>
      <c r="F8" s="26" t="s">
        <v>39</v>
      </c>
      <c r="G8" s="32" t="s">
        <v>40</v>
      </c>
      <c r="H8" s="33" t="s">
        <v>41</v>
      </c>
      <c r="I8" s="26" t="s">
        <v>42</v>
      </c>
    </row>
    <row r="9" spans="1:9" ht="13.5" thickBot="1">
      <c r="A9" s="239" t="s">
        <v>7</v>
      </c>
      <c r="B9" s="34" t="s">
        <v>8</v>
      </c>
      <c r="D9" s="35" t="s">
        <v>43</v>
      </c>
      <c r="E9" s="36" t="s">
        <v>44</v>
      </c>
      <c r="F9" s="36" t="s">
        <v>45</v>
      </c>
      <c r="G9" s="37" t="s">
        <v>46</v>
      </c>
      <c r="H9" s="38" t="s">
        <v>47</v>
      </c>
      <c r="I9" s="36" t="s">
        <v>48</v>
      </c>
    </row>
    <row r="10" spans="1:9">
      <c r="A10" s="26">
        <v>5700</v>
      </c>
      <c r="B10" s="27" t="s">
        <v>10</v>
      </c>
      <c r="D10" s="356">
        <v>23162816</v>
      </c>
      <c r="E10" s="441">
        <v>15676101.66</v>
      </c>
      <c r="F10" s="357">
        <v>17509276.27</v>
      </c>
      <c r="G10" s="357">
        <f>F10-D10</f>
        <v>-5653539.7300000004</v>
      </c>
      <c r="H10" s="39">
        <f>F10/D10</f>
        <v>0.75592174414371727</v>
      </c>
      <c r="I10" s="40">
        <f>4/12</f>
        <v>0.33333333333333331</v>
      </c>
    </row>
    <row r="11" spans="1:9">
      <c r="A11" s="26">
        <v>5800</v>
      </c>
      <c r="B11" s="27" t="s">
        <v>11</v>
      </c>
      <c r="D11" s="356">
        <v>26074068</v>
      </c>
      <c r="E11" s="357">
        <v>365582.9</v>
      </c>
      <c r="F11" s="357">
        <v>13560290.65</v>
      </c>
      <c r="G11" s="357">
        <f>F11-D11</f>
        <v>-12513777.35</v>
      </c>
      <c r="H11" s="39">
        <f>F11/D11</f>
        <v>0.52006808642211111</v>
      </c>
      <c r="I11" s="40">
        <f>I10</f>
        <v>0.33333333333333331</v>
      </c>
    </row>
    <row r="12" spans="1:9">
      <c r="A12" s="26">
        <v>5900</v>
      </c>
      <c r="B12" s="27" t="s">
        <v>12</v>
      </c>
      <c r="D12" s="358">
        <v>275000</v>
      </c>
      <c r="E12" s="359">
        <v>19449.560000000001</v>
      </c>
      <c r="F12" s="359">
        <v>208573.44</v>
      </c>
      <c r="G12" s="359">
        <f>F12-D12</f>
        <v>-66426.559999999998</v>
      </c>
      <c r="H12" s="436">
        <f>F12/D12</f>
        <v>0.75844887272727268</v>
      </c>
      <c r="I12" s="437">
        <f>I10</f>
        <v>0.33333333333333331</v>
      </c>
    </row>
    <row r="13" spans="1:9">
      <c r="A13" s="34" t="s">
        <v>49</v>
      </c>
      <c r="D13" s="355">
        <f>SUM(D10:D12)</f>
        <v>49511884</v>
      </c>
      <c r="E13" s="234">
        <f>SUM(E10:E12)</f>
        <v>16061134.120000001</v>
      </c>
      <c r="F13" s="234">
        <f>SUM(F10:F12)</f>
        <v>31278140.360000003</v>
      </c>
      <c r="G13" s="234">
        <f>F13-D13</f>
        <v>-18233743.639999997</v>
      </c>
      <c r="H13" s="44">
        <f>F13/D13</f>
        <v>0.63172995719573111</v>
      </c>
      <c r="I13" s="41">
        <f>I10</f>
        <v>0.33333333333333331</v>
      </c>
    </row>
    <row r="14" spans="1:9">
      <c r="D14" s="354"/>
      <c r="E14" s="232"/>
      <c r="F14" s="232"/>
      <c r="G14" s="232"/>
      <c r="H14" s="236"/>
      <c r="I14" s="237"/>
    </row>
    <row r="15" spans="1:9">
      <c r="B15" s="34" t="s">
        <v>44</v>
      </c>
      <c r="D15" s="354"/>
      <c r="E15" s="232"/>
      <c r="F15" s="232"/>
      <c r="G15" s="232"/>
      <c r="H15" s="236"/>
      <c r="I15" s="237"/>
    </row>
    <row r="16" spans="1:9">
      <c r="A16" s="42" t="s">
        <v>50</v>
      </c>
      <c r="B16" s="27" t="s">
        <v>51</v>
      </c>
      <c r="D16" s="356">
        <v>30377674</v>
      </c>
      <c r="E16" s="357">
        <v>2483646.9</v>
      </c>
      <c r="F16" s="357">
        <f>139194.07+11611082.59</f>
        <v>11750276.66</v>
      </c>
      <c r="G16" s="357">
        <f>D16-F16</f>
        <v>18627397.34</v>
      </c>
      <c r="H16" s="238">
        <f t="shared" ref="H16:H25" si="0">F16/D16</f>
        <v>0.38680633217671634</v>
      </c>
      <c r="I16" s="237">
        <f>4/12</f>
        <v>0.33333333333333331</v>
      </c>
    </row>
    <row r="17" spans="1:9">
      <c r="A17" s="42" t="s">
        <v>52</v>
      </c>
      <c r="B17" s="27" t="s">
        <v>53</v>
      </c>
      <c r="D17" s="356">
        <v>660864</v>
      </c>
      <c r="E17" s="357">
        <v>56083.71</v>
      </c>
      <c r="F17" s="357">
        <f>4374.25+247696</f>
        <v>252070.25</v>
      </c>
      <c r="G17" s="357">
        <f t="shared" ref="G17:G30" si="1">D17-F17</f>
        <v>408793.75</v>
      </c>
      <c r="H17" s="39">
        <f t="shared" si="0"/>
        <v>0.38142530081832265</v>
      </c>
      <c r="I17" s="237">
        <f>$I$16</f>
        <v>0.33333333333333331</v>
      </c>
    </row>
    <row r="18" spans="1:9">
      <c r="A18" s="42" t="s">
        <v>54</v>
      </c>
      <c r="B18" s="235" t="s">
        <v>242</v>
      </c>
      <c r="D18" s="356">
        <v>526022</v>
      </c>
      <c r="E18" s="357">
        <v>41309.370000000003</v>
      </c>
      <c r="F18" s="357">
        <f>9722.86+152380.75</f>
        <v>162103.60999999999</v>
      </c>
      <c r="G18" s="357">
        <f t="shared" si="1"/>
        <v>363918.39</v>
      </c>
      <c r="H18" s="238">
        <f t="shared" si="0"/>
        <v>0.30816887886818417</v>
      </c>
      <c r="I18" s="237">
        <f t="shared" ref="I18:I35" si="2">$I$16</f>
        <v>0.33333333333333331</v>
      </c>
    </row>
    <row r="19" spans="1:9">
      <c r="A19" s="42" t="s">
        <v>55</v>
      </c>
      <c r="B19" s="235" t="s">
        <v>241</v>
      </c>
      <c r="D19" s="356">
        <v>612563</v>
      </c>
      <c r="E19" s="357">
        <v>49912.4</v>
      </c>
      <c r="F19" s="357">
        <f>3045.28+182102.7</f>
        <v>185147.98</v>
      </c>
      <c r="G19" s="357">
        <f t="shared" si="1"/>
        <v>427415.02</v>
      </c>
      <c r="H19" s="39">
        <f t="shared" si="0"/>
        <v>0.30225132761854701</v>
      </c>
      <c r="I19" s="237">
        <f t="shared" si="2"/>
        <v>0.33333333333333331</v>
      </c>
    </row>
    <row r="20" spans="1:9">
      <c r="A20" s="42" t="s">
        <v>56</v>
      </c>
      <c r="B20" s="235" t="s">
        <v>240</v>
      </c>
      <c r="D20" s="356">
        <v>3168283</v>
      </c>
      <c r="E20" s="357">
        <v>302456.3</v>
      </c>
      <c r="F20" s="357">
        <f>7809.58+1122636.25</f>
        <v>1130445.83</v>
      </c>
      <c r="G20" s="357">
        <f t="shared" si="1"/>
        <v>2037837.17</v>
      </c>
      <c r="H20" s="39">
        <f t="shared" si="0"/>
        <v>0.35680077505702618</v>
      </c>
      <c r="I20" s="237">
        <f t="shared" si="2"/>
        <v>0.33333333333333331</v>
      </c>
    </row>
    <row r="21" spans="1:9">
      <c r="A21" s="42" t="s">
        <v>57</v>
      </c>
      <c r="B21" s="235" t="s">
        <v>243</v>
      </c>
      <c r="D21" s="356">
        <v>1684056</v>
      </c>
      <c r="E21" s="357">
        <v>121687.16</v>
      </c>
      <c r="F21" s="357">
        <f>25382.27+519056.01</f>
        <v>544438.28</v>
      </c>
      <c r="G21" s="357">
        <f t="shared" si="1"/>
        <v>1139617.72</v>
      </c>
      <c r="H21" s="39">
        <f t="shared" si="0"/>
        <v>0.32328989059746233</v>
      </c>
      <c r="I21" s="237">
        <f t="shared" si="2"/>
        <v>0.33333333333333331</v>
      </c>
    </row>
    <row r="22" spans="1:9">
      <c r="A22" s="42" t="s">
        <v>58</v>
      </c>
      <c r="B22" s="235" t="s">
        <v>244</v>
      </c>
      <c r="D22" s="356">
        <v>13000</v>
      </c>
      <c r="E22" s="357">
        <v>0</v>
      </c>
      <c r="F22" s="357">
        <f>43.14+12106.86</f>
        <v>12150</v>
      </c>
      <c r="G22" s="357">
        <f t="shared" si="1"/>
        <v>850</v>
      </c>
      <c r="H22" s="39">
        <f t="shared" si="0"/>
        <v>0.93461538461538463</v>
      </c>
      <c r="I22" s="237">
        <f t="shared" si="2"/>
        <v>0.33333333333333331</v>
      </c>
    </row>
    <row r="23" spans="1:9">
      <c r="A23" s="42" t="s">
        <v>59</v>
      </c>
      <c r="B23" s="27" t="s">
        <v>60</v>
      </c>
      <c r="D23" s="356">
        <v>473366</v>
      </c>
      <c r="E23" s="357">
        <v>35744.199999999997</v>
      </c>
      <c r="F23" s="357">
        <f>744.06+184930.43</f>
        <v>185674.49</v>
      </c>
      <c r="G23" s="357">
        <f t="shared" si="1"/>
        <v>287691.51</v>
      </c>
      <c r="H23" s="39">
        <f t="shared" si="0"/>
        <v>0.39224297900567423</v>
      </c>
      <c r="I23" s="237">
        <f t="shared" si="2"/>
        <v>0.33333333333333331</v>
      </c>
    </row>
    <row r="24" spans="1:9">
      <c r="A24" s="42" t="s">
        <v>61</v>
      </c>
      <c r="B24" s="27" t="s">
        <v>62</v>
      </c>
      <c r="D24" s="356">
        <v>1548150</v>
      </c>
      <c r="E24" s="441">
        <v>271565.46999999997</v>
      </c>
      <c r="F24" s="357">
        <f>79.5+466009.93</f>
        <v>466089.43</v>
      </c>
      <c r="G24" s="357">
        <f t="shared" si="1"/>
        <v>1082060.57</v>
      </c>
      <c r="H24" s="39">
        <f t="shared" si="0"/>
        <v>0.30106219035623161</v>
      </c>
      <c r="I24" s="237">
        <f t="shared" si="2"/>
        <v>0.33333333333333331</v>
      </c>
    </row>
    <row r="25" spans="1:9">
      <c r="A25" s="42" t="s">
        <v>63</v>
      </c>
      <c r="B25" s="27" t="s">
        <v>64</v>
      </c>
      <c r="D25" s="356">
        <v>74460</v>
      </c>
      <c r="E25" s="357">
        <v>6122.5</v>
      </c>
      <c r="F25" s="357">
        <v>24386.080000000002</v>
      </c>
      <c r="G25" s="357">
        <f t="shared" si="1"/>
        <v>50073.919999999998</v>
      </c>
      <c r="H25" s="39">
        <f t="shared" si="0"/>
        <v>0.32750577491270483</v>
      </c>
      <c r="I25" s="237">
        <f t="shared" si="2"/>
        <v>0.33333333333333331</v>
      </c>
    </row>
    <row r="26" spans="1:9">
      <c r="A26" s="42" t="s">
        <v>65</v>
      </c>
      <c r="B26" s="27" t="s">
        <v>66</v>
      </c>
      <c r="D26" s="356">
        <v>1357775</v>
      </c>
      <c r="E26" s="357">
        <v>107580.05</v>
      </c>
      <c r="F26" s="357">
        <f>41606.33+515497.21</f>
        <v>557103.54</v>
      </c>
      <c r="G26" s="357">
        <f t="shared" si="1"/>
        <v>800671.46</v>
      </c>
      <c r="H26" s="39">
        <f t="shared" ref="H26:H33" si="3">F26/D26</f>
        <v>0.41030622894073027</v>
      </c>
      <c r="I26" s="237">
        <f t="shared" si="2"/>
        <v>0.33333333333333331</v>
      </c>
    </row>
    <row r="27" spans="1:9">
      <c r="A27" s="42" t="s">
        <v>67</v>
      </c>
      <c r="B27" s="27" t="s">
        <v>68</v>
      </c>
      <c r="D27" s="356">
        <v>1900189</v>
      </c>
      <c r="E27" s="357">
        <v>178891.09</v>
      </c>
      <c r="F27" s="357">
        <f>32077.59+586274.49</f>
        <v>618352.07999999996</v>
      </c>
      <c r="G27" s="357">
        <f t="shared" si="1"/>
        <v>1281836.92</v>
      </c>
      <c r="H27" s="39">
        <f t="shared" si="3"/>
        <v>0.32541609282024048</v>
      </c>
      <c r="I27" s="237">
        <f t="shared" si="2"/>
        <v>0.33333333333333331</v>
      </c>
    </row>
    <row r="28" spans="1:9">
      <c r="A28" s="42" t="s">
        <v>69</v>
      </c>
      <c r="B28" s="235" t="s">
        <v>70</v>
      </c>
      <c r="D28" s="356">
        <v>5186553</v>
      </c>
      <c r="E28" s="357">
        <v>418565.14</v>
      </c>
      <c r="F28" s="441">
        <f>132922.97+1658349.26</f>
        <v>1791272.23</v>
      </c>
      <c r="G28" s="357">
        <f t="shared" si="1"/>
        <v>3395280.77</v>
      </c>
      <c r="H28" s="39">
        <f t="shared" si="3"/>
        <v>0.34536853860357736</v>
      </c>
      <c r="I28" s="237">
        <f t="shared" si="2"/>
        <v>0.33333333333333331</v>
      </c>
    </row>
    <row r="29" spans="1:9">
      <c r="A29" s="42" t="s">
        <v>71</v>
      </c>
      <c r="B29" s="235" t="s">
        <v>245</v>
      </c>
      <c r="D29" s="356">
        <v>482604</v>
      </c>
      <c r="E29" s="357">
        <v>62656.69</v>
      </c>
      <c r="F29" s="357">
        <f>33881.96+131414.8</f>
        <v>165296.75999999998</v>
      </c>
      <c r="G29" s="357">
        <f t="shared" si="1"/>
        <v>317307.24</v>
      </c>
      <c r="H29" s="39">
        <f t="shared" si="3"/>
        <v>0.3425101325310192</v>
      </c>
      <c r="I29" s="237">
        <f t="shared" si="2"/>
        <v>0.33333333333333331</v>
      </c>
    </row>
    <row r="30" spans="1:9">
      <c r="A30" s="42" t="s">
        <v>72</v>
      </c>
      <c r="B30" s="27" t="s">
        <v>73</v>
      </c>
      <c r="D30" s="356">
        <v>964125</v>
      </c>
      <c r="E30" s="357">
        <v>84151.16</v>
      </c>
      <c r="F30" s="357">
        <f>4241.11+297964.13</f>
        <v>302205.24</v>
      </c>
      <c r="G30" s="357">
        <f t="shared" si="1"/>
        <v>661919.76</v>
      </c>
      <c r="H30" s="43">
        <f t="shared" si="3"/>
        <v>0.313450268378063</v>
      </c>
      <c r="I30" s="40">
        <f t="shared" si="2"/>
        <v>0.33333333333333331</v>
      </c>
    </row>
    <row r="31" spans="1:9">
      <c r="A31" s="42" t="s">
        <v>74</v>
      </c>
      <c r="B31" s="27" t="s">
        <v>75</v>
      </c>
      <c r="D31" s="356">
        <v>36831</v>
      </c>
      <c r="E31" s="357">
        <v>3135.07</v>
      </c>
      <c r="F31" s="357">
        <v>11952.13</v>
      </c>
      <c r="G31" s="357">
        <f>D31-F31</f>
        <v>24878.870000000003</v>
      </c>
      <c r="H31" s="43">
        <f t="shared" si="3"/>
        <v>0.32451277456490452</v>
      </c>
      <c r="I31" s="40">
        <f t="shared" si="2"/>
        <v>0.33333333333333331</v>
      </c>
    </row>
    <row r="32" spans="1:9">
      <c r="A32" s="42" t="s">
        <v>76</v>
      </c>
      <c r="B32" s="27" t="s">
        <v>77</v>
      </c>
      <c r="D32" s="356">
        <v>850606</v>
      </c>
      <c r="E32" s="357">
        <v>0</v>
      </c>
      <c r="F32" s="357">
        <v>408173.8</v>
      </c>
      <c r="G32" s="357">
        <f>D32-F32</f>
        <v>442432.2</v>
      </c>
      <c r="H32" s="43">
        <f t="shared" si="3"/>
        <v>0.47986235695492391</v>
      </c>
      <c r="I32" s="40">
        <f t="shared" si="2"/>
        <v>0.33333333333333331</v>
      </c>
    </row>
    <row r="33" spans="1:10">
      <c r="A33" s="42" t="s">
        <v>78</v>
      </c>
      <c r="B33" s="27" t="s">
        <v>79</v>
      </c>
      <c r="D33" s="356">
        <v>1156572</v>
      </c>
      <c r="E33" s="357">
        <v>384725.76000000001</v>
      </c>
      <c r="F33" s="357">
        <f>767216.95+529833.51</f>
        <v>1297050.46</v>
      </c>
      <c r="G33" s="357">
        <f>D33-F33</f>
        <v>-140478.45999999996</v>
      </c>
      <c r="H33" s="43">
        <f t="shared" si="3"/>
        <v>1.1214610590607414</v>
      </c>
      <c r="I33" s="40">
        <f t="shared" si="2"/>
        <v>0.33333333333333331</v>
      </c>
    </row>
    <row r="34" spans="1:10">
      <c r="A34" s="42" t="s">
        <v>80</v>
      </c>
      <c r="B34" s="27" t="s">
        <v>81</v>
      </c>
      <c r="D34" s="356">
        <v>32000</v>
      </c>
      <c r="E34" s="357">
        <v>356</v>
      </c>
      <c r="F34" s="357">
        <v>1602</v>
      </c>
      <c r="G34" s="357">
        <f>D34-F34</f>
        <v>30398</v>
      </c>
      <c r="H34" s="43">
        <f>F34/D34</f>
        <v>5.0062500000000003E-2</v>
      </c>
      <c r="I34" s="40">
        <f t="shared" si="2"/>
        <v>0.33333333333333331</v>
      </c>
    </row>
    <row r="35" spans="1:10">
      <c r="A35" s="42" t="s">
        <v>246</v>
      </c>
      <c r="B35" s="235" t="s">
        <v>247</v>
      </c>
      <c r="D35" s="358">
        <v>245000</v>
      </c>
      <c r="E35" s="359">
        <v>61208.32</v>
      </c>
      <c r="F35" s="359">
        <v>119424.96000000001</v>
      </c>
      <c r="G35" s="438">
        <f>D35-F35</f>
        <v>125575.03999999999</v>
      </c>
      <c r="H35" s="439">
        <f>F35/D35</f>
        <v>0.48744881632653064</v>
      </c>
      <c r="I35" s="437">
        <f t="shared" si="2"/>
        <v>0.33333333333333331</v>
      </c>
    </row>
    <row r="36" spans="1:10">
      <c r="A36" s="34" t="s">
        <v>31</v>
      </c>
      <c r="D36" s="355">
        <f>SUM(D16:D35)</f>
        <v>51350693</v>
      </c>
      <c r="E36" s="234">
        <f>SUM(E16:E35)</f>
        <v>4669797.29</v>
      </c>
      <c r="F36" s="234">
        <f>SUM(F16:F35)</f>
        <v>19985215.809999999</v>
      </c>
      <c r="G36" s="234">
        <f>SUM(G16:G35)</f>
        <v>31365477.190000001</v>
      </c>
      <c r="H36" s="44">
        <f>F36/D36</f>
        <v>0.38919077119368184</v>
      </c>
      <c r="I36" s="41">
        <f>I16</f>
        <v>0.33333333333333331</v>
      </c>
    </row>
    <row r="37" spans="1:10">
      <c r="D37" s="232"/>
      <c r="E37" s="232"/>
      <c r="F37" s="232"/>
      <c r="G37" s="232"/>
      <c r="I37" s="40"/>
    </row>
    <row r="38" spans="1:10">
      <c r="B38" s="34" t="s">
        <v>82</v>
      </c>
      <c r="D38" s="232"/>
      <c r="E38" s="232"/>
      <c r="F38" s="232"/>
      <c r="G38" s="232"/>
      <c r="I38" s="45"/>
    </row>
    <row r="39" spans="1:10">
      <c r="A39" s="26">
        <v>7910</v>
      </c>
      <c r="B39" s="27" t="s">
        <v>83</v>
      </c>
      <c r="D39" s="232">
        <v>0</v>
      </c>
      <c r="E39" s="232">
        <v>0</v>
      </c>
      <c r="F39" s="232">
        <v>0</v>
      </c>
      <c r="G39" s="232"/>
      <c r="I39" s="45"/>
    </row>
    <row r="40" spans="1:10">
      <c r="A40" s="26">
        <v>8910</v>
      </c>
      <c r="B40" s="27" t="s">
        <v>84</v>
      </c>
      <c r="D40" s="233">
        <v>0</v>
      </c>
      <c r="E40" s="233">
        <v>0</v>
      </c>
      <c r="F40" s="233">
        <v>0</v>
      </c>
      <c r="G40" s="232"/>
      <c r="I40" s="45" t="s">
        <v>85</v>
      </c>
    </row>
    <row r="41" spans="1:10">
      <c r="A41" s="34" t="s">
        <v>86</v>
      </c>
      <c r="D41" s="232">
        <f>+D39-D40</f>
        <v>0</v>
      </c>
      <c r="E41" s="232">
        <f>+E39-E40</f>
        <v>0</v>
      </c>
      <c r="F41" s="232">
        <f>+F39-F40</f>
        <v>0</v>
      </c>
      <c r="G41" s="232"/>
      <c r="I41" s="45"/>
      <c r="J41" s="46"/>
    </row>
    <row r="42" spans="1:10">
      <c r="D42" s="232"/>
      <c r="E42" s="232"/>
      <c r="F42" s="232"/>
      <c r="G42" s="232"/>
      <c r="I42" s="45"/>
    </row>
    <row r="43" spans="1:10">
      <c r="A43" s="42" t="s">
        <v>87</v>
      </c>
      <c r="B43" s="499" t="s">
        <v>327</v>
      </c>
      <c r="C43" s="235"/>
      <c r="D43" s="514">
        <v>21653740.420000002</v>
      </c>
      <c r="E43" s="233">
        <v>0</v>
      </c>
      <c r="F43" s="233">
        <f>D43</f>
        <v>21653740.420000002</v>
      </c>
      <c r="G43" s="232"/>
      <c r="I43" s="45"/>
    </row>
    <row r="44" spans="1:10">
      <c r="D44" s="232"/>
      <c r="E44" s="232"/>
      <c r="F44" s="232"/>
      <c r="G44" s="232"/>
      <c r="I44" s="45"/>
      <c r="J44" s="46"/>
    </row>
    <row r="45" spans="1:10">
      <c r="A45" s="26">
        <v>3000</v>
      </c>
      <c r="B45" s="360" t="s">
        <v>88</v>
      </c>
      <c r="C45" s="361"/>
      <c r="D45" s="231">
        <f>(D13-D36)+D41+D43</f>
        <v>19814931.420000002</v>
      </c>
      <c r="E45" s="231"/>
      <c r="F45" s="231">
        <f>(F13-F36)+F41+F43</f>
        <v>32946664.970000006</v>
      </c>
      <c r="G45" s="232"/>
      <c r="I45" s="45"/>
    </row>
    <row r="46" spans="1:10">
      <c r="I46" s="45"/>
    </row>
    <row r="47" spans="1:10">
      <c r="D47" s="232"/>
      <c r="I47" s="45"/>
    </row>
    <row r="48" spans="1:10">
      <c r="D48" s="232"/>
      <c r="F48" s="232"/>
      <c r="I48" s="45"/>
    </row>
    <row r="49" spans="1:10" ht="20.25" customHeight="1">
      <c r="A49" s="48"/>
      <c r="B49" s="34"/>
      <c r="I49" s="45"/>
    </row>
    <row r="50" spans="1:10">
      <c r="I50" s="45"/>
    </row>
    <row r="51" spans="1:10" ht="15.75" customHeight="1">
      <c r="A51" s="362"/>
      <c r="B51" s="34"/>
      <c r="I51" s="45"/>
    </row>
    <row r="52" spans="1:10" ht="15.75" customHeight="1">
      <c r="A52" s="34"/>
      <c r="B52" s="34"/>
      <c r="I52" s="45"/>
    </row>
    <row r="54" spans="1:10">
      <c r="A54" s="47"/>
      <c r="B54" s="48"/>
      <c r="C54" s="48"/>
      <c r="D54" s="48"/>
      <c r="E54" s="48"/>
      <c r="F54" s="48"/>
      <c r="G54" s="48"/>
      <c r="H54" s="48"/>
      <c r="I54" s="32"/>
      <c r="J54" s="48"/>
    </row>
    <row r="55" spans="1:10">
      <c r="A55" s="48"/>
      <c r="B55" s="34"/>
      <c r="C55" s="34"/>
      <c r="I55" s="45"/>
    </row>
    <row r="56" spans="1:10">
      <c r="A56" s="48"/>
      <c r="B56" s="34"/>
      <c r="C56" s="34"/>
      <c r="I56" s="45"/>
    </row>
    <row r="57" spans="1:10">
      <c r="A57" s="48"/>
      <c r="B57" s="34"/>
      <c r="C57" s="34"/>
      <c r="I57" s="45"/>
    </row>
    <row r="58" spans="1:10">
      <c r="B58" s="34"/>
      <c r="C58" s="34"/>
      <c r="I58" s="45"/>
    </row>
    <row r="59" spans="1:10">
      <c r="B59" s="34"/>
      <c r="C59" s="34"/>
      <c r="I59" s="45"/>
    </row>
    <row r="60" spans="1:10">
      <c r="B60" s="34"/>
      <c r="C60" s="34"/>
      <c r="I60" s="45"/>
    </row>
    <row r="61" spans="1:10">
      <c r="B61" s="34"/>
      <c r="C61" s="34"/>
      <c r="I61" s="45"/>
    </row>
    <row r="62" spans="1:10">
      <c r="B62" s="34"/>
      <c r="C62" s="34"/>
      <c r="I62" s="45"/>
    </row>
    <row r="63" spans="1:10">
      <c r="I63" s="45"/>
    </row>
    <row r="64" spans="1:10">
      <c r="I64" s="45"/>
    </row>
    <row r="65" spans="9:9">
      <c r="I65" s="45"/>
    </row>
    <row r="66" spans="9:9">
      <c r="I66" s="45"/>
    </row>
    <row r="67" spans="9:9">
      <c r="I67" s="45"/>
    </row>
    <row r="68" spans="9:9">
      <c r="I68" s="45"/>
    </row>
    <row r="69" spans="9:9">
      <c r="I69" s="45"/>
    </row>
    <row r="70" spans="9:9">
      <c r="I70" s="45"/>
    </row>
    <row r="71" spans="9:9">
      <c r="I71" s="45"/>
    </row>
    <row r="72" spans="9:9">
      <c r="I72" s="45"/>
    </row>
    <row r="73" spans="9:9">
      <c r="I73" s="45"/>
    </row>
    <row r="74" spans="9:9">
      <c r="I74" s="45"/>
    </row>
    <row r="75" spans="9:9">
      <c r="I75" s="45"/>
    </row>
    <row r="76" spans="9:9">
      <c r="I76" s="45"/>
    </row>
    <row r="77" spans="9:9">
      <c r="I77" s="45"/>
    </row>
    <row r="78" spans="9:9">
      <c r="I78" s="45"/>
    </row>
    <row r="79" spans="9:9">
      <c r="I79" s="45"/>
    </row>
    <row r="80" spans="9:9">
      <c r="I80" s="45"/>
    </row>
    <row r="81" spans="9:9">
      <c r="I81" s="45"/>
    </row>
    <row r="82" spans="9:9">
      <c r="I82" s="45"/>
    </row>
    <row r="83" spans="9:9">
      <c r="I83" s="45"/>
    </row>
    <row r="84" spans="9:9">
      <c r="I84" s="45"/>
    </row>
    <row r="85" spans="9:9">
      <c r="I85" s="45"/>
    </row>
    <row r="86" spans="9:9">
      <c r="I86" s="45"/>
    </row>
    <row r="87" spans="9:9">
      <c r="I87" s="45"/>
    </row>
    <row r="88" spans="9:9">
      <c r="I88" s="45"/>
    </row>
    <row r="89" spans="9:9">
      <c r="I89" s="45"/>
    </row>
    <row r="90" spans="9:9">
      <c r="I90" s="45"/>
    </row>
    <row r="91" spans="9:9">
      <c r="I91" s="45"/>
    </row>
    <row r="92" spans="9:9">
      <c r="I92" s="45"/>
    </row>
    <row r="93" spans="9:9">
      <c r="I93" s="45"/>
    </row>
    <row r="94" spans="9:9">
      <c r="I94" s="45"/>
    </row>
    <row r="95" spans="9:9">
      <c r="I95" s="45"/>
    </row>
    <row r="96" spans="9:9">
      <c r="I96" s="45"/>
    </row>
    <row r="97" spans="9:9">
      <c r="I97" s="45"/>
    </row>
    <row r="98" spans="9:9">
      <c r="I98" s="45"/>
    </row>
    <row r="99" spans="9:9">
      <c r="I99" s="45"/>
    </row>
    <row r="100" spans="9:9">
      <c r="I100" s="45"/>
    </row>
    <row r="101" spans="9:9">
      <c r="I101" s="45"/>
    </row>
    <row r="102" spans="9:9">
      <c r="I102" s="45"/>
    </row>
    <row r="103" spans="9:9">
      <c r="I103" s="45"/>
    </row>
    <row r="104" spans="9:9">
      <c r="I104" s="45"/>
    </row>
    <row r="105" spans="9:9">
      <c r="I105" s="45"/>
    </row>
    <row r="106" spans="9:9">
      <c r="I106" s="45"/>
    </row>
    <row r="107" spans="9:9">
      <c r="I107" s="45"/>
    </row>
    <row r="108" spans="9:9">
      <c r="I108" s="45"/>
    </row>
    <row r="109" spans="9:9">
      <c r="I109" s="45"/>
    </row>
    <row r="110" spans="9:9">
      <c r="I110" s="45"/>
    </row>
    <row r="111" spans="9:9">
      <c r="I111" s="45"/>
    </row>
    <row r="112" spans="9:9">
      <c r="I112" s="45"/>
    </row>
    <row r="113" spans="9:9">
      <c r="I113" s="45"/>
    </row>
    <row r="114" spans="9:9">
      <c r="I114" s="45"/>
    </row>
    <row r="115" spans="9:9">
      <c r="I115" s="45"/>
    </row>
    <row r="116" spans="9:9">
      <c r="I116" s="45"/>
    </row>
  </sheetData>
  <mergeCells count="5">
    <mergeCell ref="A6:I6"/>
    <mergeCell ref="A1:I1"/>
    <mergeCell ref="A2:I2"/>
    <mergeCell ref="A3:I3"/>
    <mergeCell ref="A5:I5"/>
  </mergeCells>
  <phoneticPr fontId="7" type="noConversion"/>
  <printOptions horizontalCentered="1"/>
  <pageMargins left="0" right="0" top="1" bottom="1" header="0.5" footer="0.5"/>
  <pageSetup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64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I46" sqref="I46"/>
    </sheetView>
  </sheetViews>
  <sheetFormatPr defaultColWidth="9.140625" defaultRowHeight="12.75"/>
  <cols>
    <col min="1" max="1" width="30" style="50" bestFit="1" customWidth="1"/>
    <col min="2" max="2" width="1.7109375" style="50" customWidth="1"/>
    <col min="3" max="3" width="14.140625" style="182" bestFit="1" customWidth="1"/>
    <col min="4" max="4" width="0.85546875" style="253" customWidth="1"/>
    <col min="5" max="5" width="14.140625" style="182" bestFit="1" customWidth="1"/>
    <col min="6" max="6" width="0.85546875" style="253" customWidth="1"/>
    <col min="7" max="7" width="14.140625" style="182" bestFit="1" customWidth="1"/>
    <col min="8" max="8" width="0.85546875" style="253" customWidth="1"/>
    <col min="9" max="9" width="14.140625" style="182" bestFit="1" customWidth="1"/>
    <col min="10" max="10" width="0.85546875" style="253" customWidth="1"/>
    <col min="11" max="11" width="14.140625" style="182" bestFit="1" customWidth="1"/>
    <col min="12" max="12" width="0.85546875" style="253" customWidth="1"/>
    <col min="13" max="13" width="14.7109375" style="182" customWidth="1"/>
    <col min="14" max="14" width="0.85546875" style="253" customWidth="1"/>
    <col min="15" max="15" width="14.140625" style="182" bestFit="1" customWidth="1"/>
    <col min="16" max="16" width="0.85546875" style="253" customWidth="1"/>
    <col min="17" max="17" width="14.140625" style="182" bestFit="1" customWidth="1"/>
    <col min="18" max="18" width="0.85546875" style="253" customWidth="1"/>
    <col min="19" max="19" width="14.140625" style="182" bestFit="1" customWidth="1"/>
    <col min="20" max="20" width="0.85546875" style="253" customWidth="1"/>
    <col min="21" max="21" width="14.140625" style="182" customWidth="1"/>
    <col min="22" max="22" width="0.85546875" style="253" customWidth="1"/>
    <col min="23" max="23" width="14.140625" style="182" customWidth="1"/>
    <col min="24" max="24" width="0.85546875" style="253" customWidth="1"/>
    <col min="25" max="25" width="14.140625" style="182" customWidth="1"/>
    <col min="26" max="26" width="0.140625" style="182" hidden="1" customWidth="1"/>
    <col min="27" max="27" width="0.85546875" style="253" customWidth="1"/>
    <col min="28" max="28" width="15" style="182" customWidth="1"/>
    <col min="29" max="16384" width="9.140625" style="50"/>
  </cols>
  <sheetData>
    <row r="1" spans="1:28" s="52" customFormat="1" ht="15.75">
      <c r="A1" s="260"/>
      <c r="B1" s="53"/>
      <c r="C1" s="242"/>
      <c r="D1" s="266"/>
      <c r="E1" s="242"/>
      <c r="F1" s="266"/>
      <c r="G1" s="242"/>
      <c r="H1" s="266"/>
      <c r="I1" s="242"/>
      <c r="J1" s="267"/>
      <c r="K1" s="243"/>
      <c r="L1" s="267"/>
      <c r="M1" s="244" t="s">
        <v>235</v>
      </c>
      <c r="N1" s="266"/>
      <c r="O1" s="242"/>
      <c r="P1" s="266"/>
      <c r="Q1" s="242"/>
      <c r="R1" s="266"/>
      <c r="S1" s="242"/>
      <c r="T1" s="266"/>
      <c r="U1" s="242"/>
      <c r="V1" s="266"/>
      <c r="W1" s="242"/>
      <c r="X1" s="266"/>
      <c r="Y1" s="242"/>
      <c r="Z1" s="249"/>
      <c r="AA1" s="263"/>
      <c r="AB1" s="242"/>
    </row>
    <row r="2" spans="1:28" s="52" customFormat="1" ht="15.75">
      <c r="B2" s="53"/>
      <c r="C2" s="242"/>
      <c r="D2" s="266"/>
      <c r="E2" s="242"/>
      <c r="F2" s="266"/>
      <c r="G2" s="242"/>
      <c r="H2" s="266"/>
      <c r="I2" s="242"/>
      <c r="J2" s="267"/>
      <c r="K2" s="243"/>
      <c r="L2" s="267"/>
      <c r="M2" s="244" t="s">
        <v>250</v>
      </c>
      <c r="N2" s="266"/>
      <c r="O2" s="242"/>
      <c r="P2" s="266"/>
      <c r="Q2" s="242"/>
      <c r="R2" s="266"/>
      <c r="S2" s="242"/>
      <c r="T2" s="266"/>
      <c r="U2" s="242"/>
      <c r="V2" s="266"/>
      <c r="W2" s="242"/>
      <c r="X2" s="266"/>
      <c r="Y2" s="242"/>
      <c r="Z2" s="249"/>
      <c r="AA2" s="263"/>
      <c r="AB2" s="242"/>
    </row>
    <row r="3" spans="1:28" s="52" customFormat="1" ht="15.75">
      <c r="B3" s="53"/>
      <c r="C3" s="242"/>
      <c r="D3" s="266"/>
      <c r="E3" s="242"/>
      <c r="F3" s="266"/>
      <c r="G3" s="242"/>
      <c r="H3" s="266"/>
      <c r="I3" s="242"/>
      <c r="J3" s="267"/>
      <c r="K3" s="243"/>
      <c r="L3" s="267"/>
      <c r="M3" s="443" t="s">
        <v>320</v>
      </c>
      <c r="N3" s="266"/>
      <c r="O3" s="242"/>
      <c r="P3" s="266"/>
      <c r="Q3" s="242"/>
      <c r="R3" s="266"/>
      <c r="S3" s="242"/>
      <c r="T3" s="266"/>
      <c r="U3" s="242"/>
      <c r="V3" s="266"/>
      <c r="W3" s="242"/>
      <c r="X3" s="266"/>
      <c r="Y3" s="242"/>
      <c r="Z3" s="249"/>
      <c r="AA3" s="263"/>
      <c r="AB3" s="242"/>
    </row>
    <row r="4" spans="1:28">
      <c r="B4" s="49"/>
      <c r="D4" s="261"/>
      <c r="F4" s="261"/>
      <c r="H4" s="261"/>
      <c r="J4" s="261"/>
      <c r="L4" s="261"/>
      <c r="N4" s="261"/>
      <c r="P4" s="261"/>
      <c r="R4" s="261"/>
      <c r="T4" s="261"/>
      <c r="V4" s="261"/>
      <c r="X4" s="261"/>
      <c r="Z4" s="183"/>
    </row>
    <row r="5" spans="1:28">
      <c r="B5" s="49"/>
      <c r="C5" s="241" t="s">
        <v>89</v>
      </c>
      <c r="D5" s="261"/>
      <c r="E5" s="241" t="s">
        <v>90</v>
      </c>
      <c r="F5" s="261"/>
      <c r="G5" s="241" t="s">
        <v>91</v>
      </c>
      <c r="H5" s="261"/>
      <c r="I5" s="241" t="s">
        <v>92</v>
      </c>
      <c r="J5" s="261"/>
      <c r="K5" s="241" t="s">
        <v>93</v>
      </c>
      <c r="L5" s="261"/>
      <c r="M5" s="241" t="s">
        <v>94</v>
      </c>
      <c r="N5" s="261"/>
      <c r="O5" s="241" t="s">
        <v>95</v>
      </c>
      <c r="P5" s="261"/>
      <c r="Q5" s="241" t="s">
        <v>96</v>
      </c>
      <c r="R5" s="261"/>
      <c r="S5" s="241" t="s">
        <v>97</v>
      </c>
      <c r="T5" s="261"/>
      <c r="U5" s="241" t="s">
        <v>98</v>
      </c>
      <c r="V5" s="261"/>
      <c r="W5" s="241" t="s">
        <v>99</v>
      </c>
      <c r="X5" s="261"/>
      <c r="Y5" s="241" t="s">
        <v>100</v>
      </c>
      <c r="Z5" s="183"/>
      <c r="AA5" s="264"/>
      <c r="AB5" s="241" t="s">
        <v>47</v>
      </c>
    </row>
    <row r="6" spans="1:28">
      <c r="B6" s="49"/>
      <c r="C6" s="245" t="s">
        <v>101</v>
      </c>
      <c r="D6" s="261"/>
      <c r="E6" s="245" t="s">
        <v>101</v>
      </c>
      <c r="F6" s="261"/>
      <c r="G6" s="245" t="s">
        <v>101</v>
      </c>
      <c r="H6" s="261"/>
      <c r="I6" s="245" t="s">
        <v>101</v>
      </c>
      <c r="J6" s="261"/>
      <c r="K6" s="245" t="s">
        <v>101</v>
      </c>
      <c r="L6" s="261"/>
      <c r="M6" s="245" t="s">
        <v>101</v>
      </c>
      <c r="N6" s="261"/>
      <c r="O6" s="245" t="s">
        <v>101</v>
      </c>
      <c r="P6" s="261"/>
      <c r="Q6" s="245" t="s">
        <v>101</v>
      </c>
      <c r="R6" s="261"/>
      <c r="S6" s="245" t="s">
        <v>101</v>
      </c>
      <c r="T6" s="261"/>
      <c r="U6" s="245" t="s">
        <v>101</v>
      </c>
      <c r="V6" s="261"/>
      <c r="W6" s="245" t="s">
        <v>101</v>
      </c>
      <c r="X6" s="261"/>
      <c r="Y6" s="245" t="s">
        <v>101</v>
      </c>
      <c r="Z6" s="183"/>
      <c r="AB6" s="246"/>
    </row>
    <row r="7" spans="1:28">
      <c r="A7" s="51" t="s">
        <v>102</v>
      </c>
      <c r="B7" s="49"/>
      <c r="C7" s="247">
        <v>15292402.579999991</v>
      </c>
      <c r="D7" s="261"/>
      <c r="E7" s="247">
        <f>+C43</f>
        <v>17659566.719999991</v>
      </c>
      <c r="F7" s="261"/>
      <c r="G7" s="247">
        <f>+E43</f>
        <v>16415745.789999992</v>
      </c>
      <c r="H7" s="261"/>
      <c r="I7" s="247">
        <f>+G43</f>
        <v>16548094.269999992</v>
      </c>
      <c r="J7" s="261"/>
      <c r="K7" s="247">
        <v>0</v>
      </c>
      <c r="L7" s="261"/>
      <c r="M7" s="247">
        <f>+K43</f>
        <v>0</v>
      </c>
      <c r="N7" s="261"/>
      <c r="O7" s="247">
        <f>+M43</f>
        <v>0</v>
      </c>
      <c r="P7" s="261"/>
      <c r="Q7" s="247">
        <f>+O43</f>
        <v>0</v>
      </c>
      <c r="R7" s="261"/>
      <c r="S7" s="247">
        <f>+Q43</f>
        <v>0</v>
      </c>
      <c r="T7" s="261"/>
      <c r="U7" s="247">
        <f>+S43</f>
        <v>0</v>
      </c>
      <c r="V7" s="261"/>
      <c r="W7" s="247">
        <f>+U43</f>
        <v>0</v>
      </c>
      <c r="X7" s="261"/>
      <c r="Y7" s="247">
        <f>+W43</f>
        <v>0</v>
      </c>
      <c r="Z7" s="183"/>
      <c r="AB7" s="248">
        <f>+C7</f>
        <v>15292402.579999991</v>
      </c>
    </row>
    <row r="8" spans="1:28">
      <c r="B8" s="49"/>
      <c r="D8" s="261"/>
      <c r="F8" s="261"/>
      <c r="H8" s="261"/>
      <c r="J8" s="261"/>
      <c r="L8" s="261"/>
      <c r="N8" s="261"/>
      <c r="P8" s="261"/>
      <c r="R8" s="261"/>
      <c r="T8" s="261"/>
      <c r="V8" s="261"/>
      <c r="X8" s="261"/>
      <c r="Z8" s="183"/>
      <c r="AB8" s="248"/>
    </row>
    <row r="9" spans="1:28">
      <c r="A9" s="52" t="s">
        <v>103</v>
      </c>
      <c r="B9" s="53"/>
      <c r="D9" s="266"/>
      <c r="F9" s="266"/>
      <c r="H9" s="266"/>
      <c r="J9" s="266"/>
      <c r="L9" s="266"/>
      <c r="N9" s="266"/>
      <c r="P9" s="266"/>
      <c r="R9" s="266"/>
      <c r="T9" s="266"/>
      <c r="V9" s="266"/>
      <c r="X9" s="266"/>
      <c r="Z9" s="249"/>
      <c r="AB9" s="248"/>
    </row>
    <row r="10" spans="1:28">
      <c r="A10" s="50" t="s">
        <v>104</v>
      </c>
      <c r="B10" s="49"/>
      <c r="C10" s="182">
        <v>15114.29</v>
      </c>
      <c r="D10" s="261"/>
      <c r="E10" s="250">
        <v>432947.97</v>
      </c>
      <c r="F10" s="261"/>
      <c r="G10" s="182">
        <v>1128990.2</v>
      </c>
      <c r="H10" s="261"/>
      <c r="I10" s="182">
        <v>13614100.23</v>
      </c>
      <c r="J10" s="261"/>
      <c r="K10" s="182">
        <v>0</v>
      </c>
      <c r="L10" s="261"/>
      <c r="M10" s="182">
        <v>0</v>
      </c>
      <c r="N10" s="261"/>
      <c r="O10" s="182">
        <v>0</v>
      </c>
      <c r="P10" s="261"/>
      <c r="Q10" s="182">
        <v>0</v>
      </c>
      <c r="R10" s="261"/>
      <c r="S10" s="182">
        <v>0</v>
      </c>
      <c r="T10" s="261"/>
      <c r="U10" s="182">
        <v>0</v>
      </c>
      <c r="V10" s="261"/>
      <c r="W10" s="182">
        <v>0</v>
      </c>
      <c r="X10" s="261"/>
      <c r="Y10" s="182">
        <v>0</v>
      </c>
      <c r="Z10" s="183"/>
      <c r="AB10" s="248">
        <f>SUM(C10:Y10)</f>
        <v>15191152.690000001</v>
      </c>
    </row>
    <row r="11" spans="1:28">
      <c r="A11" s="50" t="s">
        <v>105</v>
      </c>
      <c r="B11" s="49"/>
      <c r="C11" s="251">
        <v>3792.03</v>
      </c>
      <c r="D11" s="261"/>
      <c r="E11" s="182">
        <v>4022.02</v>
      </c>
      <c r="F11" s="261"/>
      <c r="G11" s="182">
        <v>3927.35</v>
      </c>
      <c r="H11" s="261"/>
      <c r="I11" s="182">
        <v>3991.02</v>
      </c>
      <c r="J11" s="261"/>
      <c r="K11" s="182">
        <v>0</v>
      </c>
      <c r="L11" s="261"/>
      <c r="M11" s="182">
        <v>0</v>
      </c>
      <c r="N11" s="261"/>
      <c r="O11" s="182">
        <v>0</v>
      </c>
      <c r="P11" s="261"/>
      <c r="Q11" s="182">
        <v>0</v>
      </c>
      <c r="R11" s="261"/>
      <c r="S11" s="182">
        <v>0</v>
      </c>
      <c r="T11" s="261"/>
      <c r="U11" s="182">
        <v>0</v>
      </c>
      <c r="V11" s="261"/>
      <c r="W11" s="182">
        <v>0</v>
      </c>
      <c r="X11" s="261"/>
      <c r="Y11" s="182">
        <v>0</v>
      </c>
      <c r="Z11" s="183"/>
      <c r="AB11" s="248">
        <f t="shared" ref="AB11:AB25" si="0">SUM(C11:Y11)</f>
        <v>15732.42</v>
      </c>
    </row>
    <row r="12" spans="1:28">
      <c r="A12" s="50" t="s">
        <v>106</v>
      </c>
      <c r="B12" s="49"/>
      <c r="C12" s="252">
        <v>293780.19999999995</v>
      </c>
      <c r="D12" s="261"/>
      <c r="E12" s="252">
        <v>274476.18</v>
      </c>
      <c r="F12" s="261"/>
      <c r="G12" s="182">
        <v>111049.9</v>
      </c>
      <c r="H12" s="261"/>
      <c r="I12" s="182">
        <v>100653.35</v>
      </c>
      <c r="J12" s="261"/>
      <c r="K12" s="251">
        <v>0</v>
      </c>
      <c r="L12" s="261"/>
      <c r="M12" s="252">
        <v>0</v>
      </c>
      <c r="N12" s="261"/>
      <c r="O12" s="182">
        <v>0</v>
      </c>
      <c r="P12" s="261"/>
      <c r="Q12" s="182">
        <v>0</v>
      </c>
      <c r="R12" s="261"/>
      <c r="S12" s="182">
        <v>0</v>
      </c>
      <c r="T12" s="261"/>
      <c r="U12" s="182">
        <v>0</v>
      </c>
      <c r="V12" s="261"/>
      <c r="W12" s="182">
        <v>0</v>
      </c>
      <c r="X12" s="261"/>
      <c r="Y12" s="182">
        <v>0</v>
      </c>
      <c r="Z12" s="183"/>
      <c r="AB12" s="248">
        <f t="shared" si="0"/>
        <v>779959.62999999989</v>
      </c>
    </row>
    <row r="13" spans="1:28">
      <c r="A13" s="50" t="s">
        <v>107</v>
      </c>
      <c r="B13" s="49"/>
      <c r="C13" s="182">
        <v>0</v>
      </c>
      <c r="D13" s="261"/>
      <c r="E13" s="182">
        <v>0</v>
      </c>
      <c r="F13" s="261"/>
      <c r="G13" s="182">
        <v>8046</v>
      </c>
      <c r="H13" s="261"/>
      <c r="I13" s="182">
        <v>185006</v>
      </c>
      <c r="J13" s="261"/>
      <c r="K13" s="182">
        <v>0</v>
      </c>
      <c r="L13" s="261"/>
      <c r="M13" s="182">
        <v>0</v>
      </c>
      <c r="N13" s="261"/>
      <c r="O13" s="182">
        <v>0</v>
      </c>
      <c r="P13" s="261"/>
      <c r="Q13" s="182">
        <v>0</v>
      </c>
      <c r="R13" s="261"/>
      <c r="S13" s="182">
        <v>0</v>
      </c>
      <c r="T13" s="261"/>
      <c r="U13" s="182">
        <v>0</v>
      </c>
      <c r="V13" s="261"/>
      <c r="W13" s="182">
        <v>0</v>
      </c>
      <c r="X13" s="261"/>
      <c r="Y13" s="182">
        <v>0</v>
      </c>
      <c r="Z13" s="183"/>
      <c r="AB13" s="248">
        <f t="shared" si="0"/>
        <v>193052</v>
      </c>
    </row>
    <row r="14" spans="1:28">
      <c r="A14" s="50" t="s">
        <v>108</v>
      </c>
      <c r="B14" s="49"/>
      <c r="C14" s="182">
        <v>4966299</v>
      </c>
      <c r="E14" s="182">
        <v>4069212</v>
      </c>
      <c r="F14" s="261"/>
      <c r="G14" s="182">
        <v>2140369</v>
      </c>
      <c r="H14" s="261"/>
      <c r="I14" s="182">
        <v>0</v>
      </c>
      <c r="J14" s="261"/>
      <c r="K14" s="182">
        <v>0</v>
      </c>
      <c r="L14" s="261"/>
      <c r="M14" s="182">
        <v>0</v>
      </c>
      <c r="N14" s="261"/>
      <c r="O14" s="182">
        <v>0</v>
      </c>
      <c r="P14" s="261"/>
      <c r="Q14" s="182">
        <v>0</v>
      </c>
      <c r="R14" s="261"/>
      <c r="S14" s="182">
        <v>0</v>
      </c>
      <c r="T14" s="261"/>
      <c r="U14" s="182">
        <v>0</v>
      </c>
      <c r="V14" s="261"/>
      <c r="W14" s="182">
        <v>0</v>
      </c>
      <c r="X14" s="261"/>
      <c r="Y14" s="182">
        <v>0</v>
      </c>
      <c r="Z14" s="183"/>
      <c r="AB14" s="248">
        <f t="shared" si="0"/>
        <v>11175880</v>
      </c>
    </row>
    <row r="15" spans="1:28">
      <c r="A15" s="50" t="s">
        <v>109</v>
      </c>
      <c r="B15" s="49"/>
      <c r="C15" s="182">
        <v>0</v>
      </c>
      <c r="E15" s="182">
        <v>0</v>
      </c>
      <c r="F15" s="261"/>
      <c r="G15" s="182">
        <v>877199</v>
      </c>
      <c r="H15" s="261"/>
      <c r="I15" s="182">
        <v>0</v>
      </c>
      <c r="J15" s="261"/>
      <c r="K15" s="182">
        <v>0</v>
      </c>
      <c r="L15" s="261"/>
      <c r="M15" s="252">
        <v>0</v>
      </c>
      <c r="N15" s="261"/>
      <c r="O15" s="182">
        <v>0</v>
      </c>
      <c r="P15" s="261"/>
      <c r="Q15" s="182">
        <v>0</v>
      </c>
      <c r="R15" s="261"/>
      <c r="S15" s="182">
        <v>0</v>
      </c>
      <c r="T15" s="261"/>
      <c r="U15" s="182">
        <v>0</v>
      </c>
      <c r="V15" s="261"/>
      <c r="W15" s="182">
        <v>0</v>
      </c>
      <c r="X15" s="261"/>
      <c r="Y15" s="182">
        <v>0</v>
      </c>
      <c r="Z15" s="183"/>
      <c r="AB15" s="248">
        <f t="shared" si="0"/>
        <v>877199</v>
      </c>
    </row>
    <row r="16" spans="1:28">
      <c r="A16" s="50" t="s">
        <v>110</v>
      </c>
      <c r="B16" s="49"/>
      <c r="C16" s="182">
        <v>0</v>
      </c>
      <c r="E16" s="252">
        <v>218125.12</v>
      </c>
      <c r="F16" s="261"/>
      <c r="G16" s="182">
        <v>16972.63</v>
      </c>
      <c r="H16" s="261"/>
      <c r="I16" s="182">
        <v>0</v>
      </c>
      <c r="J16" s="261"/>
      <c r="K16" s="182">
        <v>0</v>
      </c>
      <c r="L16" s="261"/>
      <c r="M16" s="182">
        <v>0</v>
      </c>
      <c r="N16" s="261"/>
      <c r="O16" s="182">
        <v>0</v>
      </c>
      <c r="P16" s="261"/>
      <c r="Q16" s="182">
        <v>0</v>
      </c>
      <c r="R16" s="261"/>
      <c r="S16" s="182">
        <v>0</v>
      </c>
      <c r="T16" s="261"/>
      <c r="U16" s="182">
        <v>0</v>
      </c>
      <c r="V16" s="261"/>
      <c r="W16" s="182">
        <v>0</v>
      </c>
      <c r="X16" s="261"/>
      <c r="Y16" s="182">
        <v>0</v>
      </c>
      <c r="Z16" s="183"/>
      <c r="AB16" s="248">
        <f t="shared" si="0"/>
        <v>235097.75</v>
      </c>
    </row>
    <row r="17" spans="1:28">
      <c r="A17" s="50" t="s">
        <v>111</v>
      </c>
      <c r="B17" s="49"/>
      <c r="C17" s="182">
        <v>3330.24</v>
      </c>
      <c r="D17" s="261"/>
      <c r="E17" s="182">
        <v>33370.769999999997</v>
      </c>
      <c r="F17" s="261"/>
      <c r="G17" s="182">
        <v>22046.87</v>
      </c>
      <c r="H17" s="261"/>
      <c r="I17" s="182">
        <v>19449.560000000001</v>
      </c>
      <c r="J17" s="261"/>
      <c r="K17" s="182">
        <v>0</v>
      </c>
      <c r="L17" s="261"/>
      <c r="M17" s="253">
        <v>0</v>
      </c>
      <c r="N17" s="261"/>
      <c r="O17" s="182">
        <v>0</v>
      </c>
      <c r="P17" s="261"/>
      <c r="Q17" s="182">
        <v>0</v>
      </c>
      <c r="R17" s="261"/>
      <c r="S17" s="182">
        <v>0</v>
      </c>
      <c r="T17" s="261"/>
      <c r="U17" s="250">
        <v>0</v>
      </c>
      <c r="V17" s="261"/>
      <c r="W17" s="182">
        <v>0</v>
      </c>
      <c r="X17" s="261"/>
      <c r="Y17" s="182">
        <v>0</v>
      </c>
      <c r="Z17" s="183"/>
      <c r="AB17" s="248">
        <f t="shared" si="0"/>
        <v>78197.439999999988</v>
      </c>
    </row>
    <row r="18" spans="1:28">
      <c r="A18" s="50" t="s">
        <v>112</v>
      </c>
      <c r="B18" s="49"/>
      <c r="C18" s="182">
        <v>130376</v>
      </c>
      <c r="D18" s="261"/>
      <c r="E18" s="182">
        <v>144982.06</v>
      </c>
      <c r="F18" s="261"/>
      <c r="G18" s="182">
        <v>236544.01</v>
      </c>
      <c r="H18" s="261"/>
      <c r="I18" s="182">
        <v>107554.55</v>
      </c>
      <c r="J18" s="261"/>
      <c r="K18" s="251">
        <v>0</v>
      </c>
      <c r="L18" s="261"/>
      <c r="M18" s="182">
        <v>0</v>
      </c>
      <c r="N18" s="261"/>
      <c r="O18" s="182">
        <v>0</v>
      </c>
      <c r="P18" s="261"/>
      <c r="Q18" s="182">
        <v>0</v>
      </c>
      <c r="R18" s="261"/>
      <c r="S18" s="182">
        <v>0</v>
      </c>
      <c r="T18" s="261"/>
      <c r="U18" s="250">
        <v>0</v>
      </c>
      <c r="V18" s="261"/>
      <c r="W18" s="182">
        <v>0</v>
      </c>
      <c r="X18" s="261"/>
      <c r="Y18" s="182">
        <v>0</v>
      </c>
      <c r="Z18" s="183"/>
      <c r="AB18" s="248">
        <f t="shared" si="0"/>
        <v>619456.62</v>
      </c>
    </row>
    <row r="19" spans="1:28">
      <c r="A19" s="50" t="s">
        <v>113</v>
      </c>
      <c r="B19" s="49"/>
      <c r="C19" s="182">
        <v>48828.490000000005</v>
      </c>
      <c r="D19" s="261"/>
      <c r="E19" s="182">
        <v>219797.91</v>
      </c>
      <c r="F19" s="261"/>
      <c r="G19" s="182">
        <v>217550.33</v>
      </c>
      <c r="H19" s="261"/>
      <c r="I19" s="182">
        <v>153448.43</v>
      </c>
      <c r="J19" s="261"/>
      <c r="K19" s="182">
        <v>0</v>
      </c>
      <c r="L19" s="261"/>
      <c r="M19" s="182">
        <v>0</v>
      </c>
      <c r="N19" s="261"/>
      <c r="O19" s="182">
        <v>0</v>
      </c>
      <c r="P19" s="261"/>
      <c r="Q19" s="182">
        <v>0</v>
      </c>
      <c r="R19" s="261"/>
      <c r="S19" s="182">
        <v>0</v>
      </c>
      <c r="T19" s="261"/>
      <c r="U19" s="182">
        <v>0</v>
      </c>
      <c r="V19" s="261"/>
      <c r="W19" s="182">
        <v>0</v>
      </c>
      <c r="X19" s="261"/>
      <c r="Y19" s="182">
        <v>0</v>
      </c>
      <c r="Z19" s="183"/>
      <c r="AB19" s="248">
        <f t="shared" si="0"/>
        <v>639625.15999999992</v>
      </c>
    </row>
    <row r="20" spans="1:28">
      <c r="A20" s="50" t="s">
        <v>114</v>
      </c>
      <c r="B20" s="49"/>
      <c r="C20" s="182">
        <v>144672.97</v>
      </c>
      <c r="D20" s="261"/>
      <c r="E20" s="250">
        <v>164754.94</v>
      </c>
      <c r="F20" s="261"/>
      <c r="G20" s="182">
        <v>123867.38</v>
      </c>
      <c r="H20" s="261"/>
      <c r="I20" s="182">
        <v>99043.81</v>
      </c>
      <c r="J20" s="261"/>
      <c r="K20" s="182">
        <v>0</v>
      </c>
      <c r="L20" s="261"/>
      <c r="M20" s="252">
        <v>0</v>
      </c>
      <c r="N20" s="261"/>
      <c r="O20" s="182">
        <v>0</v>
      </c>
      <c r="P20" s="261"/>
      <c r="Q20" s="182">
        <v>0</v>
      </c>
      <c r="R20" s="261"/>
      <c r="S20" s="182">
        <v>0</v>
      </c>
      <c r="T20" s="261"/>
      <c r="U20" s="182">
        <v>0</v>
      </c>
      <c r="V20" s="261"/>
      <c r="W20" s="182">
        <v>0</v>
      </c>
      <c r="X20" s="261"/>
      <c r="Y20" s="182">
        <v>0</v>
      </c>
      <c r="Z20" s="183"/>
      <c r="AB20" s="248">
        <f t="shared" si="0"/>
        <v>532339.10000000009</v>
      </c>
    </row>
    <row r="21" spans="1:28">
      <c r="A21" s="240" t="s">
        <v>249</v>
      </c>
      <c r="B21" s="49"/>
      <c r="C21" s="182">
        <v>1200.6300000000001</v>
      </c>
      <c r="D21" s="261"/>
      <c r="E21" s="250">
        <v>310.95999999999998</v>
      </c>
      <c r="F21" s="261"/>
      <c r="G21" s="182">
        <v>1.25</v>
      </c>
      <c r="H21" s="261"/>
      <c r="I21" s="182">
        <v>1182.6199999999999</v>
      </c>
      <c r="J21" s="261"/>
      <c r="K21" s="182">
        <v>0</v>
      </c>
      <c r="L21" s="261"/>
      <c r="M21" s="252">
        <v>0</v>
      </c>
      <c r="N21" s="261"/>
      <c r="O21" s="182">
        <v>0</v>
      </c>
      <c r="P21" s="261"/>
      <c r="Q21" s="182">
        <v>0</v>
      </c>
      <c r="R21" s="261"/>
      <c r="S21" s="182">
        <v>0</v>
      </c>
      <c r="T21" s="261"/>
      <c r="U21" s="182">
        <v>0</v>
      </c>
      <c r="V21" s="261"/>
      <c r="W21" s="182">
        <v>0</v>
      </c>
      <c r="X21" s="261"/>
      <c r="Y21" s="182">
        <v>0</v>
      </c>
      <c r="Z21" s="183"/>
      <c r="AB21" s="248">
        <f t="shared" si="0"/>
        <v>2695.46</v>
      </c>
    </row>
    <row r="22" spans="1:28">
      <c r="A22" s="240" t="s">
        <v>313</v>
      </c>
      <c r="B22" s="49"/>
      <c r="C22" s="182">
        <v>0</v>
      </c>
      <c r="D22" s="261"/>
      <c r="E22" s="250">
        <v>0</v>
      </c>
      <c r="F22" s="261"/>
      <c r="G22" s="182">
        <v>0</v>
      </c>
      <c r="H22" s="261"/>
      <c r="I22" s="182">
        <v>0</v>
      </c>
      <c r="J22" s="261"/>
      <c r="K22" s="182">
        <v>0</v>
      </c>
      <c r="L22" s="261"/>
      <c r="M22" s="252">
        <v>0</v>
      </c>
      <c r="N22" s="261"/>
      <c r="O22" s="182">
        <v>0</v>
      </c>
      <c r="P22" s="261"/>
      <c r="Q22" s="182">
        <v>0</v>
      </c>
      <c r="R22" s="261"/>
      <c r="S22" s="182">
        <v>0</v>
      </c>
      <c r="T22" s="261"/>
      <c r="U22" s="182">
        <v>0</v>
      </c>
      <c r="V22" s="261"/>
      <c r="W22" s="182">
        <v>0</v>
      </c>
      <c r="X22" s="261"/>
      <c r="Y22" s="182">
        <v>0</v>
      </c>
      <c r="Z22" s="183"/>
      <c r="AB22" s="248">
        <f t="shared" si="0"/>
        <v>0</v>
      </c>
    </row>
    <row r="23" spans="1:28">
      <c r="A23" s="240" t="s">
        <v>304</v>
      </c>
      <c r="B23" s="49"/>
      <c r="C23" s="182">
        <v>2543</v>
      </c>
      <c r="D23" s="261"/>
      <c r="E23" s="250">
        <v>0</v>
      </c>
      <c r="F23" s="261"/>
      <c r="G23" s="182">
        <v>2410</v>
      </c>
      <c r="H23" s="261"/>
      <c r="I23" s="182">
        <v>0</v>
      </c>
      <c r="J23" s="261"/>
      <c r="K23" s="182">
        <v>0</v>
      </c>
      <c r="L23" s="261"/>
      <c r="M23" s="252">
        <v>0</v>
      </c>
      <c r="N23" s="261"/>
      <c r="O23" s="182">
        <v>0</v>
      </c>
      <c r="P23" s="261"/>
      <c r="Q23" s="182">
        <v>0</v>
      </c>
      <c r="R23" s="261"/>
      <c r="S23" s="182">
        <v>0</v>
      </c>
      <c r="T23" s="261"/>
      <c r="U23" s="182">
        <v>0</v>
      </c>
      <c r="V23" s="261"/>
      <c r="W23" s="182">
        <v>0</v>
      </c>
      <c r="X23" s="261"/>
      <c r="Y23" s="182">
        <v>0</v>
      </c>
      <c r="Z23" s="183"/>
      <c r="AB23" s="248">
        <f t="shared" si="0"/>
        <v>4953</v>
      </c>
    </row>
    <row r="24" spans="1:28">
      <c r="A24" s="50" t="s">
        <v>115</v>
      </c>
      <c r="B24" s="49"/>
      <c r="C24" s="246">
        <v>2635963.4300000002</v>
      </c>
      <c r="D24" s="261"/>
      <c r="E24" s="246">
        <v>0</v>
      </c>
      <c r="F24" s="261"/>
      <c r="G24" s="246">
        <v>0</v>
      </c>
      <c r="H24" s="261"/>
      <c r="I24" s="246">
        <v>0</v>
      </c>
      <c r="J24" s="261"/>
      <c r="K24" s="246">
        <v>0</v>
      </c>
      <c r="L24" s="261"/>
      <c r="M24" s="246">
        <v>0</v>
      </c>
      <c r="N24" s="261"/>
      <c r="O24" s="246">
        <v>0</v>
      </c>
      <c r="P24" s="261"/>
      <c r="Q24" s="246">
        <v>0</v>
      </c>
      <c r="R24" s="261"/>
      <c r="S24" s="246">
        <v>0</v>
      </c>
      <c r="T24" s="261"/>
      <c r="U24" s="246">
        <v>0</v>
      </c>
      <c r="V24" s="261"/>
      <c r="W24" s="246">
        <v>0</v>
      </c>
      <c r="X24" s="261"/>
      <c r="Y24" s="246">
        <v>0</v>
      </c>
      <c r="Z24" s="183"/>
      <c r="AB24" s="254">
        <f t="shared" si="0"/>
        <v>2635963.4300000002</v>
      </c>
    </row>
    <row r="25" spans="1:28">
      <c r="A25" s="50" t="s">
        <v>116</v>
      </c>
      <c r="B25" s="49"/>
      <c r="C25" s="247">
        <f>SUM(C10:C24)</f>
        <v>8245900.2799999993</v>
      </c>
      <c r="D25" s="261"/>
      <c r="E25" s="247">
        <f>SUM(E10:E24)</f>
        <v>5561999.9299999997</v>
      </c>
      <c r="F25" s="261"/>
      <c r="G25" s="247">
        <f>SUM(G10:G24)</f>
        <v>4888973.92</v>
      </c>
      <c r="H25" s="261"/>
      <c r="I25" s="247">
        <f>SUM(I10:I24)</f>
        <v>14284429.57</v>
      </c>
      <c r="J25" s="261"/>
      <c r="K25" s="247">
        <f>SUM(K10:K24)</f>
        <v>0</v>
      </c>
      <c r="L25" s="261"/>
      <c r="M25" s="247">
        <f>SUM(M10:M24)</f>
        <v>0</v>
      </c>
      <c r="N25" s="261"/>
      <c r="O25" s="247">
        <f>SUM(O10:O24)</f>
        <v>0</v>
      </c>
      <c r="P25" s="261"/>
      <c r="Q25" s="247">
        <f>SUM(Q10:Q24)</f>
        <v>0</v>
      </c>
      <c r="R25" s="261"/>
      <c r="S25" s="247">
        <f>SUM(S10:S24)</f>
        <v>0</v>
      </c>
      <c r="T25" s="261"/>
      <c r="U25" s="247">
        <f>SUM(U10:U24)</f>
        <v>0</v>
      </c>
      <c r="V25" s="261"/>
      <c r="W25" s="247">
        <f>SUM(W10:W24)</f>
        <v>0</v>
      </c>
      <c r="X25" s="261"/>
      <c r="Y25" s="247">
        <f>SUM(Y10:Y24)</f>
        <v>0</v>
      </c>
      <c r="Z25" s="183"/>
      <c r="AB25" s="182">
        <f t="shared" si="0"/>
        <v>32981303.699999999</v>
      </c>
    </row>
    <row r="26" spans="1:28">
      <c r="B26" s="49"/>
      <c r="D26" s="261"/>
      <c r="F26" s="261"/>
      <c r="H26" s="261"/>
      <c r="J26" s="261"/>
      <c r="L26" s="261"/>
      <c r="N26" s="261"/>
      <c r="P26" s="261"/>
      <c r="R26" s="261"/>
      <c r="T26" s="261"/>
      <c r="V26" s="261"/>
      <c r="X26" s="261"/>
      <c r="Z26" s="183"/>
    </row>
    <row r="27" spans="1:28">
      <c r="A27" s="52" t="s">
        <v>117</v>
      </c>
      <c r="B27" s="49"/>
      <c r="D27" s="261"/>
      <c r="F27" s="261"/>
      <c r="H27" s="261"/>
      <c r="J27" s="261"/>
      <c r="L27" s="261"/>
      <c r="N27" s="261"/>
      <c r="P27" s="261"/>
      <c r="R27" s="261"/>
      <c r="T27" s="261"/>
      <c r="V27" s="261"/>
      <c r="X27" s="261"/>
      <c r="Z27" s="183"/>
    </row>
    <row r="28" spans="1:28">
      <c r="A28" s="50" t="s">
        <v>118</v>
      </c>
      <c r="B28" s="49"/>
      <c r="C28" s="182">
        <v>2254432.5</v>
      </c>
      <c r="D28" s="261"/>
      <c r="E28" s="250">
        <v>2344372.96</v>
      </c>
      <c r="F28" s="261"/>
      <c r="G28" s="250">
        <v>2377809.86</v>
      </c>
      <c r="H28" s="261"/>
      <c r="I28" s="250">
        <v>2361824.96</v>
      </c>
      <c r="J28" s="261"/>
      <c r="K28" s="250">
        <v>0</v>
      </c>
      <c r="L28" s="261"/>
      <c r="M28" s="250">
        <v>0</v>
      </c>
      <c r="N28" s="261"/>
      <c r="O28" s="250">
        <v>0</v>
      </c>
      <c r="P28" s="261"/>
      <c r="Q28" s="250">
        <v>0</v>
      </c>
      <c r="R28" s="261"/>
      <c r="S28" s="250">
        <v>0</v>
      </c>
      <c r="T28" s="261"/>
      <c r="U28" s="250">
        <v>0</v>
      </c>
      <c r="V28" s="261"/>
      <c r="W28" s="250">
        <v>0</v>
      </c>
      <c r="X28" s="261"/>
      <c r="Y28" s="250">
        <v>0</v>
      </c>
      <c r="Z28" s="183"/>
      <c r="AB28" s="248">
        <f t="shared" ref="AB28:AB33" si="1">SUM(C28:Y28)</f>
        <v>9338440.2800000012</v>
      </c>
    </row>
    <row r="29" spans="1:28">
      <c r="A29" s="50" t="s">
        <v>119</v>
      </c>
      <c r="B29" s="49"/>
      <c r="C29" s="251">
        <v>2670140.46</v>
      </c>
      <c r="D29" s="261"/>
      <c r="E29" s="255">
        <v>3529205.7599999998</v>
      </c>
      <c r="F29" s="261"/>
      <c r="G29" s="255">
        <v>1421458.07</v>
      </c>
      <c r="H29" s="261"/>
      <c r="I29" s="255">
        <v>2793566.84</v>
      </c>
      <c r="J29" s="261"/>
      <c r="K29" s="255">
        <v>0</v>
      </c>
      <c r="L29" s="261"/>
      <c r="M29" s="255">
        <v>0</v>
      </c>
      <c r="N29" s="182"/>
      <c r="O29" s="255">
        <v>0</v>
      </c>
      <c r="P29" s="182"/>
      <c r="Q29" s="255">
        <v>0</v>
      </c>
      <c r="R29" s="261"/>
      <c r="S29" s="255">
        <v>0</v>
      </c>
      <c r="T29" s="261"/>
      <c r="U29" s="255">
        <v>0</v>
      </c>
      <c r="V29" s="261"/>
      <c r="W29" s="255">
        <v>0</v>
      </c>
      <c r="X29" s="261"/>
      <c r="Y29" s="255">
        <v>0</v>
      </c>
      <c r="Z29" s="183"/>
      <c r="AB29" s="248">
        <f t="shared" si="1"/>
        <v>10414371.129999999</v>
      </c>
    </row>
    <row r="30" spans="1:28">
      <c r="A30" s="50" t="s">
        <v>120</v>
      </c>
      <c r="B30" s="49"/>
      <c r="C30" s="248">
        <v>631176.25</v>
      </c>
      <c r="D30" s="261"/>
      <c r="E30" s="182">
        <v>602225.84</v>
      </c>
      <c r="F30" s="261"/>
      <c r="G30" s="182">
        <v>626885.06999999995</v>
      </c>
      <c r="H30" s="261"/>
      <c r="I30" s="182">
        <v>614348.81999999995</v>
      </c>
      <c r="J30" s="261"/>
      <c r="K30" s="182">
        <v>0</v>
      </c>
      <c r="L30" s="261"/>
      <c r="M30" s="182">
        <v>0</v>
      </c>
      <c r="N30" s="261"/>
      <c r="O30" s="182">
        <v>0</v>
      </c>
      <c r="P30" s="261"/>
      <c r="Q30" s="182">
        <v>0</v>
      </c>
      <c r="R30" s="261"/>
      <c r="S30" s="182">
        <v>0</v>
      </c>
      <c r="T30" s="261"/>
      <c r="U30" s="182">
        <v>0</v>
      </c>
      <c r="V30" s="261"/>
      <c r="W30" s="182">
        <v>0</v>
      </c>
      <c r="X30" s="261"/>
      <c r="Y30" s="182">
        <v>0</v>
      </c>
      <c r="Z30" s="183"/>
      <c r="AB30" s="248">
        <f t="shared" si="1"/>
        <v>2474635.9799999995</v>
      </c>
    </row>
    <row r="31" spans="1:28">
      <c r="A31" s="50" t="s">
        <v>121</v>
      </c>
      <c r="B31" s="49"/>
      <c r="C31" s="182">
        <v>322220.93</v>
      </c>
      <c r="D31" s="261"/>
      <c r="E31" s="182">
        <v>329301.90999999997</v>
      </c>
      <c r="F31" s="261"/>
      <c r="G31" s="182">
        <v>330180.44</v>
      </c>
      <c r="H31" s="261"/>
      <c r="I31" s="182">
        <v>328151.71999999997</v>
      </c>
      <c r="J31" s="261"/>
      <c r="K31" s="182">
        <v>0</v>
      </c>
      <c r="L31" s="261"/>
      <c r="M31" s="182">
        <v>0</v>
      </c>
      <c r="N31" s="261"/>
      <c r="O31" s="182">
        <v>0</v>
      </c>
      <c r="P31" s="261"/>
      <c r="Q31" s="182">
        <v>0</v>
      </c>
      <c r="R31" s="261"/>
      <c r="S31" s="182">
        <v>0</v>
      </c>
      <c r="T31" s="261"/>
      <c r="U31" s="182">
        <v>0</v>
      </c>
      <c r="V31" s="261"/>
      <c r="W31" s="182">
        <v>0</v>
      </c>
      <c r="X31" s="261"/>
      <c r="Y31" s="182">
        <v>0</v>
      </c>
      <c r="Z31" s="183"/>
      <c r="AB31" s="248">
        <f t="shared" si="1"/>
        <v>1309855</v>
      </c>
    </row>
    <row r="32" spans="1:28">
      <c r="A32" s="50" t="s">
        <v>122</v>
      </c>
      <c r="B32" s="54"/>
      <c r="C32" s="256">
        <v>766</v>
      </c>
      <c r="D32" s="262"/>
      <c r="E32" s="256">
        <v>714.39</v>
      </c>
      <c r="F32" s="261"/>
      <c r="G32" s="256">
        <v>292</v>
      </c>
      <c r="H32" s="261"/>
      <c r="I32" s="256">
        <v>335</v>
      </c>
      <c r="J32" s="261"/>
      <c r="K32" s="256">
        <v>0</v>
      </c>
      <c r="L32" s="261"/>
      <c r="M32" s="256">
        <v>0</v>
      </c>
      <c r="N32" s="261"/>
      <c r="O32" s="256">
        <v>0</v>
      </c>
      <c r="P32" s="261"/>
      <c r="Q32" s="256">
        <v>0</v>
      </c>
      <c r="R32" s="261"/>
      <c r="S32" s="256">
        <v>0</v>
      </c>
      <c r="T32" s="261"/>
      <c r="U32" s="256">
        <v>0</v>
      </c>
      <c r="V32" s="261"/>
      <c r="W32" s="256">
        <v>0</v>
      </c>
      <c r="X32" s="261"/>
      <c r="Y32" s="256">
        <v>0</v>
      </c>
      <c r="Z32" s="257"/>
      <c r="AB32" s="254">
        <f t="shared" si="1"/>
        <v>2107.39</v>
      </c>
    </row>
    <row r="33" spans="1:41">
      <c r="A33" s="50" t="s">
        <v>123</v>
      </c>
      <c r="B33" s="49"/>
      <c r="C33" s="247">
        <f>SUM(C28:C32)</f>
        <v>5878736.1399999997</v>
      </c>
      <c r="D33" s="261"/>
      <c r="E33" s="247">
        <f>SUM(E28:E32)</f>
        <v>6805820.8599999994</v>
      </c>
      <c r="F33" s="261"/>
      <c r="G33" s="247">
        <f>SUM(G28:G32)</f>
        <v>4756625.4400000004</v>
      </c>
      <c r="H33" s="261"/>
      <c r="I33" s="247">
        <f>SUM(I28:I32)</f>
        <v>6098227.3399999999</v>
      </c>
      <c r="J33" s="261"/>
      <c r="K33" s="247">
        <f>SUM(K28:K32)</f>
        <v>0</v>
      </c>
      <c r="L33" s="261"/>
      <c r="M33" s="247">
        <f>SUM(M28:M32)</f>
        <v>0</v>
      </c>
      <c r="N33" s="261"/>
      <c r="O33" s="247">
        <f>SUM(O28:O32)</f>
        <v>0</v>
      </c>
      <c r="P33" s="261"/>
      <c r="Q33" s="247">
        <f>SUM(Q28:Q32)</f>
        <v>0</v>
      </c>
      <c r="R33" s="261"/>
      <c r="S33" s="247">
        <f>SUM(S28:S32)</f>
        <v>0</v>
      </c>
      <c r="T33" s="261"/>
      <c r="U33" s="247">
        <f>SUM(U28:U32)</f>
        <v>0</v>
      </c>
      <c r="V33" s="261"/>
      <c r="W33" s="247">
        <f>SUM(W28:W32)</f>
        <v>0</v>
      </c>
      <c r="X33" s="261"/>
      <c r="Y33" s="247">
        <f>SUM(Y28:Y32)</f>
        <v>0</v>
      </c>
      <c r="Z33" s="257"/>
      <c r="AB33" s="182">
        <f t="shared" si="1"/>
        <v>23539409.780000001</v>
      </c>
    </row>
    <row r="34" spans="1:41">
      <c r="B34" s="49"/>
      <c r="D34" s="261"/>
      <c r="F34" s="261"/>
      <c r="H34" s="261"/>
      <c r="J34" s="261"/>
      <c r="L34" s="261"/>
      <c r="M34" s="258"/>
      <c r="N34" s="261"/>
      <c r="P34" s="261"/>
      <c r="R34" s="261"/>
      <c r="T34" s="261"/>
      <c r="V34" s="261"/>
      <c r="X34" s="261"/>
      <c r="Z34" s="183"/>
    </row>
    <row r="35" spans="1:41">
      <c r="A35" s="50" t="s">
        <v>124</v>
      </c>
      <c r="B35" s="49"/>
      <c r="C35" s="182">
        <v>0</v>
      </c>
      <c r="D35" s="261"/>
      <c r="E35" s="182">
        <v>0</v>
      </c>
      <c r="F35" s="261"/>
      <c r="G35" s="182">
        <v>0</v>
      </c>
      <c r="H35" s="261"/>
      <c r="I35" s="182">
        <v>0</v>
      </c>
      <c r="J35" s="261"/>
      <c r="K35" s="182">
        <v>0</v>
      </c>
      <c r="L35" s="261"/>
      <c r="M35" s="182">
        <v>0</v>
      </c>
      <c r="N35" s="261"/>
      <c r="O35" s="182">
        <v>0</v>
      </c>
      <c r="P35" s="182"/>
      <c r="Q35" s="182">
        <v>0</v>
      </c>
      <c r="R35" s="261"/>
      <c r="S35" s="182">
        <v>0</v>
      </c>
      <c r="T35" s="261"/>
      <c r="U35" s="182">
        <v>0</v>
      </c>
      <c r="V35" s="261"/>
      <c r="W35" s="182">
        <v>0</v>
      </c>
      <c r="X35" s="261"/>
      <c r="Y35" s="182">
        <v>0</v>
      </c>
      <c r="Z35" s="183"/>
      <c r="AB35" s="248">
        <f>SUM(C35:Y35)</f>
        <v>0</v>
      </c>
      <c r="AD35" s="55"/>
    </row>
    <row r="36" spans="1:41">
      <c r="A36" s="240" t="s">
        <v>125</v>
      </c>
      <c r="B36" s="49"/>
      <c r="C36" s="250">
        <v>0</v>
      </c>
      <c r="D36" s="261"/>
      <c r="E36" s="250">
        <v>0</v>
      </c>
      <c r="F36" s="261"/>
      <c r="G36" s="250">
        <v>0</v>
      </c>
      <c r="H36" s="261"/>
      <c r="I36" s="250">
        <v>877199</v>
      </c>
      <c r="J36" s="261"/>
      <c r="K36" s="182">
        <v>0</v>
      </c>
      <c r="L36" s="261"/>
      <c r="M36" s="182">
        <v>0</v>
      </c>
      <c r="N36" s="261"/>
      <c r="O36" s="182">
        <v>0</v>
      </c>
      <c r="P36" s="182"/>
      <c r="Q36" s="182">
        <v>0</v>
      </c>
      <c r="R36" s="261"/>
      <c r="S36" s="182">
        <v>0</v>
      </c>
      <c r="T36" s="261"/>
      <c r="U36" s="182">
        <v>0</v>
      </c>
      <c r="V36" s="261"/>
      <c r="W36" s="182">
        <v>0</v>
      </c>
      <c r="X36" s="261"/>
      <c r="Y36" s="182">
        <v>0</v>
      </c>
      <c r="Z36" s="183"/>
      <c r="AB36" s="248">
        <f>SUM(C36:Y36)</f>
        <v>877199</v>
      </c>
    </row>
    <row r="37" spans="1:41">
      <c r="A37" s="240" t="s">
        <v>254</v>
      </c>
      <c r="B37" s="49"/>
      <c r="C37" s="182">
        <v>0</v>
      </c>
      <c r="D37" s="261"/>
      <c r="E37" s="182">
        <v>0</v>
      </c>
      <c r="F37" s="261"/>
      <c r="G37" s="182">
        <v>0</v>
      </c>
      <c r="H37" s="261"/>
      <c r="I37" s="182">
        <v>0</v>
      </c>
      <c r="J37" s="261"/>
      <c r="K37" s="182">
        <v>0</v>
      </c>
      <c r="L37" s="261"/>
      <c r="M37" s="182">
        <v>0</v>
      </c>
      <c r="N37" s="261"/>
      <c r="O37" s="182">
        <v>0</v>
      </c>
      <c r="P37" s="182"/>
      <c r="Q37" s="182">
        <v>0</v>
      </c>
      <c r="R37" s="261"/>
      <c r="S37" s="182">
        <v>0</v>
      </c>
      <c r="T37" s="261"/>
      <c r="U37" s="182">
        <v>0</v>
      </c>
      <c r="V37" s="261"/>
      <c r="W37" s="182">
        <v>0</v>
      </c>
      <c r="X37" s="261"/>
      <c r="Y37" s="182">
        <v>0</v>
      </c>
      <c r="Z37" s="183"/>
      <c r="AB37" s="248">
        <f>SUM(C37:Y37)</f>
        <v>0</v>
      </c>
    </row>
    <row r="38" spans="1:41">
      <c r="A38" s="50" t="s">
        <v>126</v>
      </c>
      <c r="B38" s="49"/>
      <c r="C38" s="246">
        <v>0</v>
      </c>
      <c r="D38" s="261"/>
      <c r="E38" s="246">
        <v>0</v>
      </c>
      <c r="F38" s="261"/>
      <c r="G38" s="246">
        <v>0</v>
      </c>
      <c r="H38" s="261"/>
      <c r="I38" s="246">
        <v>0</v>
      </c>
      <c r="J38" s="261"/>
      <c r="K38" s="246">
        <v>0</v>
      </c>
      <c r="L38" s="261"/>
      <c r="M38" s="246">
        <v>0</v>
      </c>
      <c r="N38" s="261"/>
      <c r="O38" s="246">
        <v>0</v>
      </c>
      <c r="P38" s="261"/>
      <c r="Q38" s="246">
        <v>0</v>
      </c>
      <c r="R38" s="261"/>
      <c r="S38" s="246">
        <v>0</v>
      </c>
      <c r="T38" s="261"/>
      <c r="U38" s="246">
        <v>0</v>
      </c>
      <c r="V38" s="261"/>
      <c r="W38" s="246">
        <v>0</v>
      </c>
      <c r="X38" s="261"/>
      <c r="Y38" s="246">
        <v>0</v>
      </c>
      <c r="Z38" s="183"/>
      <c r="AB38" s="254">
        <f>SUM(C38:Y38)</f>
        <v>0</v>
      </c>
    </row>
    <row r="39" spans="1:41">
      <c r="A39" s="50" t="s">
        <v>127</v>
      </c>
      <c r="B39" s="49"/>
      <c r="C39" s="247">
        <f>SUM(C35:C38)+C33</f>
        <v>5878736.1399999997</v>
      </c>
      <c r="D39" s="261"/>
      <c r="E39" s="247">
        <f>SUM(E35:E38)+E33</f>
        <v>6805820.8599999994</v>
      </c>
      <c r="F39" s="261"/>
      <c r="G39" s="247">
        <f>SUM(G35:G38)+G33</f>
        <v>4756625.4400000004</v>
      </c>
      <c r="H39" s="261"/>
      <c r="I39" s="247">
        <f>SUM(I35:I38)+I33</f>
        <v>6975426.3399999999</v>
      </c>
      <c r="J39" s="261"/>
      <c r="K39" s="247">
        <f>SUM(K35:K38)+K33</f>
        <v>0</v>
      </c>
      <c r="L39" s="261"/>
      <c r="M39" s="247">
        <f>SUM(M35:M38)+M33</f>
        <v>0</v>
      </c>
      <c r="N39" s="261"/>
      <c r="O39" s="247">
        <f>SUM(O35:O38)+O33</f>
        <v>0</v>
      </c>
      <c r="P39" s="261"/>
      <c r="Q39" s="247">
        <f>SUM(Q35:Q38)+Q33</f>
        <v>0</v>
      </c>
      <c r="R39" s="261"/>
      <c r="S39" s="247">
        <f>SUM(S35:S38)+S33</f>
        <v>0</v>
      </c>
      <c r="T39" s="261"/>
      <c r="U39" s="247">
        <f>SUM(U35:U38)+U33</f>
        <v>0</v>
      </c>
      <c r="V39" s="261"/>
      <c r="W39" s="247">
        <f>SUM(W35:W38)+W33</f>
        <v>0</v>
      </c>
      <c r="X39" s="261"/>
      <c r="Y39" s="247">
        <f>SUM(Y35:Y38)+Y33</f>
        <v>0</v>
      </c>
      <c r="Z39" s="257"/>
      <c r="AB39" s="182">
        <f>SUM(C39:Y39)</f>
        <v>24416608.780000001</v>
      </c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</row>
    <row r="40" spans="1:41">
      <c r="B40" s="49"/>
      <c r="D40" s="261"/>
      <c r="E40" s="250"/>
      <c r="F40" s="261"/>
      <c r="G40" s="250"/>
      <c r="H40" s="261"/>
      <c r="I40" s="250"/>
      <c r="J40" s="261"/>
      <c r="K40" s="250"/>
      <c r="L40" s="261"/>
      <c r="M40" s="250"/>
      <c r="N40" s="261"/>
      <c r="O40" s="250"/>
      <c r="P40" s="261"/>
      <c r="Q40" s="250"/>
      <c r="R40" s="261"/>
      <c r="S40" s="250"/>
      <c r="T40" s="261"/>
      <c r="U40" s="250"/>
      <c r="V40" s="261"/>
      <c r="W40" s="250"/>
      <c r="X40" s="261"/>
      <c r="Y40" s="250"/>
      <c r="Z40" s="257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</row>
    <row r="41" spans="1:41">
      <c r="A41" s="50" t="s">
        <v>128</v>
      </c>
      <c r="B41" s="49"/>
      <c r="C41" s="247">
        <f>+C25-C39</f>
        <v>2367164.1399999997</v>
      </c>
      <c r="D41" s="261"/>
      <c r="E41" s="247">
        <f>+E25-E39</f>
        <v>-1243820.9299999997</v>
      </c>
      <c r="F41" s="261"/>
      <c r="G41" s="247">
        <f>+G25-G39</f>
        <v>132348.47999999952</v>
      </c>
      <c r="H41" s="261"/>
      <c r="I41" s="247">
        <f>+I25-I39</f>
        <v>7309003.2300000004</v>
      </c>
      <c r="J41" s="261"/>
      <c r="K41" s="247">
        <f>+K25-K39</f>
        <v>0</v>
      </c>
      <c r="L41" s="261"/>
      <c r="M41" s="247">
        <f>+M25-M39</f>
        <v>0</v>
      </c>
      <c r="N41" s="261"/>
      <c r="O41" s="247">
        <f>+O25-O39</f>
        <v>0</v>
      </c>
      <c r="P41" s="261"/>
      <c r="Q41" s="247">
        <f>+Q25-Q39</f>
        <v>0</v>
      </c>
      <c r="R41" s="261"/>
      <c r="S41" s="247">
        <f>+S25-S39</f>
        <v>0</v>
      </c>
      <c r="T41" s="261"/>
      <c r="U41" s="182">
        <f>+U25-U39</f>
        <v>0</v>
      </c>
      <c r="V41" s="261"/>
      <c r="W41" s="182">
        <f>+W25-W39</f>
        <v>0</v>
      </c>
      <c r="Y41" s="182">
        <f>+Y25-Y39</f>
        <v>0</v>
      </c>
      <c r="AB41" s="182">
        <f>SUM(C41:Y41)</f>
        <v>8564694.9199999999</v>
      </c>
    </row>
    <row r="42" spans="1:41" ht="13.5" thickBot="1">
      <c r="B42" s="49"/>
      <c r="D42" s="261"/>
      <c r="F42" s="261"/>
      <c r="H42" s="261"/>
      <c r="J42" s="261"/>
      <c r="L42" s="261"/>
      <c r="N42" s="261"/>
      <c r="P42" s="261"/>
      <c r="R42" s="261"/>
      <c r="T42" s="261"/>
      <c r="V42" s="261"/>
      <c r="X42" s="261"/>
      <c r="Z42" s="183"/>
    </row>
    <row r="43" spans="1:41" ht="13.5" thickBot="1">
      <c r="A43" s="57" t="s">
        <v>129</v>
      </c>
      <c r="B43" s="53"/>
      <c r="C43" s="456">
        <f>+C7+C41</f>
        <v>17659566.719999991</v>
      </c>
      <c r="D43" s="266"/>
      <c r="E43" s="456">
        <f>+E7+E41</f>
        <v>16415745.789999992</v>
      </c>
      <c r="F43" s="266"/>
      <c r="G43" s="456">
        <f>+G7+G41</f>
        <v>16548094.269999992</v>
      </c>
      <c r="H43" s="266"/>
      <c r="I43" s="456">
        <f>+I7+I41</f>
        <v>23857097.499999993</v>
      </c>
      <c r="J43" s="266"/>
      <c r="K43" s="456">
        <f>+K7+K41</f>
        <v>0</v>
      </c>
      <c r="L43" s="266"/>
      <c r="M43" s="456">
        <f>+M7+M41</f>
        <v>0</v>
      </c>
      <c r="N43" s="266"/>
      <c r="O43" s="456">
        <f>+O7+O41</f>
        <v>0</v>
      </c>
      <c r="P43" s="266"/>
      <c r="Q43" s="456">
        <f>+Q7+Q41</f>
        <v>0</v>
      </c>
      <c r="R43" s="266"/>
      <c r="S43" s="456">
        <f>+S7+S41</f>
        <v>0</v>
      </c>
      <c r="T43" s="266"/>
      <c r="U43" s="456">
        <f>+U7+U41</f>
        <v>0</v>
      </c>
      <c r="V43" s="266"/>
      <c r="W43" s="456">
        <f>+W7+W41</f>
        <v>0</v>
      </c>
      <c r="X43" s="265"/>
      <c r="Y43" s="456">
        <f>+Y7+Y41</f>
        <v>0</v>
      </c>
      <c r="Z43" s="259"/>
      <c r="AA43" s="265"/>
      <c r="AB43" s="456">
        <f>+AB7+AB41</f>
        <v>23857097.499999993</v>
      </c>
    </row>
    <row r="44" spans="1:41">
      <c r="B44" s="49"/>
      <c r="C44" s="457"/>
      <c r="D44" s="261"/>
      <c r="F44" s="261"/>
      <c r="H44" s="261"/>
      <c r="J44" s="261"/>
      <c r="L44" s="261"/>
      <c r="N44" s="261"/>
      <c r="P44" s="261"/>
      <c r="R44" s="261"/>
      <c r="T44" s="261"/>
      <c r="V44" s="261"/>
      <c r="X44" s="261"/>
      <c r="Z44" s="183"/>
    </row>
    <row r="45" spans="1:41">
      <c r="B45" s="49"/>
      <c r="C45" s="457"/>
      <c r="D45" s="261"/>
      <c r="F45" s="261"/>
      <c r="H45" s="261"/>
      <c r="J45" s="261"/>
      <c r="L45" s="261"/>
      <c r="N45" s="261"/>
      <c r="P45" s="261"/>
      <c r="R45" s="261"/>
      <c r="T45" s="261"/>
      <c r="V45" s="261"/>
      <c r="X45" s="261"/>
      <c r="Z45" s="183"/>
    </row>
    <row r="46" spans="1:41">
      <c r="A46" s="240" t="s">
        <v>251</v>
      </c>
      <c r="B46" s="49"/>
      <c r="C46" s="182">
        <v>12161189.85</v>
      </c>
      <c r="D46" s="261"/>
      <c r="E46" s="182">
        <f>+C46+C49</f>
        <v>12162389.959999999</v>
      </c>
      <c r="F46" s="261"/>
      <c r="G46" s="182">
        <f>+E46+E49</f>
        <v>12163562.709999999</v>
      </c>
      <c r="H46" s="261"/>
      <c r="I46" s="182">
        <f>+G46+G49</f>
        <v>12164702.539999999</v>
      </c>
      <c r="J46" s="261"/>
      <c r="K46" s="182">
        <v>0</v>
      </c>
      <c r="L46" s="261"/>
      <c r="M46" s="182">
        <v>0</v>
      </c>
      <c r="N46" s="261"/>
      <c r="O46" s="182">
        <v>0</v>
      </c>
      <c r="P46" s="261"/>
      <c r="Q46" s="182">
        <v>0</v>
      </c>
      <c r="R46" s="261"/>
      <c r="S46" s="182">
        <v>0</v>
      </c>
      <c r="T46" s="261"/>
      <c r="U46" s="182">
        <v>0</v>
      </c>
      <c r="V46" s="261"/>
      <c r="W46" s="182">
        <v>0</v>
      </c>
      <c r="X46" s="261"/>
      <c r="Y46" s="182">
        <v>0</v>
      </c>
      <c r="Z46" s="183"/>
      <c r="AB46" s="248">
        <f>+C46</f>
        <v>12161189.85</v>
      </c>
    </row>
    <row r="47" spans="1:41">
      <c r="A47" s="240" t="s">
        <v>252</v>
      </c>
      <c r="B47" s="49"/>
      <c r="C47" s="182">
        <v>1378761.59</v>
      </c>
      <c r="D47" s="261"/>
      <c r="E47" s="182">
        <f>+C47+C50</f>
        <v>1378797.54</v>
      </c>
      <c r="F47" s="261"/>
      <c r="G47" s="182">
        <f>+E47+E50</f>
        <v>1378842.62</v>
      </c>
      <c r="H47" s="261"/>
      <c r="I47" s="182">
        <f>+G47+G50</f>
        <v>1378886.4700000002</v>
      </c>
      <c r="J47" s="261"/>
      <c r="K47" s="182">
        <v>0</v>
      </c>
      <c r="L47" s="261"/>
      <c r="M47" s="182">
        <v>0</v>
      </c>
      <c r="N47" s="261"/>
      <c r="O47" s="182">
        <v>0</v>
      </c>
      <c r="P47" s="261"/>
      <c r="Q47" s="182">
        <v>0</v>
      </c>
      <c r="R47" s="261"/>
      <c r="S47" s="182">
        <v>0</v>
      </c>
      <c r="T47" s="261"/>
      <c r="U47" s="182">
        <v>0</v>
      </c>
      <c r="V47" s="261"/>
      <c r="W47" s="182">
        <v>0</v>
      </c>
      <c r="X47" s="261"/>
      <c r="Y47" s="182">
        <v>0</v>
      </c>
      <c r="Z47" s="183"/>
      <c r="AB47" s="248">
        <f>+C47</f>
        <v>1378761.59</v>
      </c>
    </row>
    <row r="48" spans="1:41">
      <c r="A48" s="240" t="s">
        <v>255</v>
      </c>
      <c r="B48" s="49"/>
      <c r="C48" s="182">
        <v>4444599.3899999997</v>
      </c>
      <c r="D48" s="261"/>
      <c r="E48" s="182">
        <f>+C48+C51+C52</f>
        <v>1808832.3399999994</v>
      </c>
      <c r="F48" s="261"/>
      <c r="G48" s="182">
        <f>+E48+E51</f>
        <v>1808978.3899999994</v>
      </c>
      <c r="H48" s="261"/>
      <c r="I48" s="182">
        <f>+G48+G51</f>
        <v>1809119.7599999995</v>
      </c>
      <c r="J48" s="261"/>
      <c r="K48" s="182">
        <v>0</v>
      </c>
      <c r="L48" s="261"/>
      <c r="M48" s="182">
        <v>0</v>
      </c>
      <c r="N48" s="261"/>
      <c r="O48" s="182">
        <v>0</v>
      </c>
      <c r="P48" s="261"/>
      <c r="Q48" s="182">
        <v>0</v>
      </c>
      <c r="R48" s="261"/>
      <c r="S48" s="182">
        <v>0</v>
      </c>
      <c r="T48" s="261"/>
      <c r="U48" s="182">
        <v>0</v>
      </c>
      <c r="V48" s="261"/>
      <c r="W48" s="182">
        <v>0</v>
      </c>
      <c r="X48" s="261"/>
      <c r="Y48" s="182">
        <v>0</v>
      </c>
      <c r="Z48" s="183"/>
      <c r="AB48" s="248">
        <f>+C48</f>
        <v>4444599.3899999997</v>
      </c>
    </row>
    <row r="49" spans="1:28">
      <c r="A49" s="240" t="s">
        <v>253</v>
      </c>
      <c r="B49" s="49"/>
      <c r="C49" s="182">
        <v>1200.1099999999999</v>
      </c>
      <c r="D49" s="261"/>
      <c r="E49" s="182">
        <v>1172.75</v>
      </c>
      <c r="F49" s="261"/>
      <c r="G49" s="182">
        <v>1139.83</v>
      </c>
      <c r="H49" s="261"/>
      <c r="I49" s="182">
        <v>1262.4000000000001</v>
      </c>
      <c r="J49" s="261"/>
      <c r="K49" s="182">
        <v>0</v>
      </c>
      <c r="L49" s="261"/>
      <c r="M49" s="182">
        <v>0</v>
      </c>
      <c r="N49" s="261"/>
      <c r="O49" s="182">
        <v>0</v>
      </c>
      <c r="P49" s="261"/>
      <c r="Q49" s="182">
        <v>0</v>
      </c>
      <c r="R49" s="261"/>
      <c r="S49" s="182">
        <v>0</v>
      </c>
      <c r="T49" s="261"/>
      <c r="U49" s="182">
        <v>0</v>
      </c>
      <c r="V49" s="261"/>
      <c r="W49" s="182">
        <v>0</v>
      </c>
      <c r="X49" s="261"/>
      <c r="Y49" s="182">
        <v>0</v>
      </c>
      <c r="Z49" s="183"/>
      <c r="AB49" s="248">
        <f>SUM(C49:AA49)</f>
        <v>4775.09</v>
      </c>
    </row>
    <row r="50" spans="1:28">
      <c r="A50" s="240" t="s">
        <v>130</v>
      </c>
      <c r="B50" s="49"/>
      <c r="C50" s="182">
        <v>35.950000000000003</v>
      </c>
      <c r="D50" s="261"/>
      <c r="E50" s="182">
        <v>45.08</v>
      </c>
      <c r="F50" s="261"/>
      <c r="G50" s="182">
        <v>43.85</v>
      </c>
      <c r="H50" s="261"/>
      <c r="I50" s="182">
        <v>58.63</v>
      </c>
      <c r="J50" s="261"/>
      <c r="K50" s="182">
        <v>0</v>
      </c>
      <c r="L50" s="261"/>
      <c r="M50" s="182">
        <v>0</v>
      </c>
      <c r="N50" s="261"/>
      <c r="O50" s="182">
        <v>0</v>
      </c>
      <c r="P50" s="261"/>
      <c r="Q50" s="182">
        <v>0</v>
      </c>
      <c r="R50" s="261"/>
      <c r="S50" s="182">
        <v>0</v>
      </c>
      <c r="T50" s="261"/>
      <c r="U50" s="182">
        <v>0</v>
      </c>
      <c r="V50" s="261"/>
      <c r="W50" s="182">
        <v>0</v>
      </c>
      <c r="X50" s="261"/>
      <c r="Y50" s="182">
        <v>0</v>
      </c>
      <c r="Z50" s="183"/>
      <c r="AB50" s="248">
        <f>SUM(C50:AA50)</f>
        <v>183.51</v>
      </c>
    </row>
    <row r="51" spans="1:28">
      <c r="A51" s="240" t="s">
        <v>131</v>
      </c>
      <c r="B51" s="49"/>
      <c r="C51" s="182">
        <v>196.38</v>
      </c>
      <c r="D51" s="261"/>
      <c r="E51" s="182">
        <v>146.05000000000001</v>
      </c>
      <c r="F51" s="261"/>
      <c r="G51" s="182">
        <v>141.37</v>
      </c>
      <c r="H51" s="261"/>
      <c r="I51" s="182">
        <v>146.06</v>
      </c>
      <c r="J51" s="261"/>
      <c r="K51" s="182">
        <v>0</v>
      </c>
      <c r="L51" s="261"/>
      <c r="M51" s="182">
        <v>0</v>
      </c>
      <c r="N51" s="261"/>
      <c r="O51" s="182">
        <v>0</v>
      </c>
      <c r="P51" s="261"/>
      <c r="Q51" s="182">
        <v>0</v>
      </c>
      <c r="R51" s="261"/>
      <c r="S51" s="182">
        <v>0</v>
      </c>
      <c r="T51" s="261"/>
      <c r="U51" s="182">
        <v>0</v>
      </c>
      <c r="V51" s="261"/>
      <c r="W51" s="182">
        <v>0</v>
      </c>
      <c r="X51" s="261"/>
      <c r="Y51" s="182">
        <v>0</v>
      </c>
      <c r="Z51" s="183"/>
      <c r="AB51" s="248">
        <f>SUM(C51:AA51)</f>
        <v>629.86</v>
      </c>
    </row>
    <row r="52" spans="1:28">
      <c r="A52" s="50" t="s">
        <v>133</v>
      </c>
      <c r="C52" s="182">
        <v>-2635963.4300000002</v>
      </c>
      <c r="E52" s="182">
        <v>0</v>
      </c>
      <c r="G52" s="182">
        <v>0</v>
      </c>
      <c r="I52" s="182">
        <v>0</v>
      </c>
      <c r="K52" s="182">
        <v>0</v>
      </c>
      <c r="M52" s="182">
        <v>0</v>
      </c>
      <c r="O52" s="182">
        <v>0</v>
      </c>
      <c r="Q52" s="182">
        <v>0</v>
      </c>
      <c r="S52" s="182">
        <v>0</v>
      </c>
      <c r="U52" s="182">
        <v>0</v>
      </c>
      <c r="W52" s="182">
        <v>0</v>
      </c>
      <c r="Y52" s="182">
        <v>0</v>
      </c>
      <c r="AB52" s="248">
        <f>SUM(C52:AA52)</f>
        <v>-2635963.4300000002</v>
      </c>
    </row>
    <row r="53" spans="1:28">
      <c r="A53" s="50" t="s">
        <v>132</v>
      </c>
      <c r="B53" s="49"/>
      <c r="C53" s="246">
        <v>0</v>
      </c>
      <c r="D53" s="261"/>
      <c r="E53" s="246">
        <v>0</v>
      </c>
      <c r="F53" s="261"/>
      <c r="G53" s="246">
        <v>0</v>
      </c>
      <c r="H53" s="261"/>
      <c r="I53" s="246">
        <v>0</v>
      </c>
      <c r="J53" s="261"/>
      <c r="K53" s="246">
        <v>0</v>
      </c>
      <c r="L53" s="261"/>
      <c r="M53" s="246">
        <v>0</v>
      </c>
      <c r="N53" s="261"/>
      <c r="O53" s="246">
        <v>0</v>
      </c>
      <c r="P53" s="261"/>
      <c r="Q53" s="246">
        <v>0</v>
      </c>
      <c r="R53" s="261"/>
      <c r="S53" s="246">
        <v>0</v>
      </c>
      <c r="T53" s="261"/>
      <c r="U53" s="246">
        <v>0</v>
      </c>
      <c r="V53" s="261"/>
      <c r="W53" s="246">
        <v>0</v>
      </c>
      <c r="X53" s="261"/>
      <c r="Y53" s="246">
        <v>0</v>
      </c>
      <c r="Z53" s="183"/>
      <c r="AB53" s="254">
        <f>SUM(C53:AA53)</f>
        <v>0</v>
      </c>
    </row>
    <row r="54" spans="1:28">
      <c r="A54" s="57" t="s">
        <v>134</v>
      </c>
      <c r="B54" s="53"/>
      <c r="C54" s="247">
        <f>SUM(C46:C53)</f>
        <v>15350019.839999996</v>
      </c>
      <c r="D54" s="266"/>
      <c r="E54" s="247">
        <f>SUM(E46:E53)</f>
        <v>15351383.720000001</v>
      </c>
      <c r="F54" s="266"/>
      <c r="G54" s="247">
        <f>SUM(G46:G53)</f>
        <v>15352708.769999996</v>
      </c>
      <c r="H54" s="266"/>
      <c r="I54" s="247">
        <f>SUM(I46:I53)</f>
        <v>15354175.860000001</v>
      </c>
      <c r="J54" s="266"/>
      <c r="K54" s="247">
        <f>SUM(K46:K53)</f>
        <v>0</v>
      </c>
      <c r="L54" s="266"/>
      <c r="M54" s="247">
        <f>SUM(M46:M53)</f>
        <v>0</v>
      </c>
      <c r="N54" s="266"/>
      <c r="O54" s="247">
        <f>SUM(O46:O53)</f>
        <v>0</v>
      </c>
      <c r="P54" s="266"/>
      <c r="Q54" s="247">
        <f>SUM(Q46:Q53)</f>
        <v>0</v>
      </c>
      <c r="R54" s="266"/>
      <c r="S54" s="247">
        <f>SUM(S46:S53)</f>
        <v>0</v>
      </c>
      <c r="T54" s="266"/>
      <c r="U54" s="247">
        <f>SUM(U46:U53)</f>
        <v>0</v>
      </c>
      <c r="V54" s="266"/>
      <c r="W54" s="247">
        <f>SUM(W46:W53)</f>
        <v>0</v>
      </c>
      <c r="X54" s="266"/>
      <c r="Y54" s="247">
        <f>SUM(Y46:Y53)</f>
        <v>0</v>
      </c>
      <c r="Z54" s="266"/>
      <c r="AB54" s="182">
        <f>SUM(AB46:AB53)</f>
        <v>15354175.859999999</v>
      </c>
    </row>
    <row r="55" spans="1:28" ht="13.5" thickBot="1">
      <c r="B55" s="49"/>
      <c r="D55" s="261"/>
      <c r="F55" s="261"/>
      <c r="H55" s="261"/>
      <c r="J55" s="261"/>
      <c r="L55" s="261"/>
      <c r="N55" s="261"/>
      <c r="P55" s="261"/>
      <c r="R55" s="261"/>
      <c r="T55" s="261"/>
      <c r="V55" s="261"/>
      <c r="X55" s="261"/>
      <c r="Z55" s="261"/>
    </row>
    <row r="56" spans="1:28" ht="13.5" thickBot="1">
      <c r="A56" s="52" t="s">
        <v>135</v>
      </c>
      <c r="B56" s="53"/>
      <c r="C56" s="456">
        <f>+C43+C54</f>
        <v>33009586.559999987</v>
      </c>
      <c r="D56" s="266"/>
      <c r="E56" s="456">
        <f>+E43+E54</f>
        <v>31767129.50999999</v>
      </c>
      <c r="F56" s="266"/>
      <c r="G56" s="456">
        <f>+G43+G54</f>
        <v>31900803.039999988</v>
      </c>
      <c r="H56" s="266"/>
      <c r="I56" s="456">
        <f>+I43+I54</f>
        <v>39211273.359999992</v>
      </c>
      <c r="J56" s="266"/>
      <c r="K56" s="456">
        <f>+K43+K54</f>
        <v>0</v>
      </c>
      <c r="L56" s="266"/>
      <c r="M56" s="456">
        <f>+M43+M54</f>
        <v>0</v>
      </c>
      <c r="N56" s="266"/>
      <c r="O56" s="456">
        <f>+O43+O54</f>
        <v>0</v>
      </c>
      <c r="P56" s="266"/>
      <c r="Q56" s="456">
        <f>+Q43+Q54</f>
        <v>0</v>
      </c>
      <c r="R56" s="266"/>
      <c r="S56" s="456">
        <f>+S43+S54</f>
        <v>0</v>
      </c>
      <c r="T56" s="266"/>
      <c r="U56" s="456">
        <f>+U43+U54</f>
        <v>0</v>
      </c>
      <c r="V56" s="266"/>
      <c r="W56" s="456">
        <f>+W43+W54</f>
        <v>0</v>
      </c>
      <c r="X56" s="265"/>
      <c r="Y56" s="456">
        <f>+Y43+Y54</f>
        <v>0</v>
      </c>
      <c r="Z56" s="259"/>
      <c r="AA56" s="265"/>
      <c r="AB56" s="456">
        <f>+AB43+AB54</f>
        <v>39211273.359999992</v>
      </c>
    </row>
    <row r="57" spans="1:28">
      <c r="B57" s="49"/>
      <c r="D57" s="261"/>
      <c r="F57" s="261"/>
      <c r="H57" s="261"/>
      <c r="J57" s="261"/>
      <c r="L57" s="261"/>
      <c r="N57" s="261"/>
      <c r="P57" s="261"/>
      <c r="R57" s="261"/>
      <c r="T57" s="261"/>
      <c r="V57" s="261"/>
      <c r="X57" s="261"/>
      <c r="Z57" s="183"/>
    </row>
    <row r="58" spans="1:28">
      <c r="B58" s="49"/>
      <c r="D58" s="261"/>
      <c r="F58" s="261"/>
      <c r="H58" s="261"/>
      <c r="J58" s="261"/>
      <c r="L58" s="261"/>
      <c r="N58" s="261"/>
      <c r="P58" s="261"/>
      <c r="R58" s="261"/>
      <c r="T58" s="261"/>
      <c r="V58" s="261"/>
      <c r="X58" s="261"/>
      <c r="Z58" s="183"/>
    </row>
    <row r="59" spans="1:28">
      <c r="B59" s="49"/>
      <c r="D59" s="261"/>
      <c r="F59" s="261"/>
      <c r="H59" s="261"/>
      <c r="J59" s="261"/>
      <c r="L59" s="261"/>
      <c r="N59" s="261"/>
      <c r="P59" s="261"/>
      <c r="R59" s="261"/>
      <c r="T59" s="261"/>
      <c r="V59" s="261"/>
      <c r="X59" s="261"/>
      <c r="Z59" s="183"/>
    </row>
    <row r="60" spans="1:28">
      <c r="B60" s="49"/>
      <c r="D60" s="261"/>
      <c r="F60" s="261"/>
      <c r="H60" s="261"/>
      <c r="J60" s="261"/>
      <c r="L60" s="261"/>
      <c r="N60" s="261"/>
      <c r="P60" s="261"/>
      <c r="R60" s="261"/>
      <c r="T60" s="261"/>
      <c r="V60" s="261"/>
      <c r="X60" s="261"/>
      <c r="Z60" s="183"/>
    </row>
    <row r="61" spans="1:28">
      <c r="B61" s="49"/>
      <c r="D61" s="261"/>
      <c r="F61" s="261"/>
      <c r="H61" s="261"/>
      <c r="J61" s="261"/>
      <c r="L61" s="261"/>
      <c r="N61" s="261"/>
      <c r="P61" s="261"/>
      <c r="R61" s="261"/>
      <c r="T61" s="261"/>
      <c r="V61" s="261"/>
      <c r="X61" s="261"/>
      <c r="Z61" s="183"/>
    </row>
    <row r="62" spans="1:28">
      <c r="B62" s="49"/>
      <c r="D62" s="261"/>
      <c r="F62" s="261"/>
      <c r="H62" s="261"/>
      <c r="J62" s="261"/>
      <c r="L62" s="261"/>
      <c r="N62" s="261"/>
      <c r="P62" s="261"/>
      <c r="R62" s="261"/>
      <c r="T62" s="261"/>
      <c r="V62" s="261"/>
      <c r="X62" s="261"/>
      <c r="Z62" s="183"/>
    </row>
    <row r="63" spans="1:28">
      <c r="B63" s="49"/>
      <c r="D63" s="261"/>
      <c r="F63" s="261"/>
      <c r="H63" s="261"/>
      <c r="J63" s="261"/>
      <c r="L63" s="261"/>
      <c r="N63" s="261"/>
      <c r="P63" s="261"/>
      <c r="R63" s="261"/>
      <c r="T63" s="261"/>
      <c r="V63" s="261"/>
      <c r="X63" s="261"/>
      <c r="Z63" s="183"/>
    </row>
    <row r="64" spans="1:28">
      <c r="B64" s="49"/>
      <c r="D64" s="261"/>
      <c r="F64" s="261"/>
      <c r="H64" s="261"/>
      <c r="J64" s="261"/>
      <c r="L64" s="261"/>
      <c r="N64" s="261"/>
      <c r="P64" s="261"/>
      <c r="R64" s="261"/>
      <c r="T64" s="261"/>
      <c r="V64" s="261"/>
      <c r="X64" s="261"/>
      <c r="Z64" s="183"/>
    </row>
  </sheetData>
  <phoneticPr fontId="7" type="noConversion"/>
  <pageMargins left="0.17" right="0.17" top="0.75" bottom="0.5" header="0.41" footer="0.37"/>
  <pageSetup scale="60" orientation="landscape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44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I34" sqref="I34"/>
    </sheetView>
  </sheetViews>
  <sheetFormatPr defaultColWidth="9.140625" defaultRowHeight="12.75"/>
  <cols>
    <col min="1" max="1" width="33" style="50" customWidth="1"/>
    <col min="2" max="2" width="1.7109375" style="50" customWidth="1"/>
    <col min="3" max="3" width="13.7109375" style="182" customWidth="1"/>
    <col min="4" max="4" width="0.85546875" style="253" customWidth="1"/>
    <col min="5" max="5" width="13.7109375" style="182" customWidth="1"/>
    <col min="6" max="6" width="0.85546875" style="253" customWidth="1"/>
    <col min="7" max="7" width="13.7109375" style="182" customWidth="1"/>
    <col min="8" max="8" width="0.85546875" style="253" customWidth="1"/>
    <col min="9" max="9" width="13.7109375" style="182" customWidth="1"/>
    <col min="10" max="10" width="0.85546875" style="253" customWidth="1"/>
    <col min="11" max="11" width="14.7109375" style="182" customWidth="1"/>
    <col min="12" max="12" width="0.85546875" style="253" customWidth="1"/>
    <col min="13" max="13" width="15" style="182" customWidth="1"/>
    <col min="14" max="14" width="0.85546875" style="253" customWidth="1"/>
    <col min="15" max="15" width="14.28515625" style="182" customWidth="1"/>
    <col min="16" max="16" width="0.85546875" style="253" customWidth="1"/>
    <col min="17" max="17" width="15" style="182" customWidth="1"/>
    <col min="18" max="18" width="0.85546875" style="253" customWidth="1"/>
    <col min="19" max="19" width="14.42578125" style="182" customWidth="1"/>
    <col min="20" max="20" width="0.85546875" style="253" customWidth="1"/>
    <col min="21" max="21" width="14.85546875" style="182" customWidth="1"/>
    <col min="22" max="22" width="0.85546875" style="253" customWidth="1"/>
    <col min="23" max="23" width="13.7109375" style="182" customWidth="1"/>
    <col min="24" max="24" width="0.85546875" style="253" customWidth="1"/>
    <col min="25" max="25" width="13.7109375" style="182" customWidth="1"/>
    <col min="26" max="26" width="0.140625" style="182" hidden="1" customWidth="1"/>
    <col min="27" max="27" width="0.85546875" style="253" customWidth="1"/>
    <col min="28" max="28" width="14.7109375" style="182" customWidth="1"/>
    <col min="29" max="16384" width="9.140625" style="50"/>
  </cols>
  <sheetData>
    <row r="1" spans="1:28" s="52" customFormat="1" ht="15.75">
      <c r="A1" s="260"/>
      <c r="B1" s="53"/>
      <c r="C1" s="242"/>
      <c r="D1" s="266"/>
      <c r="E1" s="242"/>
      <c r="F1" s="266"/>
      <c r="G1" s="242"/>
      <c r="H1" s="266"/>
      <c r="I1" s="242"/>
      <c r="J1" s="267"/>
      <c r="K1" s="243"/>
      <c r="L1" s="267"/>
      <c r="M1" s="244" t="s">
        <v>235</v>
      </c>
      <c r="N1" s="266"/>
      <c r="O1" s="242"/>
      <c r="P1" s="266"/>
      <c r="Q1" s="242"/>
      <c r="R1" s="266"/>
      <c r="S1" s="242"/>
      <c r="T1" s="266"/>
      <c r="U1" s="242"/>
      <c r="V1" s="266"/>
      <c r="W1" s="242"/>
      <c r="X1" s="266"/>
      <c r="Y1" s="242"/>
      <c r="Z1" s="249"/>
      <c r="AA1" s="263"/>
      <c r="AB1" s="242"/>
    </row>
    <row r="2" spans="1:28" s="52" customFormat="1" ht="15.75">
      <c r="B2" s="53"/>
      <c r="C2" s="242"/>
      <c r="D2" s="266"/>
      <c r="E2" s="242"/>
      <c r="F2" s="266"/>
      <c r="G2" s="242"/>
      <c r="H2" s="266"/>
      <c r="I2" s="242"/>
      <c r="J2" s="267"/>
      <c r="K2" s="243"/>
      <c r="L2" s="267"/>
      <c r="M2" s="244" t="s">
        <v>264</v>
      </c>
      <c r="N2" s="266"/>
      <c r="O2" s="242"/>
      <c r="P2" s="266"/>
      <c r="Q2" s="242"/>
      <c r="R2" s="266"/>
      <c r="S2" s="242"/>
      <c r="T2" s="266"/>
      <c r="U2" s="242"/>
      <c r="V2" s="266"/>
      <c r="W2" s="242"/>
      <c r="X2" s="266"/>
      <c r="Y2" s="242"/>
      <c r="Z2" s="249"/>
      <c r="AA2" s="263"/>
      <c r="AB2" s="242"/>
    </row>
    <row r="3" spans="1:28" s="52" customFormat="1" ht="15.75">
      <c r="B3" s="53"/>
      <c r="C3" s="242"/>
      <c r="D3" s="266"/>
      <c r="E3" s="242"/>
      <c r="F3" s="266"/>
      <c r="G3" s="242"/>
      <c r="H3" s="266"/>
      <c r="I3" s="242"/>
      <c r="J3" s="267"/>
      <c r="K3" s="243"/>
      <c r="L3" s="267"/>
      <c r="M3" s="443" t="s">
        <v>320</v>
      </c>
      <c r="N3" s="266"/>
      <c r="O3" s="242"/>
      <c r="P3" s="266"/>
      <c r="Q3" s="242"/>
      <c r="R3" s="266"/>
      <c r="S3" s="242"/>
      <c r="T3" s="266"/>
      <c r="U3" s="242"/>
      <c r="V3" s="266"/>
      <c r="W3" s="242"/>
      <c r="X3" s="266"/>
      <c r="Y3" s="242"/>
      <c r="Z3" s="249"/>
      <c r="AA3" s="263"/>
      <c r="AB3" s="242"/>
    </row>
    <row r="4" spans="1:28">
      <c r="B4" s="49"/>
      <c r="D4" s="261"/>
      <c r="F4" s="261"/>
      <c r="H4" s="261"/>
      <c r="J4" s="261"/>
      <c r="L4" s="261"/>
      <c r="N4" s="261"/>
      <c r="P4" s="261"/>
      <c r="R4" s="261"/>
      <c r="T4" s="261"/>
      <c r="V4" s="261"/>
      <c r="X4" s="261"/>
      <c r="Z4" s="183"/>
    </row>
    <row r="5" spans="1:28">
      <c r="B5" s="49"/>
      <c r="C5" s="241" t="s">
        <v>89</v>
      </c>
      <c r="D5" s="261"/>
      <c r="E5" s="241" t="s">
        <v>90</v>
      </c>
      <c r="F5" s="261"/>
      <c r="G5" s="241" t="s">
        <v>91</v>
      </c>
      <c r="H5" s="261"/>
      <c r="I5" s="241" t="s">
        <v>92</v>
      </c>
      <c r="J5" s="261"/>
      <c r="K5" s="241" t="s">
        <v>93</v>
      </c>
      <c r="L5" s="261"/>
      <c r="M5" s="241" t="s">
        <v>94</v>
      </c>
      <c r="N5" s="261"/>
      <c r="O5" s="241" t="s">
        <v>95</v>
      </c>
      <c r="P5" s="261"/>
      <c r="Q5" s="241" t="s">
        <v>96</v>
      </c>
      <c r="R5" s="261"/>
      <c r="S5" s="241" t="s">
        <v>97</v>
      </c>
      <c r="T5" s="261"/>
      <c r="U5" s="241" t="s">
        <v>98</v>
      </c>
      <c r="V5" s="261"/>
      <c r="W5" s="241" t="s">
        <v>99</v>
      </c>
      <c r="X5" s="261"/>
      <c r="Y5" s="241" t="s">
        <v>100</v>
      </c>
      <c r="Z5" s="183"/>
      <c r="AA5" s="264"/>
      <c r="AB5" s="241" t="s">
        <v>47</v>
      </c>
    </row>
    <row r="6" spans="1:28">
      <c r="B6" s="49"/>
      <c r="C6" s="245" t="s">
        <v>101</v>
      </c>
      <c r="D6" s="261"/>
      <c r="E6" s="245" t="s">
        <v>101</v>
      </c>
      <c r="F6" s="261"/>
      <c r="G6" s="245" t="s">
        <v>101</v>
      </c>
      <c r="H6" s="261"/>
      <c r="I6" s="245" t="s">
        <v>101</v>
      </c>
      <c r="J6" s="261"/>
      <c r="K6" s="245" t="s">
        <v>101</v>
      </c>
      <c r="L6" s="261"/>
      <c r="M6" s="245" t="s">
        <v>101</v>
      </c>
      <c r="N6" s="261"/>
      <c r="O6" s="245" t="s">
        <v>101</v>
      </c>
      <c r="P6" s="261"/>
      <c r="Q6" s="245" t="s">
        <v>101</v>
      </c>
      <c r="R6" s="261"/>
      <c r="S6" s="245" t="s">
        <v>101</v>
      </c>
      <c r="T6" s="261"/>
      <c r="U6" s="245" t="s">
        <v>101</v>
      </c>
      <c r="V6" s="261"/>
      <c r="W6" s="245" t="s">
        <v>101</v>
      </c>
      <c r="X6" s="261"/>
      <c r="Y6" s="245" t="s">
        <v>101</v>
      </c>
      <c r="Z6" s="183"/>
      <c r="AB6" s="246"/>
    </row>
    <row r="7" spans="1:28">
      <c r="A7" s="51" t="s">
        <v>102</v>
      </c>
      <c r="B7" s="49"/>
      <c r="C7" s="247">
        <v>2471571.7200000002</v>
      </c>
      <c r="D7" s="261"/>
      <c r="E7" s="247">
        <f>+C27</f>
        <v>2476984.8400000003</v>
      </c>
      <c r="F7" s="261"/>
      <c r="G7" s="247">
        <f>+E27</f>
        <v>2685867.3800000004</v>
      </c>
      <c r="H7" s="261"/>
      <c r="I7" s="247">
        <f>+G27</f>
        <v>3226763.9400000004</v>
      </c>
      <c r="J7" s="261"/>
      <c r="K7" s="247">
        <v>0</v>
      </c>
      <c r="L7" s="261"/>
      <c r="M7" s="247">
        <f>+K27</f>
        <v>0</v>
      </c>
      <c r="N7" s="261"/>
      <c r="O7" s="247">
        <f>+M27</f>
        <v>0</v>
      </c>
      <c r="P7" s="261"/>
      <c r="Q7" s="247">
        <f>+O27</f>
        <v>0</v>
      </c>
      <c r="R7" s="261"/>
      <c r="S7" s="247">
        <f>+Q27</f>
        <v>0</v>
      </c>
      <c r="T7" s="261"/>
      <c r="U7" s="247">
        <f>+S27</f>
        <v>0</v>
      </c>
      <c r="V7" s="261"/>
      <c r="W7" s="247">
        <f>+U27</f>
        <v>0</v>
      </c>
      <c r="X7" s="261"/>
      <c r="Y7" s="247">
        <f>+W27</f>
        <v>0</v>
      </c>
      <c r="Z7" s="183"/>
      <c r="AB7" s="248">
        <f>+C7</f>
        <v>2471571.7200000002</v>
      </c>
    </row>
    <row r="8" spans="1:28">
      <c r="B8" s="49"/>
      <c r="D8" s="261"/>
      <c r="F8" s="261"/>
      <c r="H8" s="261"/>
      <c r="J8" s="261"/>
      <c r="L8" s="261"/>
      <c r="N8" s="261"/>
      <c r="P8" s="261"/>
      <c r="R8" s="261"/>
      <c r="T8" s="261"/>
      <c r="V8" s="261"/>
      <c r="X8" s="261"/>
      <c r="Z8" s="183"/>
      <c r="AB8" s="248"/>
    </row>
    <row r="9" spans="1:28">
      <c r="A9" s="52" t="s">
        <v>103</v>
      </c>
      <c r="B9" s="53"/>
      <c r="D9" s="266"/>
      <c r="F9" s="266"/>
      <c r="H9" s="266"/>
      <c r="J9" s="266"/>
      <c r="L9" s="266"/>
      <c r="N9" s="266"/>
      <c r="P9" s="266"/>
      <c r="R9" s="266"/>
      <c r="T9" s="266"/>
      <c r="V9" s="266"/>
      <c r="X9" s="266"/>
      <c r="Z9" s="249"/>
      <c r="AB9" s="248"/>
    </row>
    <row r="10" spans="1:28">
      <c r="A10" s="50" t="s">
        <v>104</v>
      </c>
      <c r="B10" s="49"/>
      <c r="C10" s="182">
        <v>7142.78</v>
      </c>
      <c r="D10" s="261"/>
      <c r="E10" s="250">
        <v>208028.41</v>
      </c>
      <c r="F10" s="261"/>
      <c r="G10" s="250">
        <v>542320.18999999994</v>
      </c>
      <c r="H10" s="261"/>
      <c r="I10" s="182">
        <f>7427329.99-877199</f>
        <v>6550130.9900000002</v>
      </c>
      <c r="J10" s="261"/>
      <c r="K10" s="182">
        <v>0</v>
      </c>
      <c r="L10" s="261"/>
      <c r="M10" s="182">
        <v>0</v>
      </c>
      <c r="N10" s="261"/>
      <c r="O10" s="182">
        <v>0</v>
      </c>
      <c r="P10" s="261"/>
      <c r="Q10" s="182">
        <v>0</v>
      </c>
      <c r="R10" s="261"/>
      <c r="S10" s="182">
        <v>0</v>
      </c>
      <c r="T10" s="261"/>
      <c r="U10" s="182">
        <v>0</v>
      </c>
      <c r="V10" s="261"/>
      <c r="W10" s="182">
        <v>0</v>
      </c>
      <c r="X10" s="261"/>
      <c r="Y10" s="182">
        <v>0</v>
      </c>
      <c r="Z10" s="183"/>
      <c r="AB10" s="248">
        <f t="shared" ref="AB10:AB15" si="0">SUM(C10:Y10)</f>
        <v>7307622.3700000001</v>
      </c>
    </row>
    <row r="11" spans="1:28">
      <c r="A11" s="50" t="s">
        <v>105</v>
      </c>
      <c r="B11" s="49"/>
      <c r="C11" s="251">
        <v>813.34</v>
      </c>
      <c r="D11" s="261"/>
      <c r="E11" s="182">
        <v>854.13</v>
      </c>
      <c r="F11" s="261"/>
      <c r="G11" s="182">
        <v>986.37</v>
      </c>
      <c r="H11" s="261"/>
      <c r="I11" s="182">
        <v>1599.69</v>
      </c>
      <c r="J11" s="261"/>
      <c r="K11" s="182">
        <v>0</v>
      </c>
      <c r="L11" s="261"/>
      <c r="M11" s="182">
        <v>0</v>
      </c>
      <c r="N11" s="261"/>
      <c r="O11" s="182">
        <v>0</v>
      </c>
      <c r="P11" s="261"/>
      <c r="Q11" s="182">
        <v>0</v>
      </c>
      <c r="R11" s="261"/>
      <c r="S11" s="182">
        <v>0</v>
      </c>
      <c r="T11" s="261"/>
      <c r="U11" s="182">
        <v>0</v>
      </c>
      <c r="V11" s="261"/>
      <c r="W11" s="182">
        <v>0</v>
      </c>
      <c r="X11" s="261"/>
      <c r="Y11" s="182">
        <v>0</v>
      </c>
      <c r="Z11" s="183"/>
      <c r="AB11" s="248">
        <f t="shared" si="0"/>
        <v>4253.5300000000007</v>
      </c>
    </row>
    <row r="12" spans="1:28">
      <c r="A12" s="50" t="s">
        <v>308</v>
      </c>
      <c r="B12" s="49"/>
      <c r="C12" s="251">
        <v>0</v>
      </c>
      <c r="D12" s="261"/>
      <c r="E12" s="182">
        <v>0</v>
      </c>
      <c r="F12" s="261"/>
      <c r="G12" s="182">
        <v>0</v>
      </c>
      <c r="H12" s="261"/>
      <c r="I12" s="182">
        <v>0</v>
      </c>
      <c r="J12" s="261"/>
      <c r="K12" s="182">
        <v>0</v>
      </c>
      <c r="L12" s="261"/>
      <c r="M12" s="182">
        <v>0</v>
      </c>
      <c r="N12" s="261"/>
      <c r="O12" s="182">
        <v>0</v>
      </c>
      <c r="P12" s="261"/>
      <c r="Q12" s="182">
        <v>0</v>
      </c>
      <c r="R12" s="261"/>
      <c r="S12" s="182">
        <v>0</v>
      </c>
      <c r="T12" s="261"/>
      <c r="U12" s="182">
        <v>0</v>
      </c>
      <c r="V12" s="261"/>
      <c r="W12" s="182">
        <v>0</v>
      </c>
      <c r="X12" s="261"/>
      <c r="Y12" s="182">
        <v>0</v>
      </c>
      <c r="Z12" s="183"/>
      <c r="AB12" s="248">
        <f t="shared" si="0"/>
        <v>0</v>
      </c>
    </row>
    <row r="13" spans="1:28">
      <c r="A13" s="240" t="s">
        <v>307</v>
      </c>
      <c r="B13" s="49"/>
      <c r="C13" s="251">
        <v>0</v>
      </c>
      <c r="D13" s="261"/>
      <c r="E13" s="182">
        <v>0</v>
      </c>
      <c r="F13" s="261"/>
      <c r="G13" s="182">
        <v>0</v>
      </c>
      <c r="H13" s="261"/>
      <c r="I13" s="182">
        <v>877199</v>
      </c>
      <c r="J13" s="261"/>
      <c r="K13" s="182">
        <v>0</v>
      </c>
      <c r="L13" s="261"/>
      <c r="M13" s="182">
        <v>0</v>
      </c>
      <c r="N13" s="261"/>
      <c r="O13" s="182">
        <v>0</v>
      </c>
      <c r="P13" s="261"/>
      <c r="Q13" s="182">
        <v>0</v>
      </c>
      <c r="R13" s="261"/>
      <c r="S13" s="182">
        <v>0</v>
      </c>
      <c r="T13" s="261"/>
      <c r="U13" s="182">
        <v>0</v>
      </c>
      <c r="V13" s="261"/>
      <c r="W13" s="182">
        <v>0</v>
      </c>
      <c r="X13" s="261"/>
      <c r="Y13" s="182">
        <v>0</v>
      </c>
      <c r="Z13" s="183"/>
      <c r="AB13" s="248">
        <f t="shared" si="0"/>
        <v>877199</v>
      </c>
    </row>
    <row r="14" spans="1:28">
      <c r="A14" s="50" t="s">
        <v>115</v>
      </c>
      <c r="B14" s="49"/>
      <c r="C14" s="246">
        <v>0</v>
      </c>
      <c r="D14" s="261"/>
      <c r="E14" s="246">
        <v>0</v>
      </c>
      <c r="F14" s="261"/>
      <c r="G14" s="246">
        <v>0</v>
      </c>
      <c r="H14" s="261"/>
      <c r="I14" s="246">
        <v>0</v>
      </c>
      <c r="J14" s="261"/>
      <c r="K14" s="246">
        <v>0</v>
      </c>
      <c r="L14" s="261"/>
      <c r="M14" s="246">
        <v>0</v>
      </c>
      <c r="N14" s="261"/>
      <c r="O14" s="246">
        <v>0</v>
      </c>
      <c r="P14" s="261"/>
      <c r="Q14" s="246">
        <v>0</v>
      </c>
      <c r="R14" s="261"/>
      <c r="S14" s="246">
        <v>0</v>
      </c>
      <c r="T14" s="261"/>
      <c r="U14" s="246">
        <v>0</v>
      </c>
      <c r="V14" s="261"/>
      <c r="W14" s="246">
        <v>0</v>
      </c>
      <c r="X14" s="261"/>
      <c r="Y14" s="246">
        <v>0</v>
      </c>
      <c r="Z14" s="183"/>
      <c r="AB14" s="254">
        <f t="shared" si="0"/>
        <v>0</v>
      </c>
    </row>
    <row r="15" spans="1:28">
      <c r="A15" s="50" t="s">
        <v>116</v>
      </c>
      <c r="B15" s="49"/>
      <c r="C15" s="247">
        <f>SUM(C10:C14)</f>
        <v>7956.12</v>
      </c>
      <c r="D15" s="261"/>
      <c r="E15" s="247">
        <f>SUM(E10:E14)</f>
        <v>208882.54</v>
      </c>
      <c r="F15" s="261"/>
      <c r="G15" s="247">
        <f>SUM(G10:G14)</f>
        <v>543306.55999999994</v>
      </c>
      <c r="H15" s="261"/>
      <c r="I15" s="247">
        <f>SUM(I10:I14)</f>
        <v>7428929.6800000006</v>
      </c>
      <c r="J15" s="261"/>
      <c r="K15" s="247">
        <f>SUM(K10:K14)</f>
        <v>0</v>
      </c>
      <c r="L15" s="261"/>
      <c r="M15" s="247">
        <f>SUM(M10:M14)</f>
        <v>0</v>
      </c>
      <c r="N15" s="261"/>
      <c r="O15" s="247">
        <f>SUM(O10:O14)</f>
        <v>0</v>
      </c>
      <c r="P15" s="261"/>
      <c r="Q15" s="247">
        <f>SUM(Q10:Q14)</f>
        <v>0</v>
      </c>
      <c r="R15" s="261"/>
      <c r="S15" s="247">
        <f>SUM(S10:S14)</f>
        <v>0</v>
      </c>
      <c r="T15" s="261"/>
      <c r="U15" s="247">
        <f>SUM(U10:U14)</f>
        <v>0</v>
      </c>
      <c r="V15" s="261"/>
      <c r="W15" s="247">
        <f>SUM(W10:W14)</f>
        <v>0</v>
      </c>
      <c r="X15" s="261"/>
      <c r="Y15" s="247">
        <f>SUM(Y10:Y14)</f>
        <v>0</v>
      </c>
      <c r="Z15" s="183"/>
      <c r="AB15" s="182">
        <f t="shared" si="0"/>
        <v>8189074.9000000004</v>
      </c>
    </row>
    <row r="16" spans="1:28">
      <c r="B16" s="49"/>
      <c r="D16" s="261"/>
      <c r="F16" s="261"/>
      <c r="H16" s="261"/>
      <c r="J16" s="261"/>
      <c r="L16" s="261"/>
      <c r="N16" s="261"/>
      <c r="P16" s="261"/>
      <c r="R16" s="261"/>
      <c r="T16" s="261"/>
      <c r="V16" s="261"/>
      <c r="X16" s="261"/>
      <c r="Z16" s="183"/>
    </row>
    <row r="17" spans="1:41">
      <c r="A17" s="52" t="s">
        <v>117</v>
      </c>
      <c r="B17" s="49"/>
      <c r="D17" s="261"/>
      <c r="F17" s="261"/>
      <c r="H17" s="261"/>
      <c r="J17" s="261"/>
      <c r="L17" s="261"/>
      <c r="N17" s="261"/>
      <c r="P17" s="261"/>
      <c r="R17" s="261"/>
      <c r="T17" s="261"/>
      <c r="V17" s="261"/>
      <c r="X17" s="261"/>
      <c r="Z17" s="183"/>
    </row>
    <row r="18" spans="1:41">
      <c r="A18" s="50" t="s">
        <v>122</v>
      </c>
      <c r="B18" s="54"/>
      <c r="C18" s="256">
        <v>0</v>
      </c>
      <c r="D18" s="262"/>
      <c r="E18" s="256">
        <v>0</v>
      </c>
      <c r="F18" s="261"/>
      <c r="G18" s="246">
        <v>0</v>
      </c>
      <c r="H18" s="261"/>
      <c r="I18" s="246">
        <v>0</v>
      </c>
      <c r="J18" s="261"/>
      <c r="K18" s="246">
        <v>0</v>
      </c>
      <c r="L18" s="261"/>
      <c r="M18" s="246">
        <v>0</v>
      </c>
      <c r="N18" s="261"/>
      <c r="O18" s="246">
        <v>0</v>
      </c>
      <c r="P18" s="261"/>
      <c r="Q18" s="246">
        <v>0</v>
      </c>
      <c r="R18" s="261"/>
      <c r="S18" s="246">
        <v>0</v>
      </c>
      <c r="T18" s="261"/>
      <c r="U18" s="246">
        <v>0</v>
      </c>
      <c r="V18" s="261"/>
      <c r="W18" s="246">
        <v>0</v>
      </c>
      <c r="X18" s="261"/>
      <c r="Y18" s="246">
        <v>0</v>
      </c>
      <c r="Z18" s="257"/>
      <c r="AB18" s="254">
        <f>SUM(C18:Y18)</f>
        <v>0</v>
      </c>
    </row>
    <row r="19" spans="1:41">
      <c r="A19" s="50" t="s">
        <v>123</v>
      </c>
      <c r="B19" s="49"/>
      <c r="C19" s="247">
        <f>SUM(C18:C18)</f>
        <v>0</v>
      </c>
      <c r="D19" s="261"/>
      <c r="E19" s="247">
        <f>SUM(E18:E18)</f>
        <v>0</v>
      </c>
      <c r="F19" s="261"/>
      <c r="G19" s="247">
        <f>SUM(G18:G18)</f>
        <v>0</v>
      </c>
      <c r="H19" s="261"/>
      <c r="I19" s="247">
        <f>SUM(I18:I18)</f>
        <v>0</v>
      </c>
      <c r="J19" s="261"/>
      <c r="K19" s="247">
        <f>SUM(K18:K18)</f>
        <v>0</v>
      </c>
      <c r="L19" s="261"/>
      <c r="M19" s="247">
        <f>SUM(M18:M18)</f>
        <v>0</v>
      </c>
      <c r="N19" s="261"/>
      <c r="O19" s="247">
        <f>SUM(O18:O18)</f>
        <v>0</v>
      </c>
      <c r="P19" s="261"/>
      <c r="Q19" s="247">
        <f>SUM(Q18:Q18)</f>
        <v>0</v>
      </c>
      <c r="R19" s="261"/>
      <c r="S19" s="247">
        <f>SUM(S18:S18)</f>
        <v>0</v>
      </c>
      <c r="T19" s="261"/>
      <c r="U19" s="247">
        <f>SUM(U18:U18)</f>
        <v>0</v>
      </c>
      <c r="V19" s="261"/>
      <c r="W19" s="247"/>
      <c r="X19" s="261"/>
      <c r="Y19" s="247"/>
      <c r="Z19" s="257"/>
      <c r="AB19" s="182">
        <f>SUM(C19:Y19)</f>
        <v>0</v>
      </c>
    </row>
    <row r="20" spans="1:41">
      <c r="B20" s="49"/>
      <c r="D20" s="261"/>
      <c r="F20" s="261"/>
      <c r="H20" s="261"/>
      <c r="J20" s="261"/>
      <c r="L20" s="261"/>
      <c r="M20" s="258"/>
      <c r="N20" s="261"/>
      <c r="P20" s="261"/>
      <c r="R20" s="261"/>
      <c r="T20" s="261"/>
      <c r="V20" s="261"/>
      <c r="X20" s="261"/>
      <c r="Z20" s="183"/>
    </row>
    <row r="21" spans="1:41">
      <c r="A21" s="240" t="s">
        <v>254</v>
      </c>
      <c r="B21" s="49"/>
      <c r="C21" s="182">
        <v>0</v>
      </c>
      <c r="D21" s="261"/>
      <c r="E21" s="182">
        <v>0</v>
      </c>
      <c r="F21" s="261"/>
      <c r="G21" s="182">
        <v>0</v>
      </c>
      <c r="H21" s="261"/>
      <c r="I21" s="182">
        <v>8000000</v>
      </c>
      <c r="J21" s="261"/>
      <c r="K21" s="182">
        <v>0</v>
      </c>
      <c r="L21" s="261"/>
      <c r="M21" s="182">
        <v>0</v>
      </c>
      <c r="N21" s="261"/>
      <c r="O21" s="182">
        <v>0</v>
      </c>
      <c r="P21" s="182"/>
      <c r="Q21" s="182">
        <v>0</v>
      </c>
      <c r="R21" s="261"/>
      <c r="S21" s="182">
        <v>0</v>
      </c>
      <c r="T21" s="261"/>
      <c r="U21" s="182">
        <v>0</v>
      </c>
      <c r="V21" s="261"/>
      <c r="W21" s="182">
        <v>0</v>
      </c>
      <c r="X21" s="261"/>
      <c r="Y21" s="182">
        <v>0</v>
      </c>
      <c r="Z21" s="183"/>
      <c r="AB21" s="248">
        <f>SUM(C21:Y21)</f>
        <v>8000000</v>
      </c>
    </row>
    <row r="22" spans="1:41">
      <c r="A22" s="240" t="s">
        <v>305</v>
      </c>
      <c r="B22" s="49"/>
      <c r="C22" s="246">
        <v>2543</v>
      </c>
      <c r="D22" s="261"/>
      <c r="E22" s="246">
        <v>0</v>
      </c>
      <c r="F22" s="261"/>
      <c r="G22" s="246">
        <v>2410</v>
      </c>
      <c r="H22" s="261"/>
      <c r="I22" s="246">
        <v>0</v>
      </c>
      <c r="J22" s="261"/>
      <c r="K22" s="246">
        <v>0</v>
      </c>
      <c r="L22" s="261"/>
      <c r="M22" s="246">
        <v>0</v>
      </c>
      <c r="N22" s="261"/>
      <c r="O22" s="246">
        <v>0</v>
      </c>
      <c r="P22" s="261"/>
      <c r="Q22" s="246">
        <v>0</v>
      </c>
      <c r="R22" s="261"/>
      <c r="S22" s="246">
        <v>0</v>
      </c>
      <c r="T22" s="261"/>
      <c r="U22" s="246">
        <v>0</v>
      </c>
      <c r="V22" s="261"/>
      <c r="W22" s="246">
        <v>0</v>
      </c>
      <c r="X22" s="261"/>
      <c r="Y22" s="246">
        <v>0</v>
      </c>
      <c r="Z22" s="183"/>
      <c r="AB22" s="254">
        <f>SUM(C22:Y22)</f>
        <v>4953</v>
      </c>
    </row>
    <row r="23" spans="1:41">
      <c r="A23" s="50" t="s">
        <v>127</v>
      </c>
      <c r="B23" s="49"/>
      <c r="C23" s="247">
        <f>SUM(C21:C22)+C19</f>
        <v>2543</v>
      </c>
      <c r="D23" s="261"/>
      <c r="E23" s="247">
        <f>SUM(E21:E22)+E19</f>
        <v>0</v>
      </c>
      <c r="F23" s="261"/>
      <c r="G23" s="247">
        <f>SUM(G21:G22)+G19</f>
        <v>2410</v>
      </c>
      <c r="H23" s="261"/>
      <c r="I23" s="247">
        <f>SUM(I21:I22)+I19</f>
        <v>8000000</v>
      </c>
      <c r="J23" s="261"/>
      <c r="K23" s="247">
        <f>SUM(K21:K22)+K19</f>
        <v>0</v>
      </c>
      <c r="L23" s="261"/>
      <c r="M23" s="247">
        <f>SUM(M21:M22)+M19</f>
        <v>0</v>
      </c>
      <c r="N23" s="261"/>
      <c r="O23" s="247">
        <f>SUM(O21:O22)+O19</f>
        <v>0</v>
      </c>
      <c r="P23" s="261"/>
      <c r="Q23" s="247">
        <f>SUM(Q21:Q22)+Q19</f>
        <v>0</v>
      </c>
      <c r="R23" s="261"/>
      <c r="S23" s="247">
        <f>SUM(S21:S22)+S19</f>
        <v>0</v>
      </c>
      <c r="T23" s="261"/>
      <c r="U23" s="247">
        <f>SUM(U21:U22)+U19</f>
        <v>0</v>
      </c>
      <c r="V23" s="261"/>
      <c r="W23" s="247">
        <f>SUM(W21:W22)+W19</f>
        <v>0</v>
      </c>
      <c r="X23" s="261"/>
      <c r="Y23" s="247">
        <f>SUM(Y19:Y22)</f>
        <v>0</v>
      </c>
      <c r="Z23" s="257"/>
      <c r="AB23" s="182">
        <f>SUM(C23:Y23)</f>
        <v>8004953</v>
      </c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</row>
    <row r="24" spans="1:41">
      <c r="B24" s="49"/>
      <c r="D24" s="261"/>
      <c r="E24" s="250"/>
      <c r="F24" s="261"/>
      <c r="G24" s="250"/>
      <c r="H24" s="261"/>
      <c r="I24" s="250"/>
      <c r="J24" s="261"/>
      <c r="K24" s="250"/>
      <c r="L24" s="261"/>
      <c r="M24" s="250"/>
      <c r="N24" s="261"/>
      <c r="O24" s="250"/>
      <c r="P24" s="261"/>
      <c r="Q24" s="250"/>
      <c r="R24" s="261"/>
      <c r="S24" s="250"/>
      <c r="T24" s="261"/>
      <c r="U24" s="250"/>
      <c r="V24" s="261"/>
      <c r="W24" s="250"/>
      <c r="X24" s="261"/>
      <c r="Y24" s="250"/>
      <c r="Z24" s="257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</row>
    <row r="25" spans="1:41">
      <c r="A25" s="50" t="s">
        <v>128</v>
      </c>
      <c r="B25" s="49"/>
      <c r="C25" s="247">
        <f>+C15-C23</f>
        <v>5413.12</v>
      </c>
      <c r="D25" s="261"/>
      <c r="E25" s="247">
        <f>+E15-E23</f>
        <v>208882.54</v>
      </c>
      <c r="F25" s="261"/>
      <c r="G25" s="247">
        <f>+G15-G23</f>
        <v>540896.55999999994</v>
      </c>
      <c r="H25" s="261"/>
      <c r="I25" s="247">
        <f>+I15-I23</f>
        <v>-571070.31999999937</v>
      </c>
      <c r="J25" s="261"/>
      <c r="K25" s="247">
        <f>+K15-K23</f>
        <v>0</v>
      </c>
      <c r="L25" s="261"/>
      <c r="M25" s="247">
        <f>+M15-M23</f>
        <v>0</v>
      </c>
      <c r="N25" s="261"/>
      <c r="O25" s="247">
        <f>+O15-O23</f>
        <v>0</v>
      </c>
      <c r="P25" s="261"/>
      <c r="Q25" s="247">
        <f>+Q15-Q23</f>
        <v>0</v>
      </c>
      <c r="R25" s="261"/>
      <c r="S25" s="247">
        <f>+S15-S23</f>
        <v>0</v>
      </c>
      <c r="T25" s="261"/>
      <c r="U25" s="247">
        <f>+U15-U23</f>
        <v>0</v>
      </c>
      <c r="V25" s="261"/>
      <c r="W25" s="247">
        <f>+W15-W23</f>
        <v>0</v>
      </c>
      <c r="Y25" s="247">
        <f>+Y15-Y23</f>
        <v>0</v>
      </c>
      <c r="AB25" s="182">
        <f>SUM(C25:Y25)</f>
        <v>184121.90000000061</v>
      </c>
    </row>
    <row r="26" spans="1:41" ht="13.5" thickBot="1">
      <c r="B26" s="49"/>
      <c r="D26" s="261"/>
      <c r="F26" s="261"/>
      <c r="H26" s="261"/>
      <c r="J26" s="261"/>
      <c r="L26" s="261"/>
      <c r="N26" s="261"/>
      <c r="P26" s="261"/>
      <c r="R26" s="261"/>
      <c r="T26" s="261"/>
      <c r="V26" s="261"/>
      <c r="X26" s="261"/>
      <c r="Z26" s="183"/>
    </row>
    <row r="27" spans="1:41" ht="13.5" thickBot="1">
      <c r="A27" s="57" t="s">
        <v>129</v>
      </c>
      <c r="B27" s="53"/>
      <c r="C27" s="456">
        <f>+C7+C25</f>
        <v>2476984.8400000003</v>
      </c>
      <c r="D27" s="266"/>
      <c r="E27" s="456">
        <f>+E7+E25</f>
        <v>2685867.3800000004</v>
      </c>
      <c r="F27" s="266"/>
      <c r="G27" s="456">
        <f>+G7+G25</f>
        <v>3226763.9400000004</v>
      </c>
      <c r="H27" s="266"/>
      <c r="I27" s="456">
        <f>+I7+I25</f>
        <v>2655693.620000001</v>
      </c>
      <c r="J27" s="266"/>
      <c r="K27" s="456">
        <f>+K7+K25</f>
        <v>0</v>
      </c>
      <c r="L27" s="266"/>
      <c r="M27" s="456">
        <f>+M7+M25</f>
        <v>0</v>
      </c>
      <c r="N27" s="266"/>
      <c r="O27" s="456">
        <f>+O7+O25</f>
        <v>0</v>
      </c>
      <c r="P27" s="266"/>
      <c r="Q27" s="456">
        <f>+Q7+Q25</f>
        <v>0</v>
      </c>
      <c r="R27" s="266"/>
      <c r="S27" s="456">
        <f>+S7+S25</f>
        <v>0</v>
      </c>
      <c r="T27" s="266"/>
      <c r="U27" s="456">
        <f>+U7+U25</f>
        <v>0</v>
      </c>
      <c r="V27" s="266"/>
      <c r="W27" s="456">
        <f>+W7+W25</f>
        <v>0</v>
      </c>
      <c r="X27" s="265"/>
      <c r="Y27" s="456">
        <f>+Y7+Y25</f>
        <v>0</v>
      </c>
      <c r="Z27" s="259"/>
      <c r="AA27" s="265"/>
      <c r="AB27" s="456">
        <f>+AB7+AB25</f>
        <v>2655693.620000001</v>
      </c>
    </row>
    <row r="28" spans="1:41">
      <c r="B28" s="49"/>
      <c r="D28" s="261"/>
      <c r="F28" s="261"/>
      <c r="H28" s="261"/>
      <c r="J28" s="261"/>
      <c r="L28" s="261"/>
      <c r="N28" s="261"/>
      <c r="P28" s="261"/>
      <c r="R28" s="261"/>
      <c r="T28" s="261"/>
      <c r="V28" s="261"/>
      <c r="X28" s="261"/>
      <c r="Z28" s="183"/>
    </row>
    <row r="29" spans="1:41">
      <c r="B29" s="49"/>
      <c r="D29" s="261"/>
      <c r="F29" s="261"/>
      <c r="H29" s="261"/>
      <c r="J29" s="261"/>
      <c r="L29" s="261"/>
      <c r="N29" s="261"/>
      <c r="P29" s="261"/>
      <c r="R29" s="261"/>
      <c r="T29" s="261"/>
      <c r="V29" s="261"/>
      <c r="X29" s="261"/>
      <c r="Z29" s="183"/>
    </row>
    <row r="30" spans="1:41">
      <c r="A30" s="240" t="s">
        <v>265</v>
      </c>
      <c r="B30" s="49"/>
      <c r="C30" s="182">
        <v>1240988.17</v>
      </c>
      <c r="D30" s="261"/>
      <c r="E30" s="182">
        <f>+C30+C31</f>
        <v>1241022.1099999999</v>
      </c>
      <c r="F30" s="261"/>
      <c r="G30" s="182">
        <f>+E30+E31</f>
        <v>1241050.3299999998</v>
      </c>
      <c r="H30" s="261"/>
      <c r="I30" s="182">
        <f>+G30+G31</f>
        <v>1241079.45</v>
      </c>
      <c r="J30" s="261"/>
      <c r="K30" s="182">
        <v>0</v>
      </c>
      <c r="L30" s="261"/>
      <c r="M30" s="182">
        <f>+K34</f>
        <v>0</v>
      </c>
      <c r="N30" s="261"/>
      <c r="O30" s="182">
        <f>+M30+M31+M33</f>
        <v>0</v>
      </c>
      <c r="P30" s="261"/>
      <c r="Q30" s="182">
        <f>+O30+O31</f>
        <v>0</v>
      </c>
      <c r="R30" s="261"/>
      <c r="S30" s="182">
        <f>+Q30+Q31</f>
        <v>0</v>
      </c>
      <c r="T30" s="261"/>
      <c r="U30" s="182">
        <f>+S30+S31</f>
        <v>0</v>
      </c>
      <c r="V30" s="261"/>
      <c r="W30" s="182">
        <f>+U30+U31</f>
        <v>0</v>
      </c>
      <c r="X30" s="261"/>
      <c r="Y30" s="182">
        <f>+W30+W31</f>
        <v>0</v>
      </c>
      <c r="Z30" s="183"/>
      <c r="AB30" s="248">
        <f>+C30</f>
        <v>1240988.17</v>
      </c>
    </row>
    <row r="31" spans="1:41">
      <c r="A31" s="240" t="s">
        <v>266</v>
      </c>
      <c r="B31" s="49"/>
      <c r="C31" s="182">
        <v>33.94</v>
      </c>
      <c r="D31" s="261"/>
      <c r="E31" s="182">
        <v>28.22</v>
      </c>
      <c r="F31" s="261"/>
      <c r="G31" s="182">
        <v>29.12</v>
      </c>
      <c r="H31" s="261"/>
      <c r="I31" s="182">
        <v>57.07</v>
      </c>
      <c r="J31" s="261"/>
      <c r="K31" s="182">
        <v>0</v>
      </c>
      <c r="L31" s="261"/>
      <c r="M31" s="182">
        <v>0</v>
      </c>
      <c r="N31" s="261"/>
      <c r="O31" s="182">
        <v>0</v>
      </c>
      <c r="P31" s="261"/>
      <c r="Q31" s="182">
        <v>0</v>
      </c>
      <c r="R31" s="261"/>
      <c r="S31" s="182">
        <v>0</v>
      </c>
      <c r="T31" s="261"/>
      <c r="U31" s="182">
        <v>0</v>
      </c>
      <c r="V31" s="261"/>
      <c r="W31" s="182">
        <v>0</v>
      </c>
      <c r="X31" s="261"/>
      <c r="Y31" s="182">
        <v>0</v>
      </c>
      <c r="Z31" s="183"/>
      <c r="AB31" s="248">
        <f>SUM(C31:AA31)</f>
        <v>148.35</v>
      </c>
    </row>
    <row r="32" spans="1:41">
      <c r="A32" s="50" t="s">
        <v>132</v>
      </c>
      <c r="C32" s="182">
        <v>0</v>
      </c>
      <c r="E32" s="182">
        <v>0</v>
      </c>
      <c r="G32" s="182">
        <v>0</v>
      </c>
      <c r="I32" s="182">
        <v>8000000</v>
      </c>
      <c r="K32" s="182">
        <v>0</v>
      </c>
      <c r="M32" s="182">
        <v>0</v>
      </c>
      <c r="O32" s="182">
        <v>0</v>
      </c>
      <c r="Q32" s="182">
        <v>0</v>
      </c>
      <c r="S32" s="182">
        <v>0</v>
      </c>
      <c r="U32" s="182">
        <v>0</v>
      </c>
      <c r="W32" s="182">
        <v>0</v>
      </c>
      <c r="Y32" s="182">
        <v>0</v>
      </c>
      <c r="AB32" s="248">
        <f>SUM(C32:AA32)</f>
        <v>8000000</v>
      </c>
    </row>
    <row r="33" spans="1:28">
      <c r="A33" s="50" t="s">
        <v>133</v>
      </c>
      <c r="B33" s="49"/>
      <c r="C33" s="246">
        <v>0</v>
      </c>
      <c r="D33" s="261"/>
      <c r="E33" s="246">
        <v>0</v>
      </c>
      <c r="F33" s="261"/>
      <c r="G33" s="246">
        <v>0</v>
      </c>
      <c r="H33" s="261"/>
      <c r="I33" s="246">
        <v>0</v>
      </c>
      <c r="J33" s="261"/>
      <c r="K33" s="246">
        <v>0</v>
      </c>
      <c r="L33" s="261"/>
      <c r="M33" s="246">
        <v>0</v>
      </c>
      <c r="N33" s="261"/>
      <c r="O33" s="246">
        <v>0</v>
      </c>
      <c r="P33" s="261"/>
      <c r="Q33" s="246">
        <v>0</v>
      </c>
      <c r="R33" s="261"/>
      <c r="S33" s="246">
        <v>0</v>
      </c>
      <c r="T33" s="261"/>
      <c r="U33" s="246">
        <v>0</v>
      </c>
      <c r="V33" s="261"/>
      <c r="W33" s="246">
        <v>0</v>
      </c>
      <c r="X33" s="261"/>
      <c r="Y33" s="246">
        <v>0</v>
      </c>
      <c r="Z33" s="183"/>
      <c r="AB33" s="254">
        <f>SUM(C33:AA33)</f>
        <v>0</v>
      </c>
    </row>
    <row r="34" spans="1:28">
      <c r="A34" s="57" t="s">
        <v>134</v>
      </c>
      <c r="B34" s="53"/>
      <c r="C34" s="247">
        <f>SUM(C30:C33)</f>
        <v>1241022.1099999999</v>
      </c>
      <c r="D34" s="266"/>
      <c r="E34" s="247">
        <f>SUM(E30:E33)</f>
        <v>1241050.3299999998</v>
      </c>
      <c r="F34" s="266"/>
      <c r="G34" s="247">
        <f>SUM(G30:G33)</f>
        <v>1241079.45</v>
      </c>
      <c r="H34" s="266"/>
      <c r="I34" s="247">
        <f>SUM(I30:I33)</f>
        <v>9241136.5199999996</v>
      </c>
      <c r="J34" s="266"/>
      <c r="K34" s="247">
        <f>SUM(K30:K33)</f>
        <v>0</v>
      </c>
      <c r="L34" s="266"/>
      <c r="M34" s="247">
        <f>SUM(M30:M33)</f>
        <v>0</v>
      </c>
      <c r="N34" s="266"/>
      <c r="O34" s="247">
        <f>SUM(O30:O33)</f>
        <v>0</v>
      </c>
      <c r="P34" s="266"/>
      <c r="Q34" s="247">
        <f>SUM(Q30:Q33)</f>
        <v>0</v>
      </c>
      <c r="R34" s="266"/>
      <c r="S34" s="247">
        <f>SUM(S30:S33)</f>
        <v>0</v>
      </c>
      <c r="T34" s="266"/>
      <c r="U34" s="247">
        <f>SUM(U30:U33)</f>
        <v>0</v>
      </c>
      <c r="V34" s="266"/>
      <c r="W34" s="247">
        <f>SUM(W30:W33)</f>
        <v>0</v>
      </c>
      <c r="X34" s="266"/>
      <c r="Y34" s="247">
        <f>SUM(Y30:Y33)</f>
        <v>0</v>
      </c>
      <c r="Z34" s="266"/>
      <c r="AB34" s="182">
        <f>SUM(AB30:AB33)</f>
        <v>9241136.5199999996</v>
      </c>
    </row>
    <row r="35" spans="1:28" ht="13.5" thickBot="1">
      <c r="B35" s="49"/>
      <c r="D35" s="261"/>
      <c r="F35" s="261"/>
      <c r="H35" s="261"/>
      <c r="J35" s="261"/>
      <c r="L35" s="261"/>
      <c r="N35" s="261"/>
      <c r="P35" s="261"/>
      <c r="R35" s="261"/>
      <c r="T35" s="261"/>
      <c r="V35" s="261"/>
      <c r="X35" s="261"/>
      <c r="Z35" s="261"/>
    </row>
    <row r="36" spans="1:28" ht="13.5" thickBot="1">
      <c r="A36" s="52" t="s">
        <v>135</v>
      </c>
      <c r="B36" s="53"/>
      <c r="C36" s="456">
        <f>+C27+C34</f>
        <v>3718006.95</v>
      </c>
      <c r="D36" s="266"/>
      <c r="E36" s="456">
        <f>+E27+E34</f>
        <v>3926917.71</v>
      </c>
      <c r="F36" s="266"/>
      <c r="G36" s="456">
        <f>+G27+G34</f>
        <v>4467843.3900000006</v>
      </c>
      <c r="H36" s="266"/>
      <c r="I36" s="456">
        <f>+I27+I34</f>
        <v>11896830.140000001</v>
      </c>
      <c r="J36" s="266"/>
      <c r="K36" s="456">
        <f>+K27+K34</f>
        <v>0</v>
      </c>
      <c r="L36" s="266"/>
      <c r="M36" s="456">
        <f>+M27+M34</f>
        <v>0</v>
      </c>
      <c r="N36" s="266"/>
      <c r="O36" s="456">
        <f>+O27+O34</f>
        <v>0</v>
      </c>
      <c r="P36" s="266"/>
      <c r="Q36" s="456">
        <f>+Q27+Q34</f>
        <v>0</v>
      </c>
      <c r="R36" s="266"/>
      <c r="S36" s="456">
        <f>+S27+S34</f>
        <v>0</v>
      </c>
      <c r="T36" s="266"/>
      <c r="U36" s="456">
        <f>+U27+U34</f>
        <v>0</v>
      </c>
      <c r="V36" s="266"/>
      <c r="W36" s="456">
        <f>+W27+W34</f>
        <v>0</v>
      </c>
      <c r="X36" s="265"/>
      <c r="Y36" s="456">
        <f>+Y27+Y34</f>
        <v>0</v>
      </c>
      <c r="Z36" s="259"/>
      <c r="AA36" s="265"/>
      <c r="AB36" s="456">
        <f>+AB27+AB34</f>
        <v>11896830.140000001</v>
      </c>
    </row>
    <row r="37" spans="1:28">
      <c r="B37" s="49"/>
      <c r="D37" s="261"/>
      <c r="F37" s="261"/>
      <c r="H37" s="261"/>
      <c r="J37" s="261"/>
      <c r="L37" s="261"/>
      <c r="N37" s="261"/>
      <c r="P37" s="261"/>
      <c r="R37" s="261"/>
      <c r="T37" s="261"/>
      <c r="V37" s="261"/>
      <c r="X37" s="261"/>
      <c r="Z37" s="183"/>
    </row>
    <row r="38" spans="1:28">
      <c r="B38" s="49"/>
      <c r="D38" s="261"/>
      <c r="F38" s="261"/>
      <c r="H38" s="261"/>
      <c r="J38" s="261"/>
      <c r="L38" s="261"/>
      <c r="N38" s="261"/>
      <c r="P38" s="261"/>
      <c r="R38" s="261"/>
      <c r="T38" s="261"/>
      <c r="V38" s="261"/>
      <c r="X38" s="261"/>
      <c r="Z38" s="183"/>
    </row>
    <row r="39" spans="1:28">
      <c r="B39" s="49"/>
      <c r="D39" s="261"/>
      <c r="F39" s="261"/>
      <c r="H39" s="261"/>
      <c r="J39" s="261"/>
      <c r="L39" s="261"/>
      <c r="N39" s="261"/>
      <c r="P39" s="261"/>
      <c r="R39" s="261"/>
      <c r="T39" s="261"/>
      <c r="V39" s="261"/>
      <c r="X39" s="261"/>
      <c r="Z39" s="183"/>
    </row>
    <row r="40" spans="1:28">
      <c r="B40" s="49"/>
      <c r="D40" s="261"/>
      <c r="F40" s="261"/>
      <c r="H40" s="261"/>
      <c r="J40" s="261"/>
      <c r="L40" s="261"/>
      <c r="N40" s="261"/>
      <c r="P40" s="261"/>
      <c r="R40" s="261"/>
      <c r="T40" s="261"/>
      <c r="V40" s="261"/>
      <c r="X40" s="261"/>
      <c r="Z40" s="183"/>
    </row>
    <row r="41" spans="1:28">
      <c r="B41" s="49"/>
      <c r="D41" s="261"/>
      <c r="F41" s="261"/>
      <c r="H41" s="261"/>
      <c r="J41" s="261"/>
      <c r="L41" s="261"/>
      <c r="N41" s="261"/>
      <c r="P41" s="261"/>
      <c r="R41" s="261"/>
      <c r="T41" s="261"/>
      <c r="V41" s="261"/>
      <c r="X41" s="261"/>
      <c r="Z41" s="183"/>
    </row>
    <row r="42" spans="1:28">
      <c r="B42" s="49"/>
      <c r="D42" s="261"/>
      <c r="F42" s="261"/>
      <c r="H42" s="261"/>
      <c r="J42" s="261"/>
      <c r="L42" s="261"/>
      <c r="N42" s="261"/>
      <c r="P42" s="261"/>
      <c r="R42" s="261"/>
      <c r="T42" s="261"/>
      <c r="V42" s="261"/>
      <c r="X42" s="261"/>
      <c r="Z42" s="183"/>
    </row>
    <row r="43" spans="1:28">
      <c r="B43" s="49"/>
      <c r="D43" s="261"/>
      <c r="F43" s="261"/>
      <c r="H43" s="261"/>
      <c r="J43" s="261"/>
      <c r="L43" s="261"/>
      <c r="N43" s="261"/>
      <c r="P43" s="261"/>
      <c r="R43" s="261"/>
      <c r="T43" s="261"/>
      <c r="V43" s="261"/>
      <c r="X43" s="261"/>
      <c r="Z43" s="183"/>
    </row>
    <row r="44" spans="1:28">
      <c r="B44" s="49"/>
      <c r="D44" s="261"/>
      <c r="F44" s="261"/>
      <c r="H44" s="261"/>
      <c r="J44" s="261"/>
      <c r="L44" s="261"/>
      <c r="N44" s="261"/>
      <c r="P44" s="261"/>
      <c r="R44" s="261"/>
      <c r="T44" s="261"/>
      <c r="V44" s="261"/>
      <c r="X44" s="261"/>
      <c r="Z44" s="183"/>
    </row>
  </sheetData>
  <phoneticPr fontId="7" type="noConversion"/>
  <pageMargins left="0.17" right="0.17" top="0.75" bottom="0.5" header="0.41" footer="0.37"/>
  <pageSetup scale="59" orientation="landscape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>
      <selection activeCell="G31" sqref="G31"/>
    </sheetView>
  </sheetViews>
  <sheetFormatPr defaultColWidth="9.140625" defaultRowHeight="12.75"/>
  <cols>
    <col min="1" max="1" width="7" style="60" customWidth="1"/>
    <col min="2" max="2" width="9.140625" style="60"/>
    <col min="3" max="3" width="28.7109375" style="60" customWidth="1"/>
    <col min="4" max="4" width="22.7109375" style="60" customWidth="1"/>
    <col min="5" max="5" width="16.7109375" style="400" customWidth="1"/>
    <col min="6" max="6" width="4.5703125" style="60" customWidth="1"/>
    <col min="7" max="7" width="18.28515625" style="424" customWidth="1"/>
    <col min="8" max="8" width="13.5703125" style="425" customWidth="1"/>
    <col min="9" max="9" width="11.28515625" style="60" bestFit="1" customWidth="1"/>
    <col min="10" max="16384" width="9.140625" style="60"/>
  </cols>
  <sheetData>
    <row r="1" spans="1:8" ht="18" customHeight="1">
      <c r="A1" s="415" t="s">
        <v>257</v>
      </c>
      <c r="B1" s="416"/>
      <c r="C1" s="416"/>
      <c r="D1" s="417"/>
      <c r="E1" s="418"/>
      <c r="F1" s="59"/>
    </row>
    <row r="2" spans="1:8" ht="15.75" customHeight="1">
      <c r="A2" s="419" t="s">
        <v>299</v>
      </c>
      <c r="B2" s="416"/>
      <c r="C2" s="416"/>
      <c r="D2" s="417"/>
      <c r="E2" s="418"/>
      <c r="F2" s="59"/>
    </row>
    <row r="3" spans="1:8" ht="15" customHeight="1">
      <c r="A3" s="420" t="s">
        <v>328</v>
      </c>
      <c r="B3" s="416"/>
      <c r="C3" s="416"/>
      <c r="D3" s="417"/>
      <c r="E3" s="418"/>
      <c r="F3" s="59"/>
    </row>
    <row r="4" spans="1:8" ht="18" customHeight="1">
      <c r="A4" s="58" t="s">
        <v>85</v>
      </c>
      <c r="B4" s="58"/>
      <c r="C4" s="58"/>
      <c r="D4" s="62"/>
      <c r="E4" s="393"/>
      <c r="F4" s="63"/>
    </row>
    <row r="5" spans="1:8" ht="18" customHeight="1">
      <c r="A5" s="58"/>
      <c r="B5" s="58"/>
      <c r="C5" s="58"/>
      <c r="D5" s="62"/>
      <c r="E5" s="393"/>
      <c r="F5" s="63"/>
    </row>
    <row r="6" spans="1:8" ht="16.5" customHeight="1" thickBot="1">
      <c r="A6" s="64" t="s">
        <v>136</v>
      </c>
      <c r="B6" s="64"/>
      <c r="C6" s="65"/>
      <c r="D6" s="58"/>
      <c r="E6" s="393"/>
      <c r="F6" s="59"/>
    </row>
    <row r="7" spans="1:8" ht="16.5" customHeight="1">
      <c r="A7" s="413"/>
      <c r="B7" s="413"/>
      <c r="C7" s="414"/>
      <c r="D7" s="58"/>
      <c r="E7" s="393"/>
      <c r="F7" s="59"/>
    </row>
    <row r="8" spans="1:8" s="401" customFormat="1">
      <c r="A8" s="63" t="s">
        <v>137</v>
      </c>
      <c r="B8" s="63"/>
      <c r="C8" s="58"/>
      <c r="D8" s="66"/>
      <c r="E8" s="389">
        <f>+'GO Cash Flow'!AB43</f>
        <v>23857097.499999993</v>
      </c>
      <c r="F8" s="71"/>
      <c r="G8" s="434"/>
      <c r="H8" s="426" t="s">
        <v>85</v>
      </c>
    </row>
    <row r="9" spans="1:8" s="401" customFormat="1">
      <c r="A9" s="403"/>
      <c r="B9" s="403"/>
      <c r="C9" s="58"/>
      <c r="D9" s="66"/>
      <c r="E9" s="389"/>
      <c r="F9" s="71"/>
      <c r="G9" s="424"/>
      <c r="H9" s="426"/>
    </row>
    <row r="10" spans="1:8" s="401" customFormat="1">
      <c r="A10" s="404" t="s">
        <v>289</v>
      </c>
      <c r="B10" s="405" t="s">
        <v>291</v>
      </c>
      <c r="C10" s="69"/>
      <c r="D10" s="70"/>
      <c r="E10" s="391">
        <v>1809265.82</v>
      </c>
      <c r="F10" s="71"/>
      <c r="G10" s="424"/>
      <c r="H10" s="426"/>
    </row>
    <row r="11" spans="1:8" s="401" customFormat="1">
      <c r="A11" s="405"/>
      <c r="B11" s="404" t="s">
        <v>258</v>
      </c>
      <c r="C11" s="58"/>
      <c r="D11" s="68"/>
      <c r="E11" s="390">
        <v>12165964.939999999</v>
      </c>
      <c r="F11" s="71"/>
      <c r="G11" s="424"/>
      <c r="H11" s="426"/>
    </row>
    <row r="12" spans="1:8" s="401" customFormat="1">
      <c r="A12" s="405"/>
      <c r="B12" s="405" t="s">
        <v>290</v>
      </c>
      <c r="C12" s="69"/>
      <c r="D12" s="70"/>
      <c r="E12" s="391">
        <v>1378945.1</v>
      </c>
      <c r="F12" s="71"/>
      <c r="G12" s="424"/>
      <c r="H12" s="426"/>
    </row>
    <row r="13" spans="1:8" s="401" customFormat="1">
      <c r="A13" s="405"/>
      <c r="B13" s="405"/>
      <c r="C13" s="69"/>
      <c r="D13" s="70"/>
      <c r="E13" s="392"/>
      <c r="F13" s="71"/>
      <c r="G13" s="424"/>
      <c r="H13" s="426"/>
    </row>
    <row r="14" spans="1:8" s="401" customFormat="1">
      <c r="A14" s="404" t="s">
        <v>289</v>
      </c>
      <c r="B14" s="405" t="s">
        <v>296</v>
      </c>
      <c r="C14" s="69"/>
      <c r="D14" s="70"/>
      <c r="E14" s="447">
        <v>73.3</v>
      </c>
      <c r="F14" s="71"/>
      <c r="G14" s="424"/>
      <c r="H14" s="426"/>
    </row>
    <row r="15" spans="1:8" s="401" customFormat="1">
      <c r="A15" s="404"/>
      <c r="B15" s="405" t="s">
        <v>297</v>
      </c>
      <c r="C15" s="69"/>
      <c r="D15" s="70"/>
      <c r="E15" s="392">
        <v>2020796.18</v>
      </c>
      <c r="F15" s="71"/>
      <c r="G15" s="424"/>
      <c r="H15" s="426"/>
    </row>
    <row r="16" spans="1:8" s="401" customFormat="1">
      <c r="A16" s="404"/>
      <c r="B16" s="405"/>
      <c r="C16" s="69"/>
      <c r="D16" s="70"/>
      <c r="E16" s="392"/>
      <c r="F16" s="71"/>
      <c r="G16" s="424"/>
      <c r="H16" s="426"/>
    </row>
    <row r="17" spans="1:9" s="401" customFormat="1">
      <c r="A17" s="403" t="s">
        <v>293</v>
      </c>
      <c r="B17" s="403" t="s">
        <v>295</v>
      </c>
      <c r="C17" s="69"/>
      <c r="D17" s="70"/>
      <c r="E17" s="392">
        <f>-64122.17-1246.42</f>
        <v>-65368.59</v>
      </c>
      <c r="F17" s="71"/>
      <c r="G17" s="424"/>
      <c r="H17" s="426"/>
    </row>
    <row r="18" spans="1:9" s="401" customFormat="1">
      <c r="A18" s="403"/>
      <c r="B18" s="403"/>
      <c r="C18" s="406"/>
      <c r="D18" s="407"/>
      <c r="E18" s="455"/>
      <c r="F18" s="406"/>
      <c r="G18" s="424"/>
      <c r="H18" s="426"/>
    </row>
    <row r="19" spans="1:9" s="401" customFormat="1">
      <c r="A19" s="403"/>
      <c r="B19" s="403"/>
      <c r="C19" s="406"/>
      <c r="D19" s="407"/>
      <c r="E19" s="408"/>
      <c r="F19" s="406"/>
      <c r="G19" s="424"/>
      <c r="H19" s="426"/>
    </row>
    <row r="20" spans="1:9" s="401" customFormat="1" ht="17.25" customHeight="1" thickBot="1">
      <c r="A20" s="410" t="s">
        <v>138</v>
      </c>
      <c r="B20" s="410"/>
      <c r="C20" s="453"/>
      <c r="D20" s="453"/>
      <c r="E20" s="454">
        <f>SUM(E8:E18)</f>
        <v>41166774.249999985</v>
      </c>
      <c r="F20" s="76"/>
      <c r="G20" s="434"/>
      <c r="H20" s="461"/>
      <c r="I20" s="400"/>
    </row>
    <row r="21" spans="1:9" s="401" customFormat="1" ht="13.5" thickTop="1">
      <c r="A21" s="409"/>
      <c r="B21" s="409"/>
      <c r="C21" s="71"/>
      <c r="D21" s="71"/>
      <c r="E21" s="397"/>
      <c r="F21" s="76"/>
      <c r="G21" s="424"/>
      <c r="H21" s="426"/>
    </row>
    <row r="22" spans="1:9" s="401" customFormat="1">
      <c r="A22" s="409"/>
      <c r="B22" s="409"/>
      <c r="C22" s="71"/>
      <c r="D22" s="71"/>
      <c r="E22" s="397"/>
      <c r="F22" s="76"/>
      <c r="G22" s="424"/>
      <c r="H22" s="426"/>
    </row>
    <row r="23" spans="1:9">
      <c r="A23" s="67"/>
      <c r="B23" s="67"/>
      <c r="C23" s="59"/>
      <c r="D23" s="59"/>
      <c r="E23" s="397"/>
      <c r="F23" s="59"/>
    </row>
    <row r="24" spans="1:9" ht="16.5" customHeight="1" thickBot="1">
      <c r="A24" s="64" t="s">
        <v>139</v>
      </c>
      <c r="B24" s="64"/>
      <c r="C24" s="65"/>
      <c r="D24" s="58"/>
      <c r="E24" s="393"/>
      <c r="F24" s="59"/>
    </row>
    <row r="25" spans="1:9" ht="16.5" customHeight="1">
      <c r="A25" s="413"/>
      <c r="B25" s="413"/>
      <c r="C25" s="414"/>
      <c r="D25" s="58"/>
      <c r="E25" s="393"/>
      <c r="F25" s="59"/>
    </row>
    <row r="26" spans="1:9">
      <c r="A26" s="63" t="s">
        <v>137</v>
      </c>
      <c r="B26" s="63"/>
      <c r="C26" s="58"/>
      <c r="D26" s="66"/>
      <c r="E26" s="389">
        <f>+'Debt Srv Cash Flow'!AB27</f>
        <v>2655693.620000001</v>
      </c>
      <c r="F26" s="71"/>
    </row>
    <row r="27" spans="1:9">
      <c r="A27" s="63"/>
      <c r="B27" s="63"/>
      <c r="C27" s="58"/>
      <c r="D27" s="66"/>
      <c r="E27" s="389"/>
      <c r="F27" s="59"/>
    </row>
    <row r="28" spans="1:9">
      <c r="A28" s="67" t="s">
        <v>289</v>
      </c>
      <c r="B28" s="67" t="s">
        <v>292</v>
      </c>
      <c r="C28" s="58"/>
      <c r="D28" s="68"/>
      <c r="E28" s="393">
        <v>9241136.5199999996</v>
      </c>
      <c r="F28" s="71"/>
    </row>
    <row r="29" spans="1:9">
      <c r="A29" s="67"/>
      <c r="B29" s="67"/>
      <c r="C29" s="58"/>
      <c r="D29" s="68"/>
      <c r="E29" s="393"/>
      <c r="F29" s="59"/>
    </row>
    <row r="30" spans="1:9">
      <c r="A30" s="67" t="s">
        <v>289</v>
      </c>
      <c r="B30" s="67" t="s">
        <v>297</v>
      </c>
      <c r="C30" s="58"/>
      <c r="D30" s="68"/>
      <c r="E30" s="393">
        <v>971481.55</v>
      </c>
      <c r="F30" s="71"/>
    </row>
    <row r="31" spans="1:9">
      <c r="A31" s="67"/>
      <c r="B31" s="67"/>
      <c r="C31" s="58"/>
      <c r="D31" s="68"/>
      <c r="E31" s="393"/>
      <c r="F31" s="59"/>
      <c r="G31" s="434"/>
    </row>
    <row r="32" spans="1:9">
      <c r="A32" s="63" t="s">
        <v>293</v>
      </c>
      <c r="B32" s="63" t="s">
        <v>294</v>
      </c>
      <c r="C32" s="71"/>
      <c r="D32" s="72"/>
      <c r="E32" s="395">
        <v>0</v>
      </c>
      <c r="F32" s="59"/>
    </row>
    <row r="33" spans="1:8">
      <c r="A33" s="63"/>
      <c r="B33" s="63"/>
      <c r="C33" s="71"/>
      <c r="D33" s="72"/>
      <c r="E33" s="394"/>
      <c r="F33" s="59"/>
    </row>
    <row r="34" spans="1:8" ht="15.75" customHeight="1" thickBot="1">
      <c r="A34" s="410" t="s">
        <v>138</v>
      </c>
      <c r="B34" s="410"/>
      <c r="C34" s="453"/>
      <c r="D34" s="453"/>
      <c r="E34" s="454">
        <f>SUM(E26:E32)</f>
        <v>12868311.690000001</v>
      </c>
      <c r="F34" s="61"/>
      <c r="G34" s="434"/>
    </row>
    <row r="35" spans="1:8" ht="13.5" thickTop="1">
      <c r="A35" s="63"/>
      <c r="B35" s="63"/>
      <c r="C35" s="58"/>
      <c r="D35" s="71"/>
      <c r="E35" s="393"/>
      <c r="F35" s="59"/>
    </row>
    <row r="36" spans="1:8">
      <c r="A36" s="63"/>
      <c r="B36" s="63"/>
      <c r="C36" s="58"/>
      <c r="D36" s="71"/>
      <c r="E36" s="393"/>
      <c r="F36" s="59"/>
    </row>
    <row r="37" spans="1:8">
      <c r="A37" s="388"/>
      <c r="B37" s="388"/>
      <c r="C37" s="73"/>
      <c r="D37" s="402"/>
      <c r="E37" s="392"/>
      <c r="F37" s="74"/>
    </row>
    <row r="38" spans="1:8" ht="18.75" customHeight="1" thickBot="1">
      <c r="A38" s="410" t="s">
        <v>140</v>
      </c>
      <c r="B38" s="410"/>
      <c r="C38" s="75"/>
      <c r="D38" s="411"/>
      <c r="E38" s="398">
        <f>+E20+E34</f>
        <v>54035085.939999983</v>
      </c>
      <c r="F38" s="74"/>
      <c r="G38" s="60"/>
      <c r="H38" s="60"/>
    </row>
    <row r="39" spans="1:8" ht="18.75" customHeight="1" thickTop="1">
      <c r="A39" s="58"/>
      <c r="B39" s="58"/>
      <c r="C39" s="76"/>
      <c r="D39" s="412"/>
      <c r="E39" s="399"/>
      <c r="F39" s="74"/>
    </row>
    <row r="40" spans="1:8" ht="18.75" customHeight="1">
      <c r="A40" s="58"/>
      <c r="B40" s="58"/>
      <c r="C40" s="76"/>
      <c r="D40" s="412"/>
      <c r="E40" s="399"/>
      <c r="F40" s="74"/>
    </row>
    <row r="41" spans="1:8" ht="18.75" customHeight="1">
      <c r="A41" s="58"/>
      <c r="B41" s="58"/>
      <c r="C41" s="76"/>
      <c r="D41" s="412"/>
      <c r="E41" s="399"/>
      <c r="F41" s="74"/>
    </row>
    <row r="42" spans="1:8">
      <c r="A42" s="63"/>
      <c r="B42" s="63"/>
      <c r="C42" s="63"/>
      <c r="D42" s="63"/>
      <c r="E42" s="396"/>
      <c r="F42" s="181"/>
    </row>
    <row r="43" spans="1:8">
      <c r="D43" s="401"/>
    </row>
    <row r="44" spans="1:8">
      <c r="D44" s="401"/>
    </row>
    <row r="45" spans="1:8">
      <c r="D45" s="401"/>
    </row>
  </sheetData>
  <phoneticPr fontId="7" type="noConversion"/>
  <pageMargins left="1.25" right="0.75" top="1.02" bottom="0.4" header="0.5" footer="0.3"/>
  <pageSetup scale="7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opLeftCell="A4" workbookViewId="0">
      <selection activeCell="E46" sqref="E46"/>
    </sheetView>
  </sheetViews>
  <sheetFormatPr defaultColWidth="9.140625" defaultRowHeight="12.75"/>
  <cols>
    <col min="1" max="1" width="11.7109375" style="80" customWidth="1"/>
    <col min="2" max="2" width="10.7109375" style="80" customWidth="1"/>
    <col min="3" max="3" width="14.7109375" style="80" customWidth="1"/>
    <col min="4" max="4" width="16.7109375" style="80" customWidth="1"/>
    <col min="5" max="5" width="16.7109375" style="281" customWidth="1"/>
    <col min="6" max="8" width="10.7109375" style="80" customWidth="1"/>
    <col min="9" max="9" width="15.7109375" style="281" customWidth="1"/>
    <col min="10" max="10" width="8.7109375" style="80" customWidth="1"/>
    <col min="11" max="11" width="10.7109375" style="80" customWidth="1"/>
    <col min="12" max="12" width="13.7109375" style="281" customWidth="1"/>
    <col min="13" max="13" width="14.5703125" style="281" bestFit="1" customWidth="1"/>
    <col min="14" max="16384" width="9.140625" style="80"/>
  </cols>
  <sheetData>
    <row r="1" spans="1:15">
      <c r="A1" s="77" t="s">
        <v>257</v>
      </c>
      <c r="B1" s="77"/>
      <c r="C1" s="78"/>
      <c r="D1" s="78"/>
      <c r="E1" s="274"/>
      <c r="F1" s="79"/>
      <c r="G1" s="79"/>
      <c r="H1" s="79"/>
      <c r="I1" s="274"/>
      <c r="J1" s="78"/>
      <c r="K1" s="78"/>
      <c r="L1" s="274"/>
      <c r="M1" s="282"/>
    </row>
    <row r="2" spans="1:15">
      <c r="A2" s="77" t="s">
        <v>141</v>
      </c>
      <c r="B2" s="77"/>
      <c r="C2" s="78"/>
      <c r="D2" s="78"/>
      <c r="E2" s="274"/>
      <c r="F2" s="79"/>
      <c r="G2" s="79"/>
      <c r="H2" s="79"/>
      <c r="I2" s="274"/>
      <c r="J2" s="78"/>
      <c r="K2" s="78"/>
      <c r="L2" s="274"/>
    </row>
    <row r="3" spans="1:15">
      <c r="A3" s="440" t="s">
        <v>330</v>
      </c>
      <c r="B3" s="77"/>
      <c r="C3" s="78"/>
      <c r="D3" s="78"/>
      <c r="E3" s="274"/>
      <c r="F3" s="79"/>
      <c r="G3" s="79"/>
      <c r="H3" s="79"/>
      <c r="I3" s="274"/>
      <c r="J3" s="78"/>
      <c r="K3" s="78"/>
      <c r="L3" s="274"/>
    </row>
    <row r="4" spans="1:15">
      <c r="A4" s="77"/>
      <c r="B4" s="77"/>
      <c r="C4" s="78"/>
      <c r="D4" s="78"/>
      <c r="E4" s="274"/>
      <c r="F4" s="79"/>
      <c r="G4" s="79"/>
      <c r="H4" s="79"/>
      <c r="I4" s="274"/>
      <c r="J4" s="78"/>
      <c r="K4" s="78"/>
      <c r="L4" s="274"/>
    </row>
    <row r="5" spans="1:15">
      <c r="A5" s="77"/>
      <c r="B5" s="77"/>
      <c r="C5" s="78"/>
      <c r="D5" s="78"/>
      <c r="E5" s="274"/>
      <c r="F5" s="79"/>
      <c r="G5" s="79"/>
      <c r="H5" s="79"/>
      <c r="I5" s="274"/>
      <c r="J5" s="78"/>
      <c r="K5" s="78"/>
      <c r="L5" s="274"/>
    </row>
    <row r="6" spans="1:15" s="314" customFormat="1" ht="15.75" thickBot="1">
      <c r="A6" s="309" t="s">
        <v>260</v>
      </c>
      <c r="B6" s="309"/>
      <c r="C6" s="310"/>
      <c r="D6" s="310"/>
      <c r="E6" s="311"/>
      <c r="F6" s="312"/>
      <c r="G6" s="312"/>
      <c r="H6" s="312"/>
      <c r="I6" s="311"/>
      <c r="J6" s="310"/>
      <c r="K6" s="310"/>
      <c r="L6" s="311"/>
      <c r="M6" s="313"/>
    </row>
    <row r="7" spans="1:15">
      <c r="A7" s="81" t="s">
        <v>142</v>
      </c>
      <c r="B7" s="82"/>
      <c r="C7" s="82"/>
      <c r="D7" s="82" t="s">
        <v>143</v>
      </c>
      <c r="E7" s="275"/>
      <c r="F7" s="83" t="s">
        <v>144</v>
      </c>
      <c r="G7" s="83" t="s">
        <v>145</v>
      </c>
      <c r="H7" s="83" t="s">
        <v>146</v>
      </c>
      <c r="I7" s="275"/>
      <c r="J7" s="82" t="s">
        <v>147</v>
      </c>
      <c r="K7" s="82" t="s">
        <v>148</v>
      </c>
      <c r="L7" s="275" t="s">
        <v>149</v>
      </c>
      <c r="M7" s="283" t="s">
        <v>150</v>
      </c>
    </row>
    <row r="8" spans="1:15">
      <c r="A8" s="84" t="s">
        <v>151</v>
      </c>
      <c r="B8" s="85" t="s">
        <v>152</v>
      </c>
      <c r="C8" s="86" t="s">
        <v>153</v>
      </c>
      <c r="D8" s="86" t="s">
        <v>154</v>
      </c>
      <c r="E8" s="276" t="s">
        <v>155</v>
      </c>
      <c r="F8" s="87" t="s">
        <v>156</v>
      </c>
      <c r="G8" s="87" t="s">
        <v>156</v>
      </c>
      <c r="H8" s="87" t="s">
        <v>157</v>
      </c>
      <c r="I8" s="276" t="s">
        <v>158</v>
      </c>
      <c r="J8" s="86" t="s">
        <v>159</v>
      </c>
      <c r="K8" s="86" t="s">
        <v>41</v>
      </c>
      <c r="L8" s="276" t="s">
        <v>160</v>
      </c>
      <c r="M8" s="284" t="s">
        <v>161</v>
      </c>
    </row>
    <row r="9" spans="1:15" ht="13.5" thickBot="1">
      <c r="A9" s="88" t="s">
        <v>162</v>
      </c>
      <c r="B9" s="89" t="s">
        <v>163</v>
      </c>
      <c r="C9" s="89"/>
      <c r="D9" s="89" t="s">
        <v>164</v>
      </c>
      <c r="E9" s="277" t="s">
        <v>165</v>
      </c>
      <c r="F9" s="90" t="s">
        <v>165</v>
      </c>
      <c r="G9" s="90" t="s">
        <v>165</v>
      </c>
      <c r="H9" s="90" t="s">
        <v>166</v>
      </c>
      <c r="I9" s="277" t="s">
        <v>165</v>
      </c>
      <c r="J9" s="89" t="s">
        <v>167</v>
      </c>
      <c r="K9" s="89" t="s">
        <v>167</v>
      </c>
      <c r="L9" s="277" t="s">
        <v>168</v>
      </c>
      <c r="M9" s="285" t="s">
        <v>33</v>
      </c>
    </row>
    <row r="10" spans="1:15">
      <c r="A10" s="286"/>
      <c r="B10" s="86"/>
      <c r="C10" s="86"/>
      <c r="D10" s="86"/>
      <c r="E10" s="276"/>
      <c r="F10" s="87"/>
      <c r="G10" s="87"/>
      <c r="H10" s="87"/>
      <c r="I10" s="276"/>
      <c r="J10" s="86"/>
      <c r="K10" s="86"/>
      <c r="L10" s="276"/>
      <c r="M10" s="284"/>
    </row>
    <row r="11" spans="1:15">
      <c r="A11" s="287">
        <v>41974</v>
      </c>
      <c r="B11" s="614" t="s">
        <v>258</v>
      </c>
      <c r="C11" s="613"/>
      <c r="D11" s="289" t="s">
        <v>171</v>
      </c>
      <c r="E11" s="278">
        <v>12164702.540000001</v>
      </c>
      <c r="F11" s="290">
        <v>1</v>
      </c>
      <c r="G11" s="290">
        <v>1</v>
      </c>
      <c r="H11" s="290">
        <v>0</v>
      </c>
      <c r="I11" s="278">
        <f>+E11</f>
        <v>12164702.540000001</v>
      </c>
      <c r="J11" s="288"/>
      <c r="K11" s="290"/>
      <c r="L11" s="291"/>
      <c r="M11" s="292"/>
      <c r="O11" s="91"/>
    </row>
    <row r="12" spans="1:15">
      <c r="A12" s="293"/>
      <c r="B12" s="615"/>
      <c r="C12" s="615"/>
      <c r="D12" s="289" t="s">
        <v>173</v>
      </c>
      <c r="E12" s="279">
        <v>0</v>
      </c>
      <c r="F12" s="290"/>
      <c r="G12" s="290"/>
      <c r="H12" s="290"/>
      <c r="I12" s="279">
        <f>+I11+E12</f>
        <v>12164702.540000001</v>
      </c>
      <c r="J12" s="288"/>
      <c r="K12" s="290"/>
      <c r="L12" s="279"/>
      <c r="M12" s="295"/>
      <c r="O12" s="91"/>
    </row>
    <row r="13" spans="1:15">
      <c r="A13" s="293"/>
      <c r="B13" s="294"/>
      <c r="C13" s="294"/>
      <c r="D13" s="289" t="s">
        <v>259</v>
      </c>
      <c r="E13" s="279">
        <v>0</v>
      </c>
      <c r="F13" s="290"/>
      <c r="G13" s="290"/>
      <c r="H13" s="290"/>
      <c r="I13" s="279">
        <f>+I12+E13</f>
        <v>12164702.540000001</v>
      </c>
      <c r="J13" s="288"/>
      <c r="K13" s="290"/>
      <c r="L13" s="279"/>
      <c r="M13" s="295">
        <f>+E13</f>
        <v>0</v>
      </c>
      <c r="O13" s="91"/>
    </row>
    <row r="14" spans="1:15">
      <c r="A14" s="293">
        <v>42004</v>
      </c>
      <c r="B14" s="296"/>
      <c r="C14" s="288"/>
      <c r="D14" s="289" t="s">
        <v>105</v>
      </c>
      <c r="E14" s="280">
        <v>1262.4000000000001</v>
      </c>
      <c r="F14" s="290"/>
      <c r="G14" s="290"/>
      <c r="H14" s="290">
        <v>1.1999999999999999E-3</v>
      </c>
      <c r="I14" s="297">
        <f>+I13+E14</f>
        <v>12165964.940000001</v>
      </c>
      <c r="J14" s="288"/>
      <c r="K14" s="290"/>
      <c r="L14" s="280">
        <f>+E14</f>
        <v>1262.4000000000001</v>
      </c>
      <c r="M14" s="298"/>
      <c r="O14" s="91"/>
    </row>
    <row r="15" spans="1:15">
      <c r="A15" s="299"/>
      <c r="B15" s="300"/>
      <c r="C15" s="288"/>
      <c r="D15" s="288"/>
      <c r="E15" s="291"/>
      <c r="F15" s="290"/>
      <c r="G15" s="290"/>
      <c r="H15" s="290"/>
      <c r="I15" s="291"/>
      <c r="J15" s="288"/>
      <c r="K15" s="288"/>
      <c r="L15" s="291"/>
      <c r="M15" s="301"/>
    </row>
    <row r="16" spans="1:15" s="314" customFormat="1" ht="13.5" thickBot="1">
      <c r="A16" s="315"/>
      <c r="B16" s="316"/>
      <c r="C16" s="316"/>
      <c r="D16" s="317"/>
      <c r="E16" s="318">
        <f>SUM(E11:E14)</f>
        <v>12165964.940000001</v>
      </c>
      <c r="F16" s="319"/>
      <c r="G16" s="319"/>
      <c r="H16" s="319"/>
      <c r="I16" s="318">
        <f>I14</f>
        <v>12165964.940000001</v>
      </c>
      <c r="J16" s="320"/>
      <c r="K16" s="319"/>
      <c r="L16" s="318">
        <f>SUM(L14:L15)</f>
        <v>1262.4000000000001</v>
      </c>
      <c r="M16" s="321">
        <f>+M13</f>
        <v>0</v>
      </c>
    </row>
    <row r="17" spans="1:13" ht="14.25" thickTop="1" thickBot="1">
      <c r="A17" s="302"/>
      <c r="B17" s="303"/>
      <c r="C17" s="303"/>
      <c r="D17" s="303"/>
      <c r="E17" s="304"/>
      <c r="F17" s="303"/>
      <c r="G17" s="303"/>
      <c r="H17" s="303"/>
      <c r="I17" s="304"/>
      <c r="J17" s="303"/>
      <c r="K17" s="303"/>
      <c r="L17" s="304"/>
      <c r="M17" s="305"/>
    </row>
    <row r="21" spans="1:13" s="314" customFormat="1" ht="15.75" thickBot="1">
      <c r="A21" s="309" t="s">
        <v>260</v>
      </c>
      <c r="B21" s="309"/>
      <c r="C21" s="310"/>
      <c r="D21" s="310"/>
      <c r="E21" s="311"/>
      <c r="F21" s="312"/>
      <c r="G21" s="312"/>
      <c r="H21" s="312"/>
      <c r="I21" s="311"/>
      <c r="J21" s="310"/>
      <c r="K21" s="310"/>
      <c r="L21" s="311"/>
      <c r="M21" s="313"/>
    </row>
    <row r="22" spans="1:13">
      <c r="A22" s="81" t="s">
        <v>142</v>
      </c>
      <c r="B22" s="82"/>
      <c r="C22" s="82"/>
      <c r="D22" s="82" t="s">
        <v>143</v>
      </c>
      <c r="E22" s="275"/>
      <c r="F22" s="83" t="s">
        <v>144</v>
      </c>
      <c r="G22" s="83" t="s">
        <v>145</v>
      </c>
      <c r="H22" s="83" t="s">
        <v>146</v>
      </c>
      <c r="I22" s="275"/>
      <c r="J22" s="82" t="s">
        <v>147</v>
      </c>
      <c r="K22" s="82" t="s">
        <v>148</v>
      </c>
      <c r="L22" s="275" t="s">
        <v>149</v>
      </c>
      <c r="M22" s="283" t="s">
        <v>150</v>
      </c>
    </row>
    <row r="23" spans="1:13">
      <c r="A23" s="84" t="s">
        <v>151</v>
      </c>
      <c r="B23" s="85" t="s">
        <v>152</v>
      </c>
      <c r="C23" s="86" t="s">
        <v>153</v>
      </c>
      <c r="D23" s="86" t="s">
        <v>154</v>
      </c>
      <c r="E23" s="276" t="s">
        <v>155</v>
      </c>
      <c r="F23" s="87" t="s">
        <v>156</v>
      </c>
      <c r="G23" s="87" t="s">
        <v>156</v>
      </c>
      <c r="H23" s="87" t="s">
        <v>157</v>
      </c>
      <c r="I23" s="276" t="s">
        <v>158</v>
      </c>
      <c r="J23" s="86" t="s">
        <v>159</v>
      </c>
      <c r="K23" s="86" t="s">
        <v>41</v>
      </c>
      <c r="L23" s="276" t="s">
        <v>160</v>
      </c>
      <c r="M23" s="284" t="s">
        <v>169</v>
      </c>
    </row>
    <row r="24" spans="1:13" ht="13.5" thickBot="1">
      <c r="A24" s="88" t="s">
        <v>162</v>
      </c>
      <c r="B24" s="89" t="s">
        <v>163</v>
      </c>
      <c r="C24" s="89"/>
      <c r="D24" s="89" t="s">
        <v>164</v>
      </c>
      <c r="E24" s="277" t="s">
        <v>165</v>
      </c>
      <c r="F24" s="90" t="s">
        <v>165</v>
      </c>
      <c r="G24" s="90" t="s">
        <v>165</v>
      </c>
      <c r="H24" s="90" t="s">
        <v>166</v>
      </c>
      <c r="I24" s="277" t="s">
        <v>165</v>
      </c>
      <c r="J24" s="89" t="s">
        <v>167</v>
      </c>
      <c r="K24" s="89" t="s">
        <v>167</v>
      </c>
      <c r="L24" s="277" t="s">
        <v>168</v>
      </c>
      <c r="M24" s="285" t="s">
        <v>33</v>
      </c>
    </row>
    <row r="25" spans="1:13">
      <c r="A25" s="299"/>
      <c r="B25" s="300"/>
      <c r="C25" s="288"/>
      <c r="D25" s="288"/>
      <c r="E25" s="291"/>
      <c r="F25" s="290"/>
      <c r="G25" s="290"/>
      <c r="H25" s="290"/>
      <c r="I25" s="291"/>
      <c r="J25" s="288"/>
      <c r="K25" s="288"/>
      <c r="L25" s="291"/>
      <c r="M25" s="301"/>
    </row>
    <row r="26" spans="1:13">
      <c r="A26" s="287">
        <f>+A11</f>
        <v>41974</v>
      </c>
      <c r="B26" s="613" t="s">
        <v>170</v>
      </c>
      <c r="C26" s="613"/>
      <c r="D26" s="306" t="s">
        <v>171</v>
      </c>
      <c r="E26" s="278">
        <v>1378886.4699999997</v>
      </c>
      <c r="F26" s="290">
        <v>1</v>
      </c>
      <c r="G26" s="290">
        <v>1</v>
      </c>
      <c r="H26" s="290">
        <v>0</v>
      </c>
      <c r="I26" s="278">
        <f>E26</f>
        <v>1378886.4699999997</v>
      </c>
      <c r="J26" s="288"/>
      <c r="K26" s="290"/>
      <c r="L26" s="291"/>
      <c r="M26" s="292"/>
    </row>
    <row r="27" spans="1:13">
      <c r="A27" s="293"/>
      <c r="B27" s="296"/>
      <c r="C27" s="288"/>
      <c r="D27" s="306" t="s">
        <v>173</v>
      </c>
      <c r="E27" s="279">
        <v>0</v>
      </c>
      <c r="F27" s="290"/>
      <c r="G27" s="290"/>
      <c r="H27" s="290"/>
      <c r="I27" s="279">
        <f>+I26+E27</f>
        <v>1378886.4699999997</v>
      </c>
      <c r="J27" s="288"/>
      <c r="K27" s="290"/>
      <c r="L27" s="279"/>
      <c r="M27" s="307"/>
    </row>
    <row r="28" spans="1:13">
      <c r="A28" s="293"/>
      <c r="B28" s="296"/>
      <c r="C28" s="288"/>
      <c r="D28" s="289" t="s">
        <v>259</v>
      </c>
      <c r="E28" s="279">
        <v>0</v>
      </c>
      <c r="F28" s="290"/>
      <c r="G28" s="290"/>
      <c r="H28" s="290"/>
      <c r="I28" s="279">
        <f>+I27+E28</f>
        <v>1378886.4699999997</v>
      </c>
      <c r="J28" s="288"/>
      <c r="K28" s="290"/>
      <c r="L28" s="279"/>
      <c r="M28" s="307">
        <f>+E28</f>
        <v>0</v>
      </c>
    </row>
    <row r="29" spans="1:13">
      <c r="A29" s="293">
        <f>+A14</f>
        <v>42004</v>
      </c>
      <c r="B29" s="296"/>
      <c r="C29" s="288"/>
      <c r="D29" s="306" t="s">
        <v>105</v>
      </c>
      <c r="E29" s="280">
        <v>58.63</v>
      </c>
      <c r="F29" s="290"/>
      <c r="G29" s="290"/>
      <c r="H29" s="290">
        <v>5.0100000000000003E-4</v>
      </c>
      <c r="I29" s="279">
        <f>+I28+E29</f>
        <v>1378945.0999999996</v>
      </c>
      <c r="J29" s="288"/>
      <c r="K29" s="290"/>
      <c r="L29" s="280">
        <f>E29</f>
        <v>58.63</v>
      </c>
      <c r="M29" s="308"/>
    </row>
    <row r="30" spans="1:13">
      <c r="A30" s="299"/>
      <c r="B30" s="300"/>
      <c r="C30" s="288"/>
      <c r="D30" s="288"/>
      <c r="E30" s="291"/>
      <c r="F30" s="290"/>
      <c r="G30" s="290"/>
      <c r="H30" s="290"/>
      <c r="I30" s="291"/>
      <c r="J30" s="288"/>
      <c r="K30" s="288"/>
      <c r="L30" s="291"/>
      <c r="M30" s="301"/>
    </row>
    <row r="31" spans="1:13" s="314" customFormat="1" ht="13.5" thickBot="1">
      <c r="A31" s="315"/>
      <c r="B31" s="316"/>
      <c r="C31" s="316"/>
      <c r="D31" s="317"/>
      <c r="E31" s="318">
        <f>E26+E27+E29</f>
        <v>1378945.0999999996</v>
      </c>
      <c r="F31" s="319"/>
      <c r="G31" s="319"/>
      <c r="H31" s="319"/>
      <c r="I31" s="318">
        <f>I29</f>
        <v>1378945.0999999996</v>
      </c>
      <c r="J31" s="320"/>
      <c r="K31" s="319"/>
      <c r="L31" s="318">
        <f>L29</f>
        <v>58.63</v>
      </c>
      <c r="M31" s="322">
        <f>+M28</f>
        <v>0</v>
      </c>
    </row>
    <row r="32" spans="1:13" ht="14.25" thickTop="1" thickBot="1">
      <c r="A32" s="302"/>
      <c r="B32" s="303"/>
      <c r="C32" s="303"/>
      <c r="D32" s="303"/>
      <c r="E32" s="304"/>
      <c r="F32" s="303"/>
      <c r="G32" s="303"/>
      <c r="H32" s="303"/>
      <c r="I32" s="304"/>
      <c r="J32" s="303"/>
      <c r="K32" s="303"/>
      <c r="L32" s="304"/>
      <c r="M32" s="305"/>
    </row>
    <row r="36" spans="1:13" s="314" customFormat="1" ht="15.75" thickBot="1">
      <c r="A36" s="309" t="s">
        <v>261</v>
      </c>
      <c r="B36" s="309"/>
      <c r="C36" s="310"/>
      <c r="D36" s="310"/>
      <c r="E36" s="311"/>
      <c r="F36" s="312"/>
      <c r="G36" s="312"/>
      <c r="H36" s="312"/>
      <c r="I36" s="311"/>
      <c r="J36" s="310"/>
      <c r="K36" s="310"/>
      <c r="L36" s="311"/>
      <c r="M36" s="313"/>
    </row>
    <row r="37" spans="1:13">
      <c r="A37" s="81" t="s">
        <v>142</v>
      </c>
      <c r="B37" s="82"/>
      <c r="C37" s="82"/>
      <c r="D37" s="82" t="s">
        <v>143</v>
      </c>
      <c r="E37" s="275"/>
      <c r="F37" s="83" t="s">
        <v>144</v>
      </c>
      <c r="G37" s="83" t="s">
        <v>145</v>
      </c>
      <c r="H37" s="83" t="s">
        <v>146</v>
      </c>
      <c r="I37" s="275"/>
      <c r="J37" s="82" t="s">
        <v>147</v>
      </c>
      <c r="K37" s="82" t="s">
        <v>148</v>
      </c>
      <c r="L37" s="275" t="s">
        <v>149</v>
      </c>
      <c r="M37" s="283" t="s">
        <v>150</v>
      </c>
    </row>
    <row r="38" spans="1:13">
      <c r="A38" s="84" t="s">
        <v>151</v>
      </c>
      <c r="B38" s="85" t="s">
        <v>152</v>
      </c>
      <c r="C38" s="86" t="s">
        <v>153</v>
      </c>
      <c r="D38" s="86" t="s">
        <v>154</v>
      </c>
      <c r="E38" s="276" t="s">
        <v>155</v>
      </c>
      <c r="F38" s="87" t="s">
        <v>156</v>
      </c>
      <c r="G38" s="87" t="s">
        <v>156</v>
      </c>
      <c r="H38" s="87" t="s">
        <v>157</v>
      </c>
      <c r="I38" s="276" t="s">
        <v>158</v>
      </c>
      <c r="J38" s="86" t="s">
        <v>159</v>
      </c>
      <c r="K38" s="86" t="s">
        <v>41</v>
      </c>
      <c r="L38" s="276" t="s">
        <v>160</v>
      </c>
      <c r="M38" s="284" t="s">
        <v>169</v>
      </c>
    </row>
    <row r="39" spans="1:13" ht="13.5" thickBot="1">
      <c r="A39" s="88" t="s">
        <v>162</v>
      </c>
      <c r="B39" s="89" t="s">
        <v>163</v>
      </c>
      <c r="C39" s="89"/>
      <c r="D39" s="89" t="s">
        <v>164</v>
      </c>
      <c r="E39" s="277" t="s">
        <v>165</v>
      </c>
      <c r="F39" s="90" t="s">
        <v>165</v>
      </c>
      <c r="G39" s="90" t="s">
        <v>165</v>
      </c>
      <c r="H39" s="90" t="s">
        <v>166</v>
      </c>
      <c r="I39" s="277" t="s">
        <v>165</v>
      </c>
      <c r="J39" s="89" t="s">
        <v>167</v>
      </c>
      <c r="K39" s="89" t="s">
        <v>167</v>
      </c>
      <c r="L39" s="277" t="s">
        <v>168</v>
      </c>
      <c r="M39" s="285" t="s">
        <v>33</v>
      </c>
    </row>
    <row r="40" spans="1:13">
      <c r="A40" s="299"/>
      <c r="B40" s="300"/>
      <c r="C40" s="288"/>
      <c r="D40" s="288"/>
      <c r="E40" s="291"/>
      <c r="F40" s="290"/>
      <c r="G40" s="290"/>
      <c r="H40" s="290"/>
      <c r="I40" s="291"/>
      <c r="J40" s="288"/>
      <c r="K40" s="288"/>
      <c r="L40" s="291"/>
      <c r="M40" s="301"/>
    </row>
    <row r="41" spans="1:13">
      <c r="A41" s="287">
        <f>+A11</f>
        <v>41974</v>
      </c>
      <c r="B41" s="613" t="s">
        <v>172</v>
      </c>
      <c r="C41" s="613"/>
      <c r="D41" s="306" t="s">
        <v>171</v>
      </c>
      <c r="E41" s="278">
        <v>1809119.7600000051</v>
      </c>
      <c r="F41" s="290">
        <v>1</v>
      </c>
      <c r="G41" s="290">
        <v>1</v>
      </c>
      <c r="H41" s="290">
        <v>0</v>
      </c>
      <c r="I41" s="278">
        <f>E41</f>
        <v>1809119.7600000051</v>
      </c>
      <c r="J41" s="288"/>
      <c r="K41" s="290"/>
      <c r="L41" s="291"/>
      <c r="M41" s="292"/>
    </row>
    <row r="42" spans="1:13">
      <c r="A42" s="293"/>
      <c r="B42" s="296"/>
      <c r="C42" s="288"/>
      <c r="D42" s="306" t="s">
        <v>173</v>
      </c>
      <c r="E42" s="279">
        <v>0</v>
      </c>
      <c r="F42" s="290"/>
      <c r="G42" s="290"/>
      <c r="H42" s="290"/>
      <c r="I42" s="279">
        <f>+I41+E42</f>
        <v>1809119.7600000051</v>
      </c>
      <c r="J42" s="288"/>
      <c r="K42" s="290"/>
      <c r="L42" s="279"/>
      <c r="M42" s="307"/>
    </row>
    <row r="43" spans="1:13">
      <c r="A43" s="293"/>
      <c r="B43" s="296"/>
      <c r="C43" s="288"/>
      <c r="D43" s="289" t="s">
        <v>259</v>
      </c>
      <c r="E43" s="279">
        <v>0</v>
      </c>
      <c r="F43" s="290"/>
      <c r="G43" s="290"/>
      <c r="H43" s="290"/>
      <c r="I43" s="279">
        <f>+I42+E43</f>
        <v>1809119.7600000051</v>
      </c>
      <c r="J43" s="288"/>
      <c r="K43" s="290"/>
      <c r="L43" s="279"/>
      <c r="M43" s="307">
        <f>+E43</f>
        <v>0</v>
      </c>
    </row>
    <row r="44" spans="1:13">
      <c r="A44" s="293">
        <f>+A14</f>
        <v>42004</v>
      </c>
      <c r="B44" s="296"/>
      <c r="C44" s="288"/>
      <c r="D44" s="306" t="s">
        <v>105</v>
      </c>
      <c r="E44" s="435">
        <v>146.06</v>
      </c>
      <c r="F44" s="290"/>
      <c r="G44" s="290"/>
      <c r="H44" s="290">
        <v>1E-3</v>
      </c>
      <c r="I44" s="279">
        <f>+I43+E44</f>
        <v>1809265.8200000052</v>
      </c>
      <c r="J44" s="288"/>
      <c r="K44" s="290"/>
      <c r="L44" s="280">
        <f>E44</f>
        <v>146.06</v>
      </c>
      <c r="M44" s="308"/>
    </row>
    <row r="45" spans="1:13">
      <c r="A45" s="299"/>
      <c r="B45" s="300"/>
      <c r="C45" s="288"/>
      <c r="D45" s="288"/>
      <c r="E45" s="427" t="s">
        <v>85</v>
      </c>
      <c r="F45" s="290"/>
      <c r="G45" s="290"/>
      <c r="H45" s="290"/>
      <c r="I45" s="291"/>
      <c r="J45" s="288"/>
      <c r="K45" s="288"/>
      <c r="L45" s="291"/>
      <c r="M45" s="301"/>
    </row>
    <row r="46" spans="1:13" s="314" customFormat="1" ht="13.5" thickBot="1">
      <c r="A46" s="315"/>
      <c r="B46" s="316"/>
      <c r="C46" s="316"/>
      <c r="D46" s="317"/>
      <c r="E46" s="318">
        <f>SUM(E41:E44)</f>
        <v>1809265.8200000052</v>
      </c>
      <c r="F46" s="319"/>
      <c r="G46" s="319"/>
      <c r="H46" s="319"/>
      <c r="I46" s="318">
        <f>I44</f>
        <v>1809265.8200000052</v>
      </c>
      <c r="J46" s="320"/>
      <c r="K46" s="319"/>
      <c r="L46" s="318">
        <f>L44</f>
        <v>146.06</v>
      </c>
      <c r="M46" s="322">
        <f>+M43</f>
        <v>0</v>
      </c>
    </row>
    <row r="47" spans="1:13" ht="14.25" thickTop="1" thickBot="1">
      <c r="A47" s="302"/>
      <c r="B47" s="303"/>
      <c r="C47" s="303"/>
      <c r="D47" s="303"/>
      <c r="E47" s="304"/>
      <c r="F47" s="303"/>
      <c r="G47" s="303"/>
      <c r="H47" s="303"/>
      <c r="I47" s="304"/>
      <c r="J47" s="303"/>
      <c r="K47" s="303"/>
      <c r="L47" s="304"/>
      <c r="M47" s="305"/>
    </row>
  </sheetData>
  <mergeCells count="4">
    <mergeCell ref="B41:C41"/>
    <mergeCell ref="B26:C26"/>
    <mergeCell ref="B11:C11"/>
    <mergeCell ref="B12:C12"/>
  </mergeCells>
  <phoneticPr fontId="22" type="noConversion"/>
  <printOptions horizontalCentered="1"/>
  <pageMargins left="0.25" right="0.25" top="0.5" bottom="0.5" header="0.5" footer="0.5"/>
  <pageSetup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E13" sqref="E13"/>
    </sheetView>
  </sheetViews>
  <sheetFormatPr defaultColWidth="9.140625" defaultRowHeight="12.75"/>
  <cols>
    <col min="1" max="1" width="11.7109375" style="80" customWidth="1"/>
    <col min="2" max="2" width="10.7109375" style="80" customWidth="1"/>
    <col min="3" max="3" width="14.7109375" style="80" customWidth="1"/>
    <col min="4" max="4" width="16.7109375" style="80" customWidth="1"/>
    <col min="5" max="5" width="16.7109375" style="281" customWidth="1"/>
    <col min="6" max="8" width="10.7109375" style="80" customWidth="1"/>
    <col min="9" max="9" width="15.7109375" style="281" customWidth="1"/>
    <col min="10" max="10" width="8.7109375" style="80" customWidth="1"/>
    <col min="11" max="11" width="10.7109375" style="80" customWidth="1"/>
    <col min="12" max="12" width="13.7109375" style="281" customWidth="1"/>
    <col min="13" max="13" width="14.5703125" style="281" bestFit="1" customWidth="1"/>
    <col min="14" max="16384" width="9.140625" style="80"/>
  </cols>
  <sheetData>
    <row r="1" spans="1:15">
      <c r="A1" s="77" t="s">
        <v>257</v>
      </c>
      <c r="B1" s="77"/>
      <c r="C1" s="78"/>
      <c r="D1" s="78"/>
      <c r="E1" s="274"/>
      <c r="F1" s="79"/>
      <c r="G1" s="79"/>
      <c r="H1" s="79"/>
      <c r="I1" s="274"/>
      <c r="J1" s="78"/>
      <c r="K1" s="78"/>
      <c r="L1" s="274"/>
      <c r="M1" s="282"/>
    </row>
    <row r="2" spans="1:15">
      <c r="A2" s="77" t="s">
        <v>141</v>
      </c>
      <c r="B2" s="77"/>
      <c r="C2" s="78"/>
      <c r="D2" s="78"/>
      <c r="E2" s="274"/>
      <c r="F2" s="79"/>
      <c r="G2" s="79"/>
      <c r="H2" s="79"/>
      <c r="I2" s="274"/>
      <c r="J2" s="78"/>
      <c r="K2" s="78"/>
      <c r="L2" s="274"/>
    </row>
    <row r="3" spans="1:15">
      <c r="A3" s="440" t="s">
        <v>331</v>
      </c>
      <c r="B3" s="77"/>
      <c r="C3" s="78"/>
      <c r="D3" s="78"/>
      <c r="E3" s="274"/>
      <c r="F3" s="79"/>
      <c r="G3" s="79"/>
      <c r="H3" s="79"/>
      <c r="I3" s="274"/>
      <c r="J3" s="78"/>
      <c r="K3" s="78"/>
      <c r="L3" s="274"/>
    </row>
    <row r="4" spans="1:15">
      <c r="A4" s="77"/>
      <c r="B4" s="77"/>
      <c r="C4" s="78"/>
      <c r="D4" s="78"/>
      <c r="E4" s="274"/>
      <c r="F4" s="79"/>
      <c r="G4" s="79"/>
      <c r="H4" s="79"/>
      <c r="I4" s="274"/>
      <c r="J4" s="78"/>
      <c r="K4" s="78"/>
      <c r="L4" s="274"/>
    </row>
    <row r="5" spans="1:15">
      <c r="A5" s="77"/>
      <c r="B5" s="77"/>
      <c r="C5" s="78"/>
      <c r="D5" s="78"/>
      <c r="E5" s="274"/>
      <c r="F5" s="79"/>
      <c r="G5" s="79"/>
      <c r="H5" s="79"/>
      <c r="I5" s="274"/>
      <c r="J5" s="78"/>
      <c r="K5" s="78"/>
      <c r="L5" s="274"/>
    </row>
    <row r="6" spans="1:15" s="314" customFormat="1" ht="15.75" thickBot="1">
      <c r="A6" s="309" t="s">
        <v>262</v>
      </c>
      <c r="B6" s="309"/>
      <c r="C6" s="310"/>
      <c r="D6" s="310"/>
      <c r="E6" s="311"/>
      <c r="F6" s="312"/>
      <c r="G6" s="312"/>
      <c r="H6" s="312"/>
      <c r="I6" s="311"/>
      <c r="J6" s="310"/>
      <c r="K6" s="310"/>
      <c r="L6" s="311"/>
      <c r="M6" s="313"/>
    </row>
    <row r="7" spans="1:15">
      <c r="A7" s="81" t="s">
        <v>142</v>
      </c>
      <c r="B7" s="82"/>
      <c r="C7" s="82"/>
      <c r="D7" s="82" t="s">
        <v>143</v>
      </c>
      <c r="E7" s="275"/>
      <c r="F7" s="83" t="s">
        <v>144</v>
      </c>
      <c r="G7" s="83" t="s">
        <v>145</v>
      </c>
      <c r="H7" s="83" t="s">
        <v>146</v>
      </c>
      <c r="I7" s="275"/>
      <c r="J7" s="82" t="s">
        <v>147</v>
      </c>
      <c r="K7" s="82" t="s">
        <v>148</v>
      </c>
      <c r="L7" s="275" t="s">
        <v>149</v>
      </c>
      <c r="M7" s="283" t="s">
        <v>150</v>
      </c>
    </row>
    <row r="8" spans="1:15">
      <c r="A8" s="84" t="s">
        <v>151</v>
      </c>
      <c r="B8" s="85" t="s">
        <v>152</v>
      </c>
      <c r="C8" s="86" t="s">
        <v>153</v>
      </c>
      <c r="D8" s="86" t="s">
        <v>154</v>
      </c>
      <c r="E8" s="276" t="s">
        <v>155</v>
      </c>
      <c r="F8" s="87" t="s">
        <v>156</v>
      </c>
      <c r="G8" s="87" t="s">
        <v>156</v>
      </c>
      <c r="H8" s="87" t="s">
        <v>157</v>
      </c>
      <c r="I8" s="276" t="s">
        <v>158</v>
      </c>
      <c r="J8" s="86" t="s">
        <v>159</v>
      </c>
      <c r="K8" s="86" t="s">
        <v>41</v>
      </c>
      <c r="L8" s="276" t="s">
        <v>160</v>
      </c>
      <c r="M8" s="284" t="s">
        <v>161</v>
      </c>
    </row>
    <row r="9" spans="1:15" ht="13.5" thickBot="1">
      <c r="A9" s="88" t="s">
        <v>162</v>
      </c>
      <c r="B9" s="89" t="s">
        <v>163</v>
      </c>
      <c r="C9" s="89"/>
      <c r="D9" s="89" t="s">
        <v>164</v>
      </c>
      <c r="E9" s="277" t="s">
        <v>165</v>
      </c>
      <c r="F9" s="90" t="s">
        <v>165</v>
      </c>
      <c r="G9" s="90" t="s">
        <v>165</v>
      </c>
      <c r="H9" s="90" t="s">
        <v>166</v>
      </c>
      <c r="I9" s="277" t="s">
        <v>165</v>
      </c>
      <c r="J9" s="89" t="s">
        <v>167</v>
      </c>
      <c r="K9" s="89" t="s">
        <v>167</v>
      </c>
      <c r="L9" s="277" t="s">
        <v>168</v>
      </c>
      <c r="M9" s="285" t="s">
        <v>33</v>
      </c>
    </row>
    <row r="10" spans="1:15">
      <c r="A10" s="286"/>
      <c r="B10" s="86"/>
      <c r="C10" s="86"/>
      <c r="D10" s="86"/>
      <c r="E10" s="276"/>
      <c r="F10" s="87"/>
      <c r="G10" s="87"/>
      <c r="H10" s="87"/>
      <c r="I10" s="276"/>
      <c r="J10" s="86"/>
      <c r="K10" s="86"/>
      <c r="L10" s="276"/>
      <c r="M10" s="284"/>
    </row>
    <row r="11" spans="1:15">
      <c r="A11" s="287">
        <v>41974</v>
      </c>
      <c r="B11" s="614" t="s">
        <v>263</v>
      </c>
      <c r="C11" s="613"/>
      <c r="D11" s="289" t="s">
        <v>171</v>
      </c>
      <c r="E11" s="278">
        <v>1241079.4500000011</v>
      </c>
      <c r="F11" s="290">
        <v>1</v>
      </c>
      <c r="G11" s="290">
        <v>1</v>
      </c>
      <c r="H11" s="290">
        <v>0</v>
      </c>
      <c r="I11" s="278">
        <f>+E11</f>
        <v>1241079.4500000011</v>
      </c>
      <c r="J11" s="288"/>
      <c r="K11" s="290"/>
      <c r="L11" s="291"/>
      <c r="M11" s="292"/>
      <c r="O11" s="91"/>
    </row>
    <row r="12" spans="1:15">
      <c r="A12" s="293"/>
      <c r="B12" s="615"/>
      <c r="C12" s="615"/>
      <c r="D12" s="289" t="s">
        <v>173</v>
      </c>
      <c r="E12" s="279">
        <v>8000000</v>
      </c>
      <c r="F12" s="290"/>
      <c r="G12" s="290"/>
      <c r="H12" s="290"/>
      <c r="I12" s="279">
        <f>+I11+E12</f>
        <v>9241079.4500000011</v>
      </c>
      <c r="J12" s="288"/>
      <c r="K12" s="290"/>
      <c r="L12" s="279"/>
      <c r="M12" s="295"/>
      <c r="O12" s="91"/>
    </row>
    <row r="13" spans="1:15">
      <c r="A13" s="293"/>
      <c r="B13" s="294"/>
      <c r="C13" s="294"/>
      <c r="D13" s="289" t="s">
        <v>259</v>
      </c>
      <c r="E13" s="279">
        <v>0</v>
      </c>
      <c r="F13" s="290"/>
      <c r="G13" s="290"/>
      <c r="H13" s="290"/>
      <c r="I13" s="279">
        <f>+I12+E13</f>
        <v>9241079.4500000011</v>
      </c>
      <c r="J13" s="288"/>
      <c r="K13" s="290"/>
      <c r="L13" s="279"/>
      <c r="M13" s="295">
        <f>+E13</f>
        <v>0</v>
      </c>
      <c r="O13" s="91"/>
    </row>
    <row r="14" spans="1:15">
      <c r="A14" s="459">
        <v>42004</v>
      </c>
      <c r="B14" s="296"/>
      <c r="C14" s="288"/>
      <c r="D14" s="289" t="s">
        <v>105</v>
      </c>
      <c r="E14" s="280">
        <v>57.07</v>
      </c>
      <c r="F14" s="290"/>
      <c r="G14" s="290"/>
      <c r="H14" s="488">
        <v>4.1800000000000002E-4</v>
      </c>
      <c r="I14" s="279">
        <f>+I13+E14</f>
        <v>9241136.5200000014</v>
      </c>
      <c r="J14" s="288"/>
      <c r="K14" s="290"/>
      <c r="L14" s="280">
        <f>+E14</f>
        <v>57.07</v>
      </c>
      <c r="M14" s="298"/>
      <c r="O14" s="91"/>
    </row>
    <row r="15" spans="1:15">
      <c r="A15" s="458" t="s">
        <v>85</v>
      </c>
      <c r="B15" s="300"/>
      <c r="C15" s="288"/>
      <c r="D15" s="288"/>
      <c r="E15" s="291"/>
      <c r="F15" s="290"/>
      <c r="G15" s="290"/>
      <c r="H15" s="290" t="s">
        <v>85</v>
      </c>
      <c r="I15" s="291"/>
      <c r="J15" s="288"/>
      <c r="K15" s="288"/>
      <c r="L15" s="291"/>
      <c r="M15" s="301"/>
    </row>
    <row r="16" spans="1:15" s="314" customFormat="1" ht="13.5" thickBot="1">
      <c r="A16" s="315"/>
      <c r="B16" s="316"/>
      <c r="C16" s="316"/>
      <c r="D16" s="317"/>
      <c r="E16" s="318">
        <f>SUM(E11:E14)</f>
        <v>9241136.5200000014</v>
      </c>
      <c r="F16" s="319"/>
      <c r="G16" s="319"/>
      <c r="H16" s="319"/>
      <c r="I16" s="318">
        <f>I14</f>
        <v>9241136.5200000014</v>
      </c>
      <c r="J16" s="320"/>
      <c r="K16" s="319"/>
      <c r="L16" s="318">
        <f>SUM(L14:L15)</f>
        <v>57.07</v>
      </c>
      <c r="M16" s="321">
        <f>SUM(M12:M15)</f>
        <v>0</v>
      </c>
    </row>
    <row r="17" spans="1:13" ht="14.25" thickTop="1" thickBot="1">
      <c r="A17" s="302"/>
      <c r="B17" s="303"/>
      <c r="C17" s="303"/>
      <c r="D17" s="303"/>
      <c r="E17" s="304"/>
      <c r="F17" s="303"/>
      <c r="G17" s="303"/>
      <c r="H17" s="303"/>
      <c r="I17" s="304"/>
      <c r="J17" s="303"/>
      <c r="K17" s="303"/>
      <c r="L17" s="304"/>
      <c r="M17" s="305"/>
    </row>
  </sheetData>
  <mergeCells count="2">
    <mergeCell ref="B11:C11"/>
    <mergeCell ref="B12:C12"/>
  </mergeCells>
  <phoneticPr fontId="22" type="noConversion"/>
  <printOptions horizontalCentered="1"/>
  <pageMargins left="0.25" right="0.25" top="0.5" bottom="0.5" header="0.5" footer="0.5"/>
  <pageSetup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7"/>
  <sheetViews>
    <sheetView topLeftCell="AF1" workbookViewId="0">
      <selection activeCell="AR28" sqref="AR28"/>
    </sheetView>
  </sheetViews>
  <sheetFormatPr defaultColWidth="9.140625" defaultRowHeight="12.75"/>
  <cols>
    <col min="1" max="1" width="26.7109375" style="146" customWidth="1"/>
    <col min="2" max="2" width="5" style="146" customWidth="1"/>
    <col min="3" max="3" width="17.5703125" style="323" customWidth="1"/>
    <col min="4" max="4" width="0.85546875" style="146" customWidth="1"/>
    <col min="5" max="5" width="9.140625" style="146"/>
    <col min="6" max="6" width="17.5703125" style="323" customWidth="1"/>
    <col min="7" max="7" width="0.85546875" style="146" customWidth="1"/>
    <col min="8" max="8" width="9.140625" style="146"/>
    <col min="9" max="9" width="17.7109375" style="323" customWidth="1"/>
    <col min="10" max="10" width="0.85546875" style="323" customWidth="1"/>
    <col min="11" max="11" width="9.140625" style="146"/>
    <col min="12" max="12" width="17.5703125" style="323" customWidth="1"/>
    <col min="13" max="13" width="0.85546875" style="146" customWidth="1"/>
    <col min="14" max="14" width="8.7109375" style="146" customWidth="1"/>
    <col min="15" max="15" width="26.7109375" style="146" customWidth="1"/>
    <col min="16" max="16" width="1.28515625" style="146" customWidth="1"/>
    <col min="17" max="17" width="17.5703125" style="323" customWidth="1"/>
    <col min="18" max="18" width="0.85546875" style="146" customWidth="1"/>
    <col min="19" max="19" width="9.140625" style="146"/>
    <col min="20" max="20" width="17.5703125" style="323" customWidth="1"/>
    <col min="21" max="21" width="0.85546875" style="146" customWidth="1"/>
    <col min="22" max="22" width="9.140625" style="146"/>
    <col min="23" max="23" width="17.5703125" style="323" customWidth="1"/>
    <col min="24" max="24" width="0.85546875" style="323" customWidth="1"/>
    <col min="25" max="25" width="9.140625" style="146"/>
    <col min="26" max="26" width="17.5703125" style="323" customWidth="1"/>
    <col min="27" max="27" width="0.85546875" style="146" customWidth="1"/>
    <col min="28" max="28" width="9.140625" style="146"/>
    <col min="29" max="29" width="31.140625" style="146" customWidth="1"/>
    <col min="30" max="30" width="1.28515625" style="146" customWidth="1"/>
    <col min="31" max="31" width="17.42578125" style="323" customWidth="1"/>
    <col min="32" max="32" width="0.85546875" style="146" customWidth="1"/>
    <col min="33" max="33" width="9.140625" style="146"/>
    <col min="34" max="34" width="17.5703125" style="323" customWidth="1"/>
    <col min="35" max="35" width="0.7109375" style="146" customWidth="1"/>
    <col min="36" max="36" width="9.7109375" style="146" customWidth="1"/>
    <col min="37" max="37" width="15.85546875" style="323" customWidth="1"/>
    <col min="38" max="38" width="0.85546875" style="146" customWidth="1"/>
    <col min="39" max="39" width="10.7109375" style="146" customWidth="1"/>
    <col min="40" max="40" width="17.7109375" style="323" customWidth="1"/>
    <col min="41" max="41" width="0.85546875" style="323" customWidth="1"/>
    <col min="42" max="42" width="9.140625" style="146"/>
    <col min="43" max="43" width="31.140625" style="146" customWidth="1"/>
    <col min="44" max="44" width="15.85546875" style="146" customWidth="1"/>
    <col min="45" max="45" width="1.5703125" style="146" customWidth="1"/>
    <col min="46" max="46" width="8.28515625" style="146" customWidth="1"/>
    <col min="47" max="47" width="14.85546875" style="323" customWidth="1"/>
    <col min="48" max="48" width="0.85546875" style="146" customWidth="1"/>
    <col min="49" max="49" width="10" style="146" customWidth="1"/>
    <col min="50" max="50" width="2.28515625" style="146" hidden="1" customWidth="1"/>
    <col min="51" max="51" width="16" style="323" customWidth="1"/>
    <col min="52" max="52" width="0.85546875" style="146" customWidth="1"/>
    <col min="53" max="53" width="11.7109375" style="146" customWidth="1"/>
    <col min="54" max="54" width="16.140625" style="323" customWidth="1"/>
    <col min="55" max="55" width="0.85546875" style="323" customWidth="1"/>
    <col min="56" max="56" width="9.140625" style="146" customWidth="1"/>
    <col min="57" max="57" width="17.5703125" style="323" customWidth="1"/>
    <col min="58" max="58" width="1.42578125" style="146" customWidth="1"/>
    <col min="59" max="59" width="9.85546875" style="146" customWidth="1"/>
    <col min="60" max="16384" width="9.140625" style="146"/>
  </cols>
  <sheetData>
    <row r="1" spans="1:59" ht="19.5">
      <c r="A1" s="616" t="s">
        <v>235</v>
      </c>
      <c r="B1" s="616"/>
      <c r="C1" s="616"/>
      <c r="D1" s="616"/>
      <c r="E1" s="616"/>
      <c r="F1" s="616"/>
      <c r="G1" s="616"/>
      <c r="H1" s="616"/>
      <c r="I1" s="616"/>
      <c r="J1" s="616"/>
      <c r="K1" s="616"/>
      <c r="L1" s="616"/>
      <c r="M1" s="616"/>
      <c r="N1" s="616"/>
      <c r="O1" s="616" t="s">
        <v>235</v>
      </c>
      <c r="P1" s="616"/>
      <c r="Q1" s="616"/>
      <c r="R1" s="616"/>
      <c r="S1" s="616"/>
      <c r="T1" s="616"/>
      <c r="U1" s="616"/>
      <c r="V1" s="616"/>
      <c r="W1" s="616"/>
      <c r="X1" s="616"/>
      <c r="Y1" s="616"/>
      <c r="Z1" s="616"/>
      <c r="AA1" s="616"/>
      <c r="AB1" s="616"/>
      <c r="AC1" s="616" t="s">
        <v>235</v>
      </c>
      <c r="AD1" s="616"/>
      <c r="AE1" s="616"/>
      <c r="AF1" s="616"/>
      <c r="AG1" s="616"/>
      <c r="AH1" s="616"/>
      <c r="AI1" s="616"/>
      <c r="AJ1" s="616"/>
      <c r="AK1" s="616"/>
      <c r="AL1" s="616"/>
      <c r="AM1" s="616"/>
      <c r="AN1" s="616"/>
      <c r="AO1" s="616"/>
      <c r="AP1" s="616"/>
      <c r="AQ1" s="616" t="s">
        <v>235</v>
      </c>
      <c r="AR1" s="616"/>
      <c r="AS1" s="616"/>
      <c r="AT1" s="616"/>
      <c r="AU1" s="616"/>
      <c r="AV1" s="616"/>
      <c r="AW1" s="616"/>
      <c r="AX1" s="616"/>
      <c r="AY1" s="616"/>
      <c r="AZ1" s="616"/>
      <c r="BA1" s="616"/>
      <c r="BB1" s="616"/>
      <c r="BC1" s="616"/>
      <c r="BD1" s="616"/>
      <c r="BE1" s="338"/>
      <c r="BF1" s="339"/>
      <c r="BG1" s="339"/>
    </row>
    <row r="2" spans="1:59" ht="19.5">
      <c r="A2" s="616" t="s">
        <v>333</v>
      </c>
      <c r="B2" s="616"/>
      <c r="C2" s="616"/>
      <c r="D2" s="616"/>
      <c r="E2" s="616"/>
      <c r="F2" s="616"/>
      <c r="G2" s="616"/>
      <c r="H2" s="616"/>
      <c r="I2" s="616"/>
      <c r="J2" s="616"/>
      <c r="K2" s="616"/>
      <c r="L2" s="616"/>
      <c r="M2" s="616"/>
      <c r="N2" s="616"/>
      <c r="O2" s="616" t="str">
        <f>A2</f>
        <v>Summary of Revenue &amp; Expenditures As Of  12/31/14</v>
      </c>
      <c r="P2" s="616"/>
      <c r="Q2" s="616"/>
      <c r="R2" s="616"/>
      <c r="S2" s="616"/>
      <c r="T2" s="616"/>
      <c r="U2" s="616"/>
      <c r="V2" s="616"/>
      <c r="W2" s="616"/>
      <c r="X2" s="616"/>
      <c r="Y2" s="616"/>
      <c r="Z2" s="616"/>
      <c r="AA2" s="616"/>
      <c r="AB2" s="616"/>
      <c r="AC2" s="616" t="str">
        <f>A2</f>
        <v>Summary of Revenue &amp; Expenditures As Of  12/31/14</v>
      </c>
      <c r="AD2" s="616"/>
      <c r="AE2" s="616"/>
      <c r="AF2" s="616"/>
      <c r="AG2" s="616"/>
      <c r="AH2" s="616"/>
      <c r="AI2" s="616"/>
      <c r="AJ2" s="616"/>
      <c r="AK2" s="616"/>
      <c r="AL2" s="616"/>
      <c r="AM2" s="616"/>
      <c r="AN2" s="616"/>
      <c r="AO2" s="616"/>
      <c r="AP2" s="616"/>
      <c r="AQ2" s="616" t="str">
        <f>A2</f>
        <v>Summary of Revenue &amp; Expenditures As Of  12/31/14</v>
      </c>
      <c r="AR2" s="616"/>
      <c r="AS2" s="616"/>
      <c r="AT2" s="616"/>
      <c r="AU2" s="616"/>
      <c r="AV2" s="616"/>
      <c r="AW2" s="616"/>
      <c r="AX2" s="616"/>
      <c r="AY2" s="616"/>
      <c r="AZ2" s="616"/>
      <c r="BA2" s="616"/>
      <c r="BB2" s="616"/>
      <c r="BC2" s="616"/>
      <c r="BD2" s="616"/>
      <c r="BE2" s="338"/>
      <c r="BF2" s="339"/>
      <c r="BG2" s="339"/>
    </row>
    <row r="3" spans="1:59" s="144" customFormat="1" ht="19.5">
      <c r="A3" s="618" t="s">
        <v>332</v>
      </c>
      <c r="B3" s="618"/>
      <c r="C3" s="618"/>
      <c r="D3" s="618"/>
      <c r="E3" s="618"/>
      <c r="F3" s="618"/>
      <c r="G3" s="618"/>
      <c r="H3" s="618"/>
      <c r="I3" s="618"/>
      <c r="J3" s="618"/>
      <c r="K3" s="618"/>
      <c r="L3" s="618"/>
      <c r="M3" s="618"/>
      <c r="N3" s="618"/>
      <c r="O3" s="618" t="str">
        <f>A3</f>
        <v>Accounting Period: 12</v>
      </c>
      <c r="P3" s="618"/>
      <c r="Q3" s="618"/>
      <c r="R3" s="618"/>
      <c r="S3" s="618"/>
      <c r="T3" s="618"/>
      <c r="U3" s="618"/>
      <c r="V3" s="618"/>
      <c r="W3" s="618"/>
      <c r="X3" s="618"/>
      <c r="Y3" s="618"/>
      <c r="Z3" s="618"/>
      <c r="AA3" s="618"/>
      <c r="AB3" s="618"/>
      <c r="AC3" s="618" t="str">
        <f>O3</f>
        <v>Accounting Period: 12</v>
      </c>
      <c r="AD3" s="618"/>
      <c r="AE3" s="618"/>
      <c r="AF3" s="618"/>
      <c r="AG3" s="618"/>
      <c r="AH3" s="618"/>
      <c r="AI3" s="618"/>
      <c r="AJ3" s="618"/>
      <c r="AK3" s="618"/>
      <c r="AL3" s="618"/>
      <c r="AM3" s="618"/>
      <c r="AN3" s="618"/>
      <c r="AO3" s="618"/>
      <c r="AP3" s="618"/>
      <c r="AQ3" s="618" t="str">
        <f>A3</f>
        <v>Accounting Period: 12</v>
      </c>
      <c r="AR3" s="618"/>
      <c r="AS3" s="618"/>
      <c r="AT3" s="618"/>
      <c r="AU3" s="618"/>
      <c r="AV3" s="618"/>
      <c r="AW3" s="618"/>
      <c r="AX3" s="618"/>
      <c r="AY3" s="618"/>
      <c r="AZ3" s="618"/>
      <c r="BA3" s="618"/>
      <c r="BB3" s="618"/>
      <c r="BC3" s="618"/>
      <c r="BD3" s="618"/>
      <c r="BE3" s="342"/>
      <c r="BF3" s="343"/>
      <c r="BG3" s="343"/>
    </row>
    <row r="4" spans="1:59" ht="20.25" thickBot="1">
      <c r="A4" s="617"/>
      <c r="B4" s="617"/>
      <c r="C4" s="617"/>
      <c r="D4" s="617"/>
      <c r="E4" s="617"/>
      <c r="F4" s="617"/>
      <c r="G4" s="617"/>
      <c r="H4" s="617"/>
      <c r="I4" s="617"/>
      <c r="J4" s="617"/>
      <c r="K4" s="617"/>
      <c r="L4" s="617"/>
      <c r="M4" s="617"/>
      <c r="N4" s="617"/>
      <c r="O4" s="617"/>
      <c r="P4" s="617"/>
      <c r="Q4" s="617"/>
      <c r="R4" s="617"/>
      <c r="S4" s="617"/>
      <c r="T4" s="617"/>
      <c r="U4" s="617"/>
      <c r="V4" s="617"/>
      <c r="W4" s="617"/>
      <c r="X4" s="617"/>
      <c r="Y4" s="617"/>
      <c r="Z4" s="617"/>
      <c r="AA4" s="617"/>
      <c r="AB4" s="617"/>
      <c r="AC4" s="617"/>
      <c r="AD4" s="617"/>
      <c r="AE4" s="617"/>
      <c r="AF4" s="617"/>
      <c r="AG4" s="617"/>
      <c r="AH4" s="617"/>
      <c r="AI4" s="617"/>
      <c r="AJ4" s="617"/>
      <c r="AK4" s="617"/>
      <c r="AL4" s="617"/>
      <c r="AM4" s="617"/>
      <c r="AN4" s="617"/>
      <c r="AO4" s="617"/>
      <c r="AP4" s="617"/>
      <c r="AQ4" s="617"/>
      <c r="AR4" s="617"/>
      <c r="AS4" s="617"/>
      <c r="AT4" s="617"/>
      <c r="AU4" s="617"/>
      <c r="AV4" s="617"/>
      <c r="AW4" s="617"/>
      <c r="AX4" s="617"/>
      <c r="AY4" s="618"/>
      <c r="AZ4" s="618"/>
      <c r="BA4" s="618"/>
      <c r="BB4" s="618"/>
      <c r="BC4" s="618"/>
      <c r="BD4" s="618"/>
      <c r="BE4" s="342"/>
      <c r="BF4" s="343"/>
      <c r="BG4" s="343"/>
    </row>
    <row r="5" spans="1:59">
      <c r="B5" s="147"/>
      <c r="E5" s="147"/>
      <c r="H5" s="147"/>
      <c r="K5" s="147"/>
      <c r="N5" s="147"/>
      <c r="P5" s="147"/>
      <c r="S5" s="147"/>
      <c r="V5" s="147"/>
      <c r="Y5" s="147"/>
      <c r="Z5" s="330"/>
      <c r="AB5" s="147"/>
      <c r="AD5" s="147"/>
      <c r="AE5" s="330"/>
      <c r="AF5" s="323"/>
      <c r="AG5" s="147"/>
      <c r="AH5" s="330"/>
      <c r="AK5" s="330"/>
      <c r="AM5" s="147"/>
      <c r="AN5" s="330"/>
      <c r="AP5" s="147"/>
      <c r="AR5" s="464"/>
      <c r="AS5" s="468"/>
      <c r="AT5" s="469"/>
      <c r="AW5" s="505"/>
      <c r="AX5" s="144"/>
      <c r="AY5" s="344"/>
      <c r="AZ5" s="144"/>
      <c r="BA5" s="144"/>
      <c r="BB5" s="344"/>
      <c r="BC5" s="144"/>
      <c r="BD5" s="144"/>
      <c r="BE5" s="146"/>
    </row>
    <row r="6" spans="1:59" ht="13.5" thickBot="1">
      <c r="B6" s="145"/>
      <c r="C6" s="324" t="s">
        <v>267</v>
      </c>
      <c r="D6" s="148"/>
      <c r="E6" s="151" t="s">
        <v>183</v>
      </c>
      <c r="F6" s="324" t="s">
        <v>210</v>
      </c>
      <c r="G6" s="148"/>
      <c r="H6" s="151" t="s">
        <v>183</v>
      </c>
      <c r="I6" s="324" t="s">
        <v>211</v>
      </c>
      <c r="J6" s="324"/>
      <c r="K6" s="151" t="s">
        <v>183</v>
      </c>
      <c r="L6" s="324" t="s">
        <v>212</v>
      </c>
      <c r="M6" s="150"/>
      <c r="N6" s="151" t="s">
        <v>183</v>
      </c>
      <c r="P6" s="145"/>
      <c r="Q6" s="324" t="s">
        <v>268</v>
      </c>
      <c r="R6" s="148"/>
      <c r="S6" s="151" t="s">
        <v>183</v>
      </c>
      <c r="T6" s="324" t="s">
        <v>213</v>
      </c>
      <c r="U6" s="148"/>
      <c r="V6" s="151" t="s">
        <v>183</v>
      </c>
      <c r="W6" s="329" t="s">
        <v>214</v>
      </c>
      <c r="X6" s="329"/>
      <c r="Y6" s="151" t="s">
        <v>183</v>
      </c>
      <c r="Z6" s="331" t="s">
        <v>301</v>
      </c>
      <c r="AA6" s="148"/>
      <c r="AB6" s="151" t="s">
        <v>183</v>
      </c>
      <c r="AD6" s="145"/>
      <c r="AE6" s="331" t="s">
        <v>306</v>
      </c>
      <c r="AF6" s="148"/>
      <c r="AG6" s="151" t="s">
        <v>183</v>
      </c>
      <c r="AH6" s="331" t="s">
        <v>272</v>
      </c>
      <c r="AI6" s="148"/>
      <c r="AJ6" s="149" t="s">
        <v>183</v>
      </c>
      <c r="AK6" s="331" t="s">
        <v>215</v>
      </c>
      <c r="AL6" s="148"/>
      <c r="AM6" s="151" t="s">
        <v>183</v>
      </c>
      <c r="AN6" s="331" t="s">
        <v>216</v>
      </c>
      <c r="AO6" s="148"/>
      <c r="AP6" s="151" t="s">
        <v>183</v>
      </c>
      <c r="AR6" s="465" t="s">
        <v>282</v>
      </c>
      <c r="AS6" s="470"/>
      <c r="AT6" s="471" t="s">
        <v>183</v>
      </c>
      <c r="AU6" s="329" t="s">
        <v>273</v>
      </c>
      <c r="AV6" s="148"/>
      <c r="AW6" s="506" t="s">
        <v>183</v>
      </c>
      <c r="AX6" s="144"/>
      <c r="AY6" s="346"/>
      <c r="AZ6" s="144"/>
      <c r="BA6" s="345"/>
      <c r="BB6" s="346"/>
      <c r="BC6" s="347"/>
      <c r="BD6" s="345"/>
      <c r="BE6" s="146"/>
    </row>
    <row r="7" spans="1:59">
      <c r="B7" s="145"/>
      <c r="C7" s="325" t="s">
        <v>217</v>
      </c>
      <c r="E7" s="145"/>
      <c r="F7" s="325" t="s">
        <v>280</v>
      </c>
      <c r="H7" s="145"/>
      <c r="I7" s="325" t="s">
        <v>270</v>
      </c>
      <c r="J7" s="325"/>
      <c r="K7" s="145"/>
      <c r="L7" s="325" t="s">
        <v>271</v>
      </c>
      <c r="M7" s="153"/>
      <c r="N7" s="145"/>
      <c r="P7" s="145"/>
      <c r="Q7" s="325" t="s">
        <v>278</v>
      </c>
      <c r="S7" s="145"/>
      <c r="T7" s="325" t="s">
        <v>269</v>
      </c>
      <c r="V7" s="145"/>
      <c r="W7" s="325" t="s">
        <v>275</v>
      </c>
      <c r="X7" s="325"/>
      <c r="Y7" s="145"/>
      <c r="Z7" s="429" t="s">
        <v>302</v>
      </c>
      <c r="AB7" s="145"/>
      <c r="AD7" s="145"/>
      <c r="AE7" s="332" t="s">
        <v>303</v>
      </c>
      <c r="AG7" s="145"/>
      <c r="AH7" s="332" t="s">
        <v>300</v>
      </c>
      <c r="AK7" s="332" t="s">
        <v>218</v>
      </c>
      <c r="AM7" s="145"/>
      <c r="AN7" s="332" t="s">
        <v>219</v>
      </c>
      <c r="AO7" s="146"/>
      <c r="AP7" s="145"/>
      <c r="AR7" s="466" t="s">
        <v>334</v>
      </c>
      <c r="AS7" s="472"/>
      <c r="AT7" s="473"/>
      <c r="AU7" s="325" t="s">
        <v>274</v>
      </c>
      <c r="AW7" s="507"/>
      <c r="AX7" s="500"/>
      <c r="AY7" s="346"/>
      <c r="AZ7" s="144"/>
      <c r="BA7" s="144"/>
      <c r="BB7" s="346"/>
      <c r="BC7" s="347"/>
      <c r="BD7" s="144"/>
      <c r="BE7" s="146"/>
    </row>
    <row r="8" spans="1:59">
      <c r="B8" s="145"/>
      <c r="E8" s="154"/>
      <c r="F8" s="325" t="s">
        <v>279</v>
      </c>
      <c r="H8" s="145"/>
      <c r="I8" s="152" t="s">
        <v>281</v>
      </c>
      <c r="J8" s="152"/>
      <c r="K8" s="145"/>
      <c r="L8" s="152" t="s">
        <v>281</v>
      </c>
      <c r="M8" s="153"/>
      <c r="N8" s="145"/>
      <c r="P8" s="145"/>
      <c r="Q8" s="325" t="s">
        <v>277</v>
      </c>
      <c r="S8" s="154"/>
      <c r="V8" s="145"/>
      <c r="W8" s="325" t="s">
        <v>276</v>
      </c>
      <c r="X8" s="325"/>
      <c r="Y8" s="145"/>
      <c r="Z8" s="333"/>
      <c r="AB8" s="145"/>
      <c r="AD8" s="145"/>
      <c r="AE8" s="333"/>
      <c r="AG8" s="145"/>
      <c r="AH8" s="333"/>
      <c r="AK8" s="332"/>
      <c r="AM8" s="145"/>
      <c r="AN8" s="332"/>
      <c r="AO8" s="146"/>
      <c r="AP8" s="145"/>
      <c r="AR8" s="466"/>
      <c r="AS8" s="472"/>
      <c r="AT8" s="473"/>
      <c r="AU8" s="325"/>
      <c r="AW8" s="508"/>
      <c r="AX8" s="500"/>
      <c r="AY8" s="346"/>
      <c r="AZ8" s="144"/>
      <c r="BA8" s="500"/>
      <c r="BB8" s="346"/>
      <c r="BC8" s="347"/>
      <c r="BD8" s="144"/>
      <c r="BE8" s="146"/>
    </row>
    <row r="9" spans="1:59">
      <c r="B9" s="145"/>
      <c r="E9" s="154"/>
      <c r="H9" s="145"/>
      <c r="K9" s="145"/>
      <c r="M9" s="153"/>
      <c r="N9" s="145"/>
      <c r="P9" s="145"/>
      <c r="S9" s="154"/>
      <c r="V9" s="145"/>
      <c r="Y9" s="145"/>
      <c r="Z9" s="333"/>
      <c r="AB9" s="145"/>
      <c r="AD9" s="145"/>
      <c r="AE9" s="333"/>
      <c r="AG9" s="145"/>
      <c r="AH9" s="333"/>
      <c r="AK9" s="333"/>
      <c r="AM9" s="145"/>
      <c r="AN9" s="333"/>
      <c r="AO9" s="146"/>
      <c r="AP9" s="145"/>
      <c r="AR9" s="486"/>
      <c r="AS9" s="472"/>
      <c r="AT9" s="473"/>
      <c r="AW9" s="508"/>
      <c r="AX9" s="500"/>
      <c r="AY9" s="344"/>
      <c r="AZ9" s="144"/>
      <c r="BA9" s="500"/>
      <c r="BB9" s="344"/>
      <c r="BC9" s="347"/>
      <c r="BD9" s="144"/>
      <c r="BE9" s="146"/>
    </row>
    <row r="10" spans="1:59" s="158" customFormat="1">
      <c r="A10" s="155" t="s">
        <v>220</v>
      </c>
      <c r="B10" s="156"/>
      <c r="C10" s="467">
        <v>49511884</v>
      </c>
      <c r="E10" s="160">
        <v>1</v>
      </c>
      <c r="F10" s="326">
        <v>379382</v>
      </c>
      <c r="H10" s="160">
        <v>1</v>
      </c>
      <c r="I10" s="326">
        <v>737203</v>
      </c>
      <c r="J10" s="326"/>
      <c r="K10" s="160">
        <v>1</v>
      </c>
      <c r="L10" s="326">
        <v>8977</v>
      </c>
      <c r="M10" s="157"/>
      <c r="N10" s="160">
        <v>1</v>
      </c>
      <c r="O10" s="155" t="s">
        <v>220</v>
      </c>
      <c r="P10" s="156"/>
      <c r="Q10" s="326">
        <v>52414</v>
      </c>
      <c r="S10" s="160">
        <v>1</v>
      </c>
      <c r="T10" s="326">
        <v>46831</v>
      </c>
      <c r="V10" s="160">
        <v>1</v>
      </c>
      <c r="W10" s="326">
        <v>117290</v>
      </c>
      <c r="X10" s="326"/>
      <c r="Y10" s="160">
        <v>1</v>
      </c>
      <c r="Z10" s="335">
        <v>0</v>
      </c>
      <c r="AB10" s="160">
        <v>1</v>
      </c>
      <c r="AC10" s="155" t="s">
        <v>220</v>
      </c>
      <c r="AD10" s="156"/>
      <c r="AE10" s="335">
        <v>0</v>
      </c>
      <c r="AG10" s="160">
        <v>1</v>
      </c>
      <c r="AH10" s="335">
        <v>222300</v>
      </c>
      <c r="AJ10" s="159">
        <v>1</v>
      </c>
      <c r="AK10" s="335">
        <v>2849784</v>
      </c>
      <c r="AM10" s="160">
        <v>1</v>
      </c>
      <c r="AN10" s="335">
        <v>11330893</v>
      </c>
      <c r="AP10" s="160">
        <v>1</v>
      </c>
      <c r="AQ10" s="155" t="s">
        <v>220</v>
      </c>
      <c r="AR10" s="515">
        <v>18180345</v>
      </c>
      <c r="AS10" s="474"/>
      <c r="AT10" s="475">
        <v>1</v>
      </c>
      <c r="AU10" s="326">
        <v>579032</v>
      </c>
      <c r="AW10" s="509">
        <v>1</v>
      </c>
      <c r="AX10" s="161"/>
      <c r="AY10" s="348"/>
      <c r="AZ10" s="503"/>
      <c r="BA10" s="161"/>
      <c r="BB10" s="348"/>
      <c r="BC10" s="349"/>
      <c r="BD10" s="161"/>
    </row>
    <row r="11" spans="1:59">
      <c r="A11" s="152" t="s">
        <v>221</v>
      </c>
      <c r="B11" s="154"/>
      <c r="C11" s="323">
        <v>16061134.119999999</v>
      </c>
      <c r="E11" s="145"/>
      <c r="F11" s="323">
        <v>25361.11</v>
      </c>
      <c r="H11" s="163"/>
      <c r="I11" s="323">
        <v>63993.68</v>
      </c>
      <c r="K11" s="163"/>
      <c r="L11" s="323">
        <v>0</v>
      </c>
      <c r="M11" s="164"/>
      <c r="N11" s="163"/>
      <c r="O11" s="152" t="s">
        <v>221</v>
      </c>
      <c r="P11" s="154"/>
      <c r="Q11" s="323">
        <v>0</v>
      </c>
      <c r="S11" s="145"/>
      <c r="T11" s="323">
        <v>2689.94</v>
      </c>
      <c r="V11" s="163"/>
      <c r="W11" s="323">
        <v>15510.35</v>
      </c>
      <c r="Y11" s="163"/>
      <c r="Z11" s="333">
        <v>0</v>
      </c>
      <c r="AB11" s="163"/>
      <c r="AC11" s="152" t="s">
        <v>221</v>
      </c>
      <c r="AD11" s="154"/>
      <c r="AE11" s="333">
        <v>0</v>
      </c>
      <c r="AG11" s="163"/>
      <c r="AH11" s="333">
        <v>0</v>
      </c>
      <c r="AJ11" s="162"/>
      <c r="AK11" s="333">
        <v>266800.88</v>
      </c>
      <c r="AM11" s="163"/>
      <c r="AN11" s="333">
        <v>7507773.9500000002</v>
      </c>
      <c r="AO11" s="146"/>
      <c r="AP11" s="163"/>
      <c r="AQ11" s="152" t="s">
        <v>221</v>
      </c>
      <c r="AR11" s="486">
        <v>146.06</v>
      </c>
      <c r="AS11" s="472"/>
      <c r="AT11" s="476"/>
      <c r="AU11" s="323">
        <v>47640.639999999999</v>
      </c>
      <c r="AW11" s="507"/>
      <c r="AX11" s="165"/>
      <c r="AY11" s="344"/>
      <c r="AZ11" s="144"/>
      <c r="BA11" s="144"/>
      <c r="BB11" s="344"/>
      <c r="BC11" s="350"/>
      <c r="BD11" s="165"/>
      <c r="BE11" s="146"/>
    </row>
    <row r="12" spans="1:59" ht="13.5" thickBot="1">
      <c r="A12" s="152" t="s">
        <v>222</v>
      </c>
      <c r="B12" s="145"/>
      <c r="C12" s="327">
        <v>31278140.359999999</v>
      </c>
      <c r="D12" s="148"/>
      <c r="E12" s="167">
        <f>C12/C10</f>
        <v>0.631729957195731</v>
      </c>
      <c r="F12" s="327">
        <v>71053.09</v>
      </c>
      <c r="G12" s="148"/>
      <c r="H12" s="167">
        <f>F12/F10</f>
        <v>0.18728640262321353</v>
      </c>
      <c r="I12" s="327">
        <v>227015.47</v>
      </c>
      <c r="J12" s="327"/>
      <c r="K12" s="167">
        <f>I12/I10</f>
        <v>0.30794159817580774</v>
      </c>
      <c r="L12" s="327">
        <v>355</v>
      </c>
      <c r="M12" s="166"/>
      <c r="N12" s="167">
        <f>L12/L10</f>
        <v>3.9545505179904197E-2</v>
      </c>
      <c r="O12" s="152" t="s">
        <v>222</v>
      </c>
      <c r="P12" s="145"/>
      <c r="Q12" s="327">
        <v>559.4</v>
      </c>
      <c r="R12" s="148"/>
      <c r="S12" s="167">
        <f>Q12/Q10</f>
        <v>1.0672721028732781E-2</v>
      </c>
      <c r="T12" s="327">
        <v>8313.33</v>
      </c>
      <c r="U12" s="148"/>
      <c r="V12" s="167">
        <f>T12/T10</f>
        <v>0.17751766991949777</v>
      </c>
      <c r="W12" s="327">
        <v>28259.47</v>
      </c>
      <c r="X12" s="327"/>
      <c r="Y12" s="167">
        <f>W12/W10</f>
        <v>0.24093673799982948</v>
      </c>
      <c r="Z12" s="334">
        <v>6639</v>
      </c>
      <c r="AA12" s="148"/>
      <c r="AB12" s="167"/>
      <c r="AC12" s="152" t="s">
        <v>222</v>
      </c>
      <c r="AD12" s="145"/>
      <c r="AE12" s="334">
        <v>0</v>
      </c>
      <c r="AF12" s="148"/>
      <c r="AG12" s="167" t="e">
        <f>AE12/AE10</f>
        <v>#DIV/0!</v>
      </c>
      <c r="AH12" s="334">
        <v>222300.12</v>
      </c>
      <c r="AI12" s="148"/>
      <c r="AJ12" s="167">
        <f>AH12/AH10</f>
        <v>1.0000005398110661</v>
      </c>
      <c r="AK12" s="334">
        <v>1178925.03</v>
      </c>
      <c r="AL12" s="148"/>
      <c r="AM12" s="167">
        <f>AK12/AK10</f>
        <v>0.41368925855433253</v>
      </c>
      <c r="AN12" s="334">
        <v>9160017.9199999999</v>
      </c>
      <c r="AO12" s="148"/>
      <c r="AP12" s="167">
        <f>AN12/AN10</f>
        <v>0.80841094519205148</v>
      </c>
      <c r="AQ12" s="152" t="s">
        <v>222</v>
      </c>
      <c r="AR12" s="516">
        <v>18192827.359999999</v>
      </c>
      <c r="AS12" s="470"/>
      <c r="AT12" s="167">
        <f>AR12/AR10</f>
        <v>1.0006865854305844</v>
      </c>
      <c r="AU12" s="327">
        <v>197031.65</v>
      </c>
      <c r="AV12" s="148"/>
      <c r="AW12" s="510">
        <f>AU12/AU10</f>
        <v>0.34027765304853619</v>
      </c>
      <c r="AX12" s="165"/>
      <c r="AY12" s="344"/>
      <c r="AZ12" s="144"/>
      <c r="BA12" s="165"/>
      <c r="BB12" s="344"/>
      <c r="BC12" s="350"/>
      <c r="BD12" s="165"/>
      <c r="BE12" s="146"/>
    </row>
    <row r="13" spans="1:59">
      <c r="A13" s="152"/>
      <c r="B13" s="145"/>
      <c r="E13" s="163"/>
      <c r="H13" s="163"/>
      <c r="K13" s="163"/>
      <c r="M13" s="164"/>
      <c r="N13" s="163"/>
      <c r="O13" s="152"/>
      <c r="P13" s="145"/>
      <c r="S13" s="163"/>
      <c r="V13" s="163"/>
      <c r="Y13" s="163"/>
      <c r="Z13" s="333"/>
      <c r="AB13" s="163"/>
      <c r="AC13" s="152"/>
      <c r="AD13" s="145"/>
      <c r="AE13" s="333"/>
      <c r="AG13" s="163"/>
      <c r="AH13" s="333"/>
      <c r="AJ13" s="162"/>
      <c r="AK13" s="333"/>
      <c r="AM13" s="163"/>
      <c r="AN13" s="333"/>
      <c r="AO13" s="146"/>
      <c r="AP13" s="163"/>
      <c r="AQ13" s="152"/>
      <c r="AR13" s="486"/>
      <c r="AS13" s="472"/>
      <c r="AT13" s="476"/>
      <c r="AW13" s="511"/>
      <c r="AX13" s="165"/>
      <c r="AY13" s="344"/>
      <c r="AZ13" s="144"/>
      <c r="BA13" s="165"/>
      <c r="BB13" s="344"/>
      <c r="BC13" s="350"/>
      <c r="BD13" s="165"/>
      <c r="BE13" s="146"/>
    </row>
    <row r="14" spans="1:59" s="433" customFormat="1">
      <c r="A14" s="152" t="s">
        <v>223</v>
      </c>
      <c r="B14" s="430"/>
      <c r="C14" s="325">
        <f>C10-C12</f>
        <v>18233743.640000001</v>
      </c>
      <c r="D14" s="152"/>
      <c r="E14" s="170">
        <f>C14/C10</f>
        <v>0.368270042804269</v>
      </c>
      <c r="F14" s="325">
        <f>F10-F12</f>
        <v>308328.91000000003</v>
      </c>
      <c r="G14" s="152"/>
      <c r="H14" s="170">
        <f>F14/F10</f>
        <v>0.8127135973767865</v>
      </c>
      <c r="I14" s="325">
        <f>I10-I12</f>
        <v>510187.53</v>
      </c>
      <c r="J14" s="325"/>
      <c r="K14" s="170">
        <f>I14/I10</f>
        <v>0.69205840182419232</v>
      </c>
      <c r="L14" s="325">
        <f>L10-L12</f>
        <v>8622</v>
      </c>
      <c r="M14" s="431"/>
      <c r="N14" s="170">
        <f>L14/L10</f>
        <v>0.96045449482009582</v>
      </c>
      <c r="O14" s="152" t="s">
        <v>223</v>
      </c>
      <c r="P14" s="430"/>
      <c r="Q14" s="325">
        <f>Q10-Q12</f>
        <v>51854.6</v>
      </c>
      <c r="R14" s="152"/>
      <c r="S14" s="170">
        <f>Q14/Q10</f>
        <v>0.98932727897126715</v>
      </c>
      <c r="T14" s="325">
        <f>T10-T12</f>
        <v>38517.67</v>
      </c>
      <c r="U14" s="152"/>
      <c r="V14" s="170">
        <f>T14/T10</f>
        <v>0.8224823300805022</v>
      </c>
      <c r="W14" s="325">
        <f>W10-W12</f>
        <v>89030.53</v>
      </c>
      <c r="X14" s="325"/>
      <c r="Y14" s="170">
        <f>W14/W10</f>
        <v>0.75906326200017049</v>
      </c>
      <c r="Z14" s="332">
        <f>Z10-Z12</f>
        <v>-6639</v>
      </c>
      <c r="AA14" s="152"/>
      <c r="AB14" s="170"/>
      <c r="AC14" s="152" t="s">
        <v>223</v>
      </c>
      <c r="AD14" s="430"/>
      <c r="AE14" s="332">
        <f>AE10-AE12</f>
        <v>0</v>
      </c>
      <c r="AF14" s="152"/>
      <c r="AG14" s="170"/>
      <c r="AH14" s="332">
        <f>AH10-AH12</f>
        <v>-0.11999999999534339</v>
      </c>
      <c r="AI14" s="152"/>
      <c r="AJ14" s="170">
        <f>AH14/AH10</f>
        <v>-5.3981106610590815E-7</v>
      </c>
      <c r="AK14" s="466">
        <f>IF(AK10-AK12&lt;0,0,AK10-AK12)</f>
        <v>1670858.97</v>
      </c>
      <c r="AL14" s="152" t="s">
        <v>314</v>
      </c>
      <c r="AM14" s="170">
        <f>AK14/AK10</f>
        <v>0.58631074144566742</v>
      </c>
      <c r="AN14" s="466">
        <f>IF(AN10-AN12&lt;0,0,AN10-AN12)</f>
        <v>2170875.08</v>
      </c>
      <c r="AO14" s="152"/>
      <c r="AP14" s="170">
        <f>AN14/AN10</f>
        <v>0.19158905480794849</v>
      </c>
      <c r="AQ14" s="152" t="s">
        <v>223</v>
      </c>
      <c r="AR14" s="466">
        <f>IF(AR10-AR12&lt;0,0,AR10-AR12)</f>
        <v>0</v>
      </c>
      <c r="AS14" s="478"/>
      <c r="AT14" s="170">
        <f>AR14/AR10</f>
        <v>0</v>
      </c>
      <c r="AU14" s="325">
        <f>AU10-AU12</f>
        <v>382000.35</v>
      </c>
      <c r="AV14" s="152"/>
      <c r="AW14" s="512">
        <f>AU14/AU10</f>
        <v>0.65972234695146381</v>
      </c>
      <c r="AX14" s="501"/>
      <c r="AY14" s="346"/>
      <c r="AZ14" s="504"/>
      <c r="BA14" s="171"/>
      <c r="BB14" s="346"/>
      <c r="BC14" s="432"/>
      <c r="BD14" s="171"/>
    </row>
    <row r="15" spans="1:59">
      <c r="A15" s="152"/>
      <c r="B15" s="145"/>
      <c r="E15" s="163"/>
      <c r="H15" s="163"/>
      <c r="I15" s="270"/>
      <c r="J15" s="270"/>
      <c r="K15" s="163"/>
      <c r="M15" s="164"/>
      <c r="N15" s="163"/>
      <c r="O15" s="152"/>
      <c r="P15" s="145"/>
      <c r="Q15" s="270"/>
      <c r="S15" s="163"/>
      <c r="V15" s="163"/>
      <c r="Y15" s="163"/>
      <c r="Z15" s="333"/>
      <c r="AB15" s="163"/>
      <c r="AC15" s="152"/>
      <c r="AD15" s="145"/>
      <c r="AE15" s="333"/>
      <c r="AG15" s="163"/>
      <c r="AH15" s="333"/>
      <c r="AJ15" s="162"/>
      <c r="AK15" s="333"/>
      <c r="AM15" s="163"/>
      <c r="AN15" s="333"/>
      <c r="AO15" s="146"/>
      <c r="AP15" s="163"/>
      <c r="AQ15" s="152"/>
      <c r="AR15" s="486"/>
      <c r="AS15" s="472"/>
      <c r="AT15" s="476"/>
      <c r="AW15" s="511"/>
      <c r="AX15" s="165"/>
      <c r="AY15" s="344"/>
      <c r="AZ15" s="144"/>
      <c r="BA15" s="165"/>
      <c r="BB15" s="344"/>
      <c r="BC15" s="350"/>
      <c r="BD15" s="165"/>
      <c r="BE15" s="146"/>
    </row>
    <row r="16" spans="1:59">
      <c r="A16" s="152"/>
      <c r="B16" s="145"/>
      <c r="E16" s="163"/>
      <c r="H16" s="163"/>
      <c r="K16" s="163"/>
      <c r="M16" s="164"/>
      <c r="N16" s="163"/>
      <c r="O16" s="152"/>
      <c r="P16" s="145"/>
      <c r="S16" s="163"/>
      <c r="V16" s="163"/>
      <c r="Y16" s="163"/>
      <c r="Z16" s="333"/>
      <c r="AB16" s="163"/>
      <c r="AC16" s="152"/>
      <c r="AD16" s="145"/>
      <c r="AE16" s="333"/>
      <c r="AG16" s="163"/>
      <c r="AH16" s="333"/>
      <c r="AJ16" s="162"/>
      <c r="AK16" s="333"/>
      <c r="AM16" s="163"/>
      <c r="AN16" s="333"/>
      <c r="AO16" s="146"/>
      <c r="AP16" s="163"/>
      <c r="AQ16" s="152"/>
      <c r="AR16" s="486"/>
      <c r="AS16" s="472"/>
      <c r="AT16" s="476"/>
      <c r="AW16" s="511"/>
      <c r="AX16" s="165"/>
      <c r="AY16" s="344"/>
      <c r="AZ16" s="144"/>
      <c r="BA16" s="165"/>
      <c r="BB16" s="344"/>
      <c r="BC16" s="350"/>
      <c r="BD16" s="165"/>
      <c r="BE16" s="146"/>
    </row>
    <row r="17" spans="1:59">
      <c r="A17" s="152" t="s">
        <v>224</v>
      </c>
      <c r="B17" s="145"/>
      <c r="C17" s="323">
        <v>51350693</v>
      </c>
      <c r="E17" s="163">
        <v>1</v>
      </c>
      <c r="F17" s="323">
        <v>379382</v>
      </c>
      <c r="H17" s="163">
        <v>1</v>
      </c>
      <c r="I17" s="323">
        <v>737203</v>
      </c>
      <c r="K17" s="163">
        <v>1</v>
      </c>
      <c r="L17" s="323">
        <v>8977</v>
      </c>
      <c r="M17" s="164"/>
      <c r="N17" s="163">
        <v>1</v>
      </c>
      <c r="O17" s="152" t="s">
        <v>224</v>
      </c>
      <c r="P17" s="145"/>
      <c r="Q17" s="323">
        <v>52414</v>
      </c>
      <c r="S17" s="163">
        <v>1</v>
      </c>
      <c r="T17" s="323">
        <v>46831</v>
      </c>
      <c r="V17" s="163">
        <v>1</v>
      </c>
      <c r="W17" s="323">
        <v>117290</v>
      </c>
      <c r="Y17" s="163">
        <v>1</v>
      </c>
      <c r="Z17" s="333">
        <v>0</v>
      </c>
      <c r="AB17" s="163">
        <v>1</v>
      </c>
      <c r="AC17" s="152" t="s">
        <v>224</v>
      </c>
      <c r="AD17" s="145"/>
      <c r="AE17" s="333">
        <v>0</v>
      </c>
      <c r="AG17" s="163">
        <v>1</v>
      </c>
      <c r="AH17" s="333">
        <v>247225</v>
      </c>
      <c r="AJ17" s="162">
        <v>1</v>
      </c>
      <c r="AK17" s="333">
        <v>3143799</v>
      </c>
      <c r="AM17" s="163">
        <v>1</v>
      </c>
      <c r="AN17" s="333">
        <v>11330893</v>
      </c>
      <c r="AO17" s="146"/>
      <c r="AP17" s="163">
        <v>1</v>
      </c>
      <c r="AQ17" s="152" t="s">
        <v>224</v>
      </c>
      <c r="AR17" s="486">
        <v>18180345</v>
      </c>
      <c r="AS17" s="472"/>
      <c r="AT17" s="476">
        <v>1</v>
      </c>
      <c r="AU17" s="323">
        <v>579032</v>
      </c>
      <c r="AW17" s="511">
        <v>1</v>
      </c>
      <c r="AX17" s="165"/>
      <c r="AY17" s="344"/>
      <c r="AZ17" s="144"/>
      <c r="BA17" s="165"/>
      <c r="BB17" s="344"/>
      <c r="BC17" s="350"/>
      <c r="BD17" s="165"/>
      <c r="BE17" s="146"/>
    </row>
    <row r="18" spans="1:59">
      <c r="A18" s="152" t="s">
        <v>225</v>
      </c>
      <c r="B18" s="145"/>
      <c r="C18" s="323">
        <v>4669797.29</v>
      </c>
      <c r="E18" s="163"/>
      <c r="F18" s="323">
        <v>28505.9</v>
      </c>
      <c r="H18" s="163"/>
      <c r="I18" s="323">
        <v>68105.06</v>
      </c>
      <c r="K18" s="163"/>
      <c r="L18" s="323">
        <v>1136.57</v>
      </c>
      <c r="M18" s="164"/>
      <c r="N18" s="163"/>
      <c r="O18" s="152" t="s">
        <v>225</v>
      </c>
      <c r="P18" s="145"/>
      <c r="Q18" s="323">
        <v>0</v>
      </c>
      <c r="S18" s="163"/>
      <c r="T18" s="323">
        <v>0</v>
      </c>
      <c r="V18" s="163"/>
      <c r="W18" s="323">
        <v>7505.83</v>
      </c>
      <c r="Y18" s="163"/>
      <c r="Z18" s="333">
        <v>0</v>
      </c>
      <c r="AB18" s="163"/>
      <c r="AC18" s="152" t="s">
        <v>225</v>
      </c>
      <c r="AD18" s="145"/>
      <c r="AE18" s="333">
        <v>0</v>
      </c>
      <c r="AG18" s="163"/>
      <c r="AH18" s="333">
        <v>40563.699999999997</v>
      </c>
      <c r="AJ18" s="162"/>
      <c r="AK18" s="333">
        <v>375561.83</v>
      </c>
      <c r="AM18" s="163"/>
      <c r="AN18" s="333">
        <v>0</v>
      </c>
      <c r="AO18" s="146"/>
      <c r="AP18" s="163"/>
      <c r="AQ18" s="152" t="s">
        <v>225</v>
      </c>
      <c r="AR18" s="486">
        <v>23767.54</v>
      </c>
      <c r="AS18" s="472"/>
      <c r="AT18" s="476"/>
      <c r="AU18" s="323">
        <v>51321.08</v>
      </c>
      <c r="AW18" s="511"/>
      <c r="AX18" s="165"/>
      <c r="AY18" s="344"/>
      <c r="AZ18" s="144"/>
      <c r="BA18" s="165"/>
      <c r="BB18" s="344"/>
      <c r="BC18" s="350"/>
      <c r="BD18" s="165"/>
      <c r="BE18" s="146"/>
    </row>
    <row r="19" spans="1:59" ht="13.5" thickBot="1">
      <c r="A19" s="152" t="s">
        <v>226</v>
      </c>
      <c r="B19" s="145"/>
      <c r="C19" s="327">
        <f>1202341.92+18782873.89</f>
        <v>19985215.810000002</v>
      </c>
      <c r="D19" s="148"/>
      <c r="E19" s="167">
        <f>C19/C17</f>
        <v>0.38919077119368189</v>
      </c>
      <c r="F19" s="327">
        <v>99558.99</v>
      </c>
      <c r="G19" s="148"/>
      <c r="H19" s="167">
        <f>F19/F17</f>
        <v>0.2624241266059012</v>
      </c>
      <c r="I19" s="428">
        <f>8423.75+295120.53</f>
        <v>303544.28000000003</v>
      </c>
      <c r="J19" s="327"/>
      <c r="K19" s="167">
        <f>I19/I17</f>
        <v>0.41175128153303775</v>
      </c>
      <c r="L19" s="327">
        <v>1491.57</v>
      </c>
      <c r="M19" s="166"/>
      <c r="N19" s="167">
        <f>L19/L17</f>
        <v>0.16615461735546397</v>
      </c>
      <c r="O19" s="152" t="str">
        <f>A19</f>
        <v>Exp./Encumbrances to Date</v>
      </c>
      <c r="P19" s="145"/>
      <c r="Q19" s="327">
        <f>12620.42+559.4</f>
        <v>13179.82</v>
      </c>
      <c r="R19" s="148"/>
      <c r="S19" s="167">
        <f>Q19/Q17</f>
        <v>0.25145609951539666</v>
      </c>
      <c r="T19" s="327">
        <v>8313.33</v>
      </c>
      <c r="U19" s="148"/>
      <c r="V19" s="167">
        <f>T19/T17</f>
        <v>0.17751766991949777</v>
      </c>
      <c r="W19" s="327">
        <f>2193.04+35765.3</f>
        <v>37958.340000000004</v>
      </c>
      <c r="X19" s="327"/>
      <c r="Y19" s="167">
        <f>W19/W17</f>
        <v>0.32362810128740732</v>
      </c>
      <c r="Z19" s="334">
        <v>0</v>
      </c>
      <c r="AA19" s="148"/>
      <c r="AB19" s="167" t="e">
        <f>Z19/Z17</f>
        <v>#DIV/0!</v>
      </c>
      <c r="AC19" s="152" t="str">
        <f>A19</f>
        <v>Exp./Encumbrances to Date</v>
      </c>
      <c r="AD19" s="145"/>
      <c r="AE19" s="334">
        <v>0</v>
      </c>
      <c r="AF19" s="148"/>
      <c r="AG19" s="167" t="e">
        <f>AE19/AE17</f>
        <v>#DIV/0!</v>
      </c>
      <c r="AH19" s="334">
        <f>28602.16+193697.96</f>
        <v>222300.12</v>
      </c>
      <c r="AI19" s="148"/>
      <c r="AJ19" s="167">
        <f>AH19/AH17</f>
        <v>0.89918139346748915</v>
      </c>
      <c r="AK19" s="334">
        <f>7012.55+937464.47</f>
        <v>944477.02</v>
      </c>
      <c r="AL19" s="148"/>
      <c r="AM19" s="167">
        <f>AK19/AK17</f>
        <v>0.30042538342941139</v>
      </c>
      <c r="AN19" s="334">
        <v>2410</v>
      </c>
      <c r="AO19" s="148"/>
      <c r="AP19" s="167">
        <f>AN19/AN17</f>
        <v>2.1269285660009321E-4</v>
      </c>
      <c r="AQ19" s="152" t="str">
        <f>+A19</f>
        <v>Exp./Encumbrances to Date</v>
      </c>
      <c r="AR19" s="516">
        <v>16366072.529999999</v>
      </c>
      <c r="AS19" s="470"/>
      <c r="AT19" s="477">
        <f>AR19/AR17</f>
        <v>0.90020692841637495</v>
      </c>
      <c r="AU19" s="327">
        <f>16175.24+203496.42</f>
        <v>219671.66</v>
      </c>
      <c r="AV19" s="148"/>
      <c r="AW19" s="510">
        <f>AU19/AU17</f>
        <v>0.37937740919327428</v>
      </c>
      <c r="AX19" s="165"/>
      <c r="AY19" s="344"/>
      <c r="AZ19" s="144"/>
      <c r="BA19" s="165"/>
      <c r="BB19" s="344"/>
      <c r="BC19" s="350"/>
      <c r="BD19" s="165"/>
      <c r="BE19" s="146"/>
    </row>
    <row r="20" spans="1:59">
      <c r="A20" s="152"/>
      <c r="B20" s="145"/>
      <c r="E20" s="163"/>
      <c r="H20" s="163"/>
      <c r="K20" s="163"/>
      <c r="M20" s="164"/>
      <c r="N20" s="163"/>
      <c r="O20" s="152"/>
      <c r="P20" s="145"/>
      <c r="S20" s="163"/>
      <c r="V20" s="163"/>
      <c r="Y20" s="163"/>
      <c r="Z20" s="333"/>
      <c r="AB20" s="163"/>
      <c r="AC20" s="152"/>
      <c r="AD20" s="145"/>
      <c r="AE20" s="333"/>
      <c r="AG20" s="163"/>
      <c r="AH20" s="333"/>
      <c r="AJ20" s="162"/>
      <c r="AK20" s="333"/>
      <c r="AM20" s="163"/>
      <c r="AN20" s="333"/>
      <c r="AO20" s="146"/>
      <c r="AP20" s="163"/>
      <c r="AQ20" s="152"/>
      <c r="AR20" s="486"/>
      <c r="AS20" s="472"/>
      <c r="AT20" s="476"/>
      <c r="AW20" s="511"/>
      <c r="AX20" s="165"/>
      <c r="AY20" s="344"/>
      <c r="AZ20" s="144"/>
      <c r="BA20" s="165"/>
      <c r="BB20" s="344"/>
      <c r="BC20" s="350"/>
      <c r="BD20" s="165"/>
      <c r="BE20" s="146"/>
    </row>
    <row r="21" spans="1:59">
      <c r="A21" s="152" t="s">
        <v>227</v>
      </c>
      <c r="B21" s="145"/>
      <c r="C21" s="325">
        <f>C17-C19</f>
        <v>31365477.189999998</v>
      </c>
      <c r="D21" s="152"/>
      <c r="E21" s="170">
        <f>C21/C17</f>
        <v>0.61080922880631816</v>
      </c>
      <c r="F21" s="325">
        <f>F17-F19</f>
        <v>279823.01</v>
      </c>
      <c r="G21" s="152"/>
      <c r="H21" s="170">
        <f>F21/F17</f>
        <v>0.7375758733940988</v>
      </c>
      <c r="I21" s="325">
        <f>I17-I19</f>
        <v>433658.72</v>
      </c>
      <c r="J21" s="325"/>
      <c r="K21" s="170">
        <f>I21/I17</f>
        <v>0.58824871846696225</v>
      </c>
      <c r="L21" s="325">
        <f>L17-L19</f>
        <v>7485.43</v>
      </c>
      <c r="M21" s="169"/>
      <c r="N21" s="170">
        <f>L21/L17</f>
        <v>0.83384538264453612</v>
      </c>
      <c r="O21" s="152" t="s">
        <v>227</v>
      </c>
      <c r="P21" s="145"/>
      <c r="Q21" s="325">
        <f>Q17-Q19</f>
        <v>39234.18</v>
      </c>
      <c r="R21" s="152"/>
      <c r="S21" s="170">
        <f>Q21/Q17</f>
        <v>0.7485439004846034</v>
      </c>
      <c r="T21" s="325">
        <f>T17-T19</f>
        <v>38517.67</v>
      </c>
      <c r="U21" s="152"/>
      <c r="V21" s="170">
        <f>T21/T17</f>
        <v>0.8224823300805022</v>
      </c>
      <c r="W21" s="325">
        <f>W17-W19</f>
        <v>79331.66</v>
      </c>
      <c r="X21" s="325"/>
      <c r="Y21" s="170">
        <f>W21/W17</f>
        <v>0.67637189871259273</v>
      </c>
      <c r="Z21" s="332">
        <f>Z17-Z19</f>
        <v>0</v>
      </c>
      <c r="AA21" s="152"/>
      <c r="AB21" s="170"/>
      <c r="AC21" s="152" t="s">
        <v>227</v>
      </c>
      <c r="AD21" s="145"/>
      <c r="AE21" s="332">
        <f>AE17-AE19</f>
        <v>0</v>
      </c>
      <c r="AF21" s="152"/>
      <c r="AG21" s="170"/>
      <c r="AH21" s="332">
        <f>AH17-AH19</f>
        <v>24924.880000000005</v>
      </c>
      <c r="AI21" s="152"/>
      <c r="AJ21" s="168">
        <f>AH21/AH17</f>
        <v>0.10081860653251089</v>
      </c>
      <c r="AK21" s="332">
        <f>AK17-AK19</f>
        <v>2199321.98</v>
      </c>
      <c r="AL21" s="152"/>
      <c r="AM21" s="170">
        <f>AK21/AK17</f>
        <v>0.69957461657058861</v>
      </c>
      <c r="AN21" s="332">
        <f>AN17-AN19</f>
        <v>11328483</v>
      </c>
      <c r="AO21" s="152"/>
      <c r="AP21" s="170">
        <f>AN21/AN17</f>
        <v>0.99978730714339992</v>
      </c>
      <c r="AQ21" s="152" t="s">
        <v>227</v>
      </c>
      <c r="AR21" s="466">
        <f>AR17-AR19</f>
        <v>1814272.4700000007</v>
      </c>
      <c r="AS21" s="478"/>
      <c r="AT21" s="479">
        <f>AR21/AR17</f>
        <v>9.9793071583625104E-2</v>
      </c>
      <c r="AU21" s="325">
        <f>AU17-AU19</f>
        <v>359360.33999999997</v>
      </c>
      <c r="AV21" s="152"/>
      <c r="AW21" s="512">
        <f>AU21/AU17</f>
        <v>0.62062259080672566</v>
      </c>
      <c r="AX21" s="165"/>
      <c r="AY21" s="346"/>
      <c r="AZ21" s="504"/>
      <c r="BA21" s="171"/>
      <c r="BB21" s="346"/>
      <c r="BC21" s="351"/>
      <c r="BD21" s="171"/>
      <c r="BE21" s="146"/>
    </row>
    <row r="22" spans="1:59">
      <c r="B22" s="145"/>
      <c r="E22" s="163"/>
      <c r="H22" s="163"/>
      <c r="K22" s="163"/>
      <c r="M22" s="164"/>
      <c r="N22" s="163"/>
      <c r="P22" s="145"/>
      <c r="S22" s="163"/>
      <c r="V22" s="163"/>
      <c r="Y22" s="163"/>
      <c r="Z22" s="333"/>
      <c r="AB22" s="163"/>
      <c r="AD22" s="145"/>
      <c r="AE22" s="333"/>
      <c r="AG22" s="163"/>
      <c r="AH22" s="333"/>
      <c r="AJ22" s="162"/>
      <c r="AK22" s="333"/>
      <c r="AM22" s="163"/>
      <c r="AN22" s="333"/>
      <c r="AO22" s="146"/>
      <c r="AP22" s="163"/>
      <c r="AR22" s="486"/>
      <c r="AS22" s="472"/>
      <c r="AT22" s="476"/>
      <c r="AW22" s="511"/>
      <c r="AX22" s="165"/>
      <c r="AY22" s="344"/>
      <c r="AZ22" s="144"/>
      <c r="BA22" s="165"/>
      <c r="BB22" s="344"/>
      <c r="BC22" s="350"/>
      <c r="BD22" s="165"/>
      <c r="BE22" s="146"/>
    </row>
    <row r="23" spans="1:59">
      <c r="A23" s="152" t="s">
        <v>228</v>
      </c>
      <c r="B23" s="145"/>
      <c r="E23" s="145"/>
      <c r="H23" s="145"/>
      <c r="K23" s="145"/>
      <c r="M23" s="153"/>
      <c r="N23" s="145"/>
      <c r="O23" s="152" t="s">
        <v>228</v>
      </c>
      <c r="P23" s="145"/>
      <c r="S23" s="145"/>
      <c r="V23" s="145"/>
      <c r="Y23" s="145"/>
      <c r="Z23" s="333"/>
      <c r="AB23" s="145"/>
      <c r="AC23" s="152" t="s">
        <v>228</v>
      </c>
      <c r="AD23" s="145"/>
      <c r="AE23" s="333"/>
      <c r="AG23" s="145"/>
      <c r="AH23" s="333"/>
      <c r="AK23" s="333"/>
      <c r="AM23" s="145"/>
      <c r="AN23" s="333"/>
      <c r="AO23" s="146"/>
      <c r="AP23" s="145"/>
      <c r="AQ23" s="152" t="s">
        <v>228</v>
      </c>
      <c r="AR23" s="486"/>
      <c r="AS23" s="472"/>
      <c r="AT23" s="473"/>
      <c r="AW23" s="507"/>
      <c r="AX23" s="144"/>
      <c r="AY23" s="344"/>
      <c r="AZ23" s="144"/>
      <c r="BA23" s="144"/>
      <c r="BB23" s="344"/>
      <c r="BC23" s="347"/>
      <c r="BD23" s="144"/>
      <c r="BE23" s="146"/>
    </row>
    <row r="24" spans="1:59">
      <c r="A24" s="172" t="s">
        <v>229</v>
      </c>
      <c r="B24" s="145"/>
      <c r="C24" s="483">
        <f>C12-C19</f>
        <v>11292924.549999997</v>
      </c>
      <c r="D24" s="173"/>
      <c r="E24" s="174"/>
      <c r="F24" s="325">
        <f>F12-F19</f>
        <v>-28505.900000000009</v>
      </c>
      <c r="G24" s="173"/>
      <c r="H24" s="174"/>
      <c r="I24" s="271">
        <f>I12-I19</f>
        <v>-76528.810000000027</v>
      </c>
      <c r="J24" s="271"/>
      <c r="K24" s="174"/>
      <c r="L24" s="271">
        <f>L12-L19</f>
        <v>-1136.57</v>
      </c>
      <c r="M24" s="175"/>
      <c r="N24" s="176"/>
      <c r="O24" s="152" t="s">
        <v>230</v>
      </c>
      <c r="P24" s="145"/>
      <c r="Q24" s="271">
        <f>Q12-Q19</f>
        <v>-12620.42</v>
      </c>
      <c r="R24" s="173"/>
      <c r="S24" s="174"/>
      <c r="T24" s="271">
        <f>T12-T19</f>
        <v>0</v>
      </c>
      <c r="U24" s="173"/>
      <c r="V24" s="174"/>
      <c r="W24" s="271">
        <f>W12-W19</f>
        <v>-9698.8700000000026</v>
      </c>
      <c r="X24" s="271"/>
      <c r="Y24" s="174"/>
      <c r="Z24" s="332">
        <f>Z12-Z19</f>
        <v>6639</v>
      </c>
      <c r="AA24" s="173"/>
      <c r="AB24" s="174"/>
      <c r="AC24" s="172" t="str">
        <f>A24</f>
        <v>Actual Expenditures &amp; Encumbrances:</v>
      </c>
      <c r="AD24" s="145"/>
      <c r="AE24" s="332">
        <f>AE12-AE19</f>
        <v>0</v>
      </c>
      <c r="AF24" s="173"/>
      <c r="AG24" s="174"/>
      <c r="AH24" s="332">
        <f>AH12-AH19</f>
        <v>0</v>
      </c>
      <c r="AI24" s="173"/>
      <c r="AJ24" s="173"/>
      <c r="AK24" s="332">
        <f>AK12-AK19</f>
        <v>234448.01</v>
      </c>
      <c r="AL24" s="173"/>
      <c r="AM24" s="174"/>
      <c r="AN24" s="332">
        <f>AN12-AN19</f>
        <v>9157607.9199999999</v>
      </c>
      <c r="AO24" s="173"/>
      <c r="AP24" s="174"/>
      <c r="AQ24" s="172" t="str">
        <f>+A24</f>
        <v>Actual Expenditures &amp; Encumbrances:</v>
      </c>
      <c r="AR24" s="466">
        <f>AR12-AR19</f>
        <v>1826754.83</v>
      </c>
      <c r="AS24" s="480"/>
      <c r="AT24" s="481"/>
      <c r="AU24" s="271">
        <f>AU12-AU19</f>
        <v>-22640.010000000009</v>
      </c>
      <c r="AV24" s="173"/>
      <c r="AW24" s="513"/>
      <c r="AX24" s="502"/>
      <c r="AY24" s="353"/>
      <c r="AZ24" s="502"/>
      <c r="BA24" s="502"/>
      <c r="BB24" s="353"/>
      <c r="BC24" s="336"/>
      <c r="BD24" s="177"/>
      <c r="BE24" s="146"/>
    </row>
    <row r="25" spans="1:59">
      <c r="B25" s="145"/>
      <c r="E25" s="145"/>
      <c r="H25" s="145"/>
      <c r="K25" s="145"/>
      <c r="L25" s="270"/>
      <c r="M25" s="153"/>
      <c r="N25" s="145"/>
      <c r="P25" s="145"/>
      <c r="S25" s="145"/>
      <c r="T25" s="270"/>
      <c r="V25" s="145"/>
      <c r="Y25" s="145"/>
      <c r="Z25" s="333"/>
      <c r="AB25" s="145"/>
      <c r="AD25" s="145"/>
      <c r="AE25" s="333"/>
      <c r="AG25" s="145"/>
      <c r="AH25" s="333"/>
      <c r="AK25" s="333"/>
      <c r="AM25" s="145"/>
      <c r="AN25" s="333"/>
      <c r="AO25" s="146"/>
      <c r="AP25" s="145"/>
      <c r="AR25" s="486"/>
      <c r="AS25" s="472"/>
      <c r="AT25" s="473"/>
      <c r="AU25" s="270"/>
      <c r="AW25" s="507"/>
      <c r="AX25" s="144"/>
      <c r="AY25" s="352"/>
      <c r="AZ25" s="144"/>
      <c r="BA25" s="144"/>
      <c r="BB25" s="352"/>
      <c r="BC25" s="347"/>
      <c r="BD25" s="144"/>
      <c r="BE25" s="146"/>
    </row>
    <row r="26" spans="1:59">
      <c r="B26" s="145"/>
      <c r="E26" s="145"/>
      <c r="H26" s="145"/>
      <c r="K26" s="145"/>
      <c r="L26" s="270"/>
      <c r="M26" s="153"/>
      <c r="N26" s="145"/>
      <c r="P26" s="145"/>
      <c r="S26" s="145"/>
      <c r="V26" s="145"/>
      <c r="Y26" s="145"/>
      <c r="Z26" s="333"/>
      <c r="AB26" s="145"/>
      <c r="AD26" s="145"/>
      <c r="AE26" s="333"/>
      <c r="AG26" s="145"/>
      <c r="AH26" s="333"/>
      <c r="AK26" s="333"/>
      <c r="AM26" s="145"/>
      <c r="AN26" s="333"/>
      <c r="AO26" s="146"/>
      <c r="AP26" s="145"/>
      <c r="AR26" s="486"/>
      <c r="AS26" s="472"/>
      <c r="AT26" s="473"/>
      <c r="AU26" s="270"/>
      <c r="AW26" s="507"/>
      <c r="AX26" s="144"/>
      <c r="AY26" s="352"/>
      <c r="AZ26" s="144"/>
      <c r="BA26" s="144"/>
      <c r="BB26" s="352"/>
      <c r="BC26" s="347"/>
      <c r="BD26" s="144"/>
      <c r="BE26" s="146"/>
    </row>
    <row r="27" spans="1:59">
      <c r="A27" s="152"/>
      <c r="B27" s="145"/>
      <c r="C27" s="340"/>
      <c r="E27" s="145"/>
      <c r="H27" s="145"/>
      <c r="K27" s="145"/>
      <c r="L27" s="270"/>
      <c r="M27" s="153"/>
      <c r="N27" s="145"/>
      <c r="P27" s="145"/>
      <c r="S27" s="145"/>
      <c r="V27" s="145"/>
      <c r="Y27" s="145"/>
      <c r="Z27" s="333"/>
      <c r="AB27" s="145"/>
      <c r="AD27" s="145"/>
      <c r="AE27" s="333"/>
      <c r="AF27" s="323"/>
      <c r="AG27" s="145"/>
      <c r="AH27" s="333"/>
      <c r="AK27" s="333"/>
      <c r="AM27" s="145"/>
      <c r="AN27" s="333"/>
      <c r="AP27" s="145"/>
      <c r="AR27" s="486"/>
      <c r="AS27" s="468"/>
      <c r="AT27" s="473"/>
      <c r="AU27" s="270"/>
      <c r="AW27" s="507"/>
      <c r="AX27" s="144"/>
      <c r="AY27" s="352"/>
      <c r="AZ27" s="144"/>
      <c r="BA27" s="144"/>
      <c r="BB27" s="352"/>
      <c r="BC27" s="347"/>
      <c r="BD27" s="144"/>
      <c r="BE27" s="146"/>
    </row>
    <row r="28" spans="1:59">
      <c r="A28" s="152"/>
      <c r="B28" s="145"/>
      <c r="C28" s="271"/>
      <c r="E28" s="145"/>
      <c r="F28" s="337"/>
      <c r="H28" s="145"/>
      <c r="K28" s="145"/>
      <c r="L28" s="270"/>
      <c r="M28" s="153"/>
      <c r="N28" s="145"/>
      <c r="P28" s="145"/>
      <c r="S28" s="145"/>
      <c r="V28" s="145"/>
      <c r="Y28" s="145"/>
      <c r="Z28" s="333"/>
      <c r="AB28" s="145"/>
      <c r="AD28" s="145"/>
      <c r="AE28" s="333"/>
      <c r="AF28" s="323"/>
      <c r="AG28" s="145"/>
      <c r="AH28" s="333"/>
      <c r="AK28" s="333"/>
      <c r="AM28" s="145"/>
      <c r="AN28" s="333"/>
      <c r="AP28" s="145"/>
      <c r="AR28" s="486"/>
      <c r="AS28" s="468"/>
      <c r="AT28" s="473"/>
      <c r="AU28" s="270"/>
      <c r="AW28" s="507"/>
      <c r="AX28" s="144"/>
      <c r="AY28" s="352"/>
      <c r="AZ28" s="144"/>
      <c r="BA28" s="144"/>
      <c r="BB28" s="352"/>
      <c r="BC28" s="347"/>
      <c r="BD28" s="144"/>
      <c r="BE28" s="146"/>
    </row>
    <row r="29" spans="1:59">
      <c r="A29" s="152"/>
      <c r="B29" s="145"/>
      <c r="E29" s="145"/>
      <c r="F29" s="325"/>
      <c r="H29" s="145"/>
      <c r="K29" s="145"/>
      <c r="L29" s="270"/>
      <c r="M29" s="153"/>
      <c r="N29" s="145"/>
      <c r="P29" s="145"/>
      <c r="S29" s="145"/>
      <c r="V29" s="145"/>
      <c r="Y29" s="145"/>
      <c r="Z29" s="333"/>
      <c r="AB29" s="145"/>
      <c r="AD29" s="145"/>
      <c r="AE29" s="333"/>
      <c r="AF29" s="323"/>
      <c r="AG29" s="145"/>
      <c r="AH29" s="333"/>
      <c r="AK29" s="333"/>
      <c r="AM29" s="145"/>
      <c r="AN29" s="333"/>
      <c r="AP29" s="145"/>
      <c r="AR29" s="486"/>
      <c r="AS29" s="468"/>
      <c r="AT29" s="473"/>
      <c r="AU29" s="270"/>
      <c r="AW29" s="507"/>
      <c r="AX29" s="144"/>
      <c r="AY29" s="352"/>
      <c r="AZ29" s="144"/>
      <c r="BA29" s="144"/>
      <c r="BB29" s="352"/>
      <c r="BC29" s="347"/>
      <c r="BD29" s="144"/>
      <c r="BE29" s="146"/>
    </row>
    <row r="30" spans="1:59">
      <c r="AU30" s="468"/>
      <c r="AV30" s="472"/>
      <c r="AW30" s="472"/>
      <c r="BE30" s="344"/>
      <c r="BF30" s="144"/>
      <c r="BG30" s="144"/>
    </row>
    <row r="31" spans="1:59">
      <c r="AU31" s="468"/>
    </row>
    <row r="32" spans="1:59">
      <c r="AQ32" s="178"/>
    </row>
    <row r="33" spans="1:57" ht="15.75">
      <c r="A33" s="179"/>
    </row>
    <row r="34" spans="1:57">
      <c r="A34" s="178"/>
      <c r="AC34" s="178"/>
    </row>
    <row r="35" spans="1:57">
      <c r="A35" s="180"/>
      <c r="L35" s="328" t="s">
        <v>234</v>
      </c>
      <c r="W35" s="323" t="s">
        <v>85</v>
      </c>
      <c r="Z35" s="328" t="s">
        <v>231</v>
      </c>
      <c r="AN35" s="328" t="s">
        <v>232</v>
      </c>
      <c r="AO35" s="328"/>
      <c r="BA35" s="328" t="s">
        <v>233</v>
      </c>
      <c r="BE35" s="341"/>
    </row>
    <row r="36" spans="1:57">
      <c r="A36" s="180"/>
    </row>
    <row r="37" spans="1:57">
      <c r="A37" s="180"/>
      <c r="Z37" s="328"/>
      <c r="AN37" s="328"/>
      <c r="AO37" s="328"/>
    </row>
  </sheetData>
  <mergeCells count="16">
    <mergeCell ref="AC1:AP1"/>
    <mergeCell ref="AC2:AP2"/>
    <mergeCell ref="AC4:AP4"/>
    <mergeCell ref="AQ1:BD1"/>
    <mergeCell ref="AQ2:BD2"/>
    <mergeCell ref="AQ4:BD4"/>
    <mergeCell ref="AC3:AP3"/>
    <mergeCell ref="AQ3:BD3"/>
    <mergeCell ref="A1:N1"/>
    <mergeCell ref="A2:N2"/>
    <mergeCell ref="A4:N4"/>
    <mergeCell ref="O1:AB1"/>
    <mergeCell ref="O2:AB2"/>
    <mergeCell ref="O4:AB4"/>
    <mergeCell ref="A3:N3"/>
    <mergeCell ref="O3:AB3"/>
  </mergeCells>
  <phoneticPr fontId="7" type="noConversion"/>
  <printOptions horizontalCentered="1"/>
  <pageMargins left="0.25" right="0.25" top="1" bottom="1" header="0.5" footer="0.5"/>
  <pageSetup scale="9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7"/>
  <sheetViews>
    <sheetView showOutlineSymbols="0" topLeftCell="A7" zoomScale="75" zoomScaleNormal="75" zoomScaleSheetLayoutView="75" workbookViewId="0">
      <selection activeCell="U58" sqref="U58"/>
    </sheetView>
  </sheetViews>
  <sheetFormatPr defaultColWidth="12.42578125" defaultRowHeight="15"/>
  <cols>
    <col min="1" max="1" width="16.28515625" style="97" customWidth="1"/>
    <col min="2" max="2" width="33" style="97" customWidth="1"/>
    <col min="3" max="3" width="6.85546875" style="97" customWidth="1"/>
    <col min="4" max="4" width="23" style="97" customWidth="1"/>
    <col min="5" max="5" width="11.140625" style="97" customWidth="1"/>
    <col min="6" max="6" width="23" style="97" customWidth="1"/>
    <col min="7" max="7" width="8.5703125" style="97" customWidth="1"/>
    <col min="8" max="8" width="12" style="97" customWidth="1"/>
    <col min="9" max="9" width="9.85546875" style="97" customWidth="1"/>
    <col min="10" max="10" width="15" style="97" customWidth="1"/>
    <col min="11" max="11" width="31.7109375" style="97" customWidth="1"/>
    <col min="12" max="12" width="4.7109375" style="97" customWidth="1"/>
    <col min="13" max="13" width="8.5703125" style="97" customWidth="1"/>
    <col min="14" max="14" width="20.140625" style="366" customWidth="1"/>
    <col min="15" max="15" width="18.85546875" style="97" customWidth="1"/>
    <col min="16" max="16" width="6" style="97" customWidth="1"/>
    <col min="17" max="17" width="20.140625" style="366" customWidth="1"/>
    <col min="18" max="18" width="16.28515625" style="97" customWidth="1"/>
    <col min="19" max="19" width="7.28515625" style="97" customWidth="1"/>
    <col min="20" max="20" width="16.28515625" style="97" customWidth="1"/>
    <col min="21" max="21" width="40.7109375" style="97" customWidth="1"/>
    <col min="22" max="22" width="6" style="97" customWidth="1"/>
    <col min="23" max="23" width="6.5703125" style="97" customWidth="1"/>
    <col min="24" max="24" width="8.140625" style="97" customWidth="1"/>
    <col min="25" max="25" width="21.42578125" style="366" customWidth="1"/>
    <col min="26" max="26" width="13.7109375" style="97" customWidth="1"/>
    <col min="27" max="27" width="18.85546875" style="366" customWidth="1"/>
    <col min="28" max="28" width="12.42578125" style="97" customWidth="1"/>
    <col min="29" max="29" width="3.28515625" style="97" customWidth="1"/>
    <col min="30" max="16384" width="12.42578125" style="97"/>
  </cols>
  <sheetData>
    <row r="1" spans="1:29">
      <c r="A1" s="92" t="s">
        <v>85</v>
      </c>
      <c r="B1" s="93"/>
      <c r="C1" s="93"/>
      <c r="D1" s="93"/>
      <c r="E1" s="93"/>
      <c r="F1" s="93"/>
      <c r="G1" s="93"/>
      <c r="H1" s="93" t="s">
        <v>174</v>
      </c>
      <c r="I1" s="94"/>
      <c r="J1" s="92"/>
      <c r="K1" s="93"/>
      <c r="L1" s="93"/>
      <c r="M1" s="93"/>
      <c r="N1" s="368"/>
      <c r="O1" s="93"/>
      <c r="P1" s="93"/>
      <c r="Q1" s="368"/>
      <c r="R1" s="93" t="s">
        <v>175</v>
      </c>
      <c r="S1" s="94"/>
      <c r="T1" s="92"/>
      <c r="U1" s="93"/>
      <c r="V1" s="93"/>
      <c r="W1" s="93"/>
      <c r="X1" s="93"/>
      <c r="Y1" s="368"/>
      <c r="Z1" s="95" t="s">
        <v>85</v>
      </c>
      <c r="AA1" s="368" t="s">
        <v>176</v>
      </c>
      <c r="AB1" s="94"/>
      <c r="AC1" s="96"/>
    </row>
    <row r="2" spans="1:29">
      <c r="A2" s="98"/>
      <c r="B2" s="99"/>
      <c r="C2" s="99"/>
      <c r="D2" s="99"/>
      <c r="E2" s="99"/>
      <c r="F2" s="99"/>
      <c r="G2" s="99"/>
      <c r="H2" s="99"/>
      <c r="I2" s="100"/>
      <c r="J2" s="98"/>
      <c r="K2" s="99"/>
      <c r="L2" s="99"/>
      <c r="M2" s="99"/>
      <c r="N2" s="363"/>
      <c r="O2" s="99"/>
      <c r="P2" s="99"/>
      <c r="Q2" s="363"/>
      <c r="R2" s="99"/>
      <c r="S2" s="100"/>
      <c r="T2" s="98"/>
      <c r="U2" s="99"/>
      <c r="V2" s="99"/>
      <c r="W2" s="99"/>
      <c r="X2" s="99"/>
      <c r="Y2" s="363"/>
      <c r="AA2" s="363"/>
      <c r="AB2" s="100"/>
      <c r="AC2" s="96"/>
    </row>
    <row r="3" spans="1:29">
      <c r="A3" s="98"/>
      <c r="B3" s="99"/>
      <c r="C3" s="99"/>
      <c r="D3" s="99"/>
      <c r="E3" s="99"/>
      <c r="F3" s="99"/>
      <c r="G3" s="99"/>
      <c r="H3" s="99"/>
      <c r="I3" s="100"/>
      <c r="J3" s="98"/>
      <c r="K3" s="99"/>
      <c r="L3" s="99"/>
      <c r="M3" s="99"/>
      <c r="N3" s="363"/>
      <c r="O3" s="99"/>
      <c r="P3" s="99"/>
      <c r="Q3" s="363"/>
      <c r="R3" s="99"/>
      <c r="S3" s="100"/>
      <c r="T3" s="98"/>
      <c r="U3" s="99"/>
      <c r="V3" s="99"/>
      <c r="W3" s="99"/>
      <c r="X3" s="99"/>
      <c r="Y3" s="363"/>
      <c r="AA3" s="363"/>
      <c r="AB3" s="100"/>
      <c r="AC3" s="96"/>
    </row>
    <row r="4" spans="1:29">
      <c r="A4" s="98"/>
      <c r="B4" s="99"/>
      <c r="C4" s="99"/>
      <c r="D4" s="99"/>
      <c r="E4" s="99"/>
      <c r="F4" s="99"/>
      <c r="G4" s="99"/>
      <c r="H4" s="99"/>
      <c r="I4" s="100"/>
      <c r="J4" s="98"/>
      <c r="K4" s="99"/>
      <c r="L4" s="99"/>
      <c r="M4" s="99"/>
      <c r="N4" s="363"/>
      <c r="O4" s="99"/>
      <c r="P4" s="99"/>
      <c r="Q4" s="363"/>
      <c r="R4" s="99"/>
      <c r="S4" s="100"/>
      <c r="T4" s="98"/>
      <c r="U4" s="99"/>
      <c r="V4" s="99"/>
      <c r="W4" s="99"/>
      <c r="X4" s="99"/>
      <c r="Y4" s="363"/>
      <c r="AA4" s="363"/>
      <c r="AB4" s="100"/>
      <c r="AC4" s="96"/>
    </row>
    <row r="5" spans="1:29">
      <c r="A5" s="98"/>
      <c r="B5" s="99"/>
      <c r="C5" s="99"/>
      <c r="D5" s="99"/>
      <c r="E5" s="99"/>
      <c r="F5" s="99"/>
      <c r="G5" s="99"/>
      <c r="H5" s="99"/>
      <c r="I5" s="100"/>
      <c r="J5" s="98"/>
      <c r="K5" s="99"/>
      <c r="L5" s="99"/>
      <c r="M5" s="99"/>
      <c r="N5" s="363"/>
      <c r="O5" s="99"/>
      <c r="P5" s="99"/>
      <c r="Q5" s="363"/>
      <c r="R5" s="99"/>
      <c r="S5" s="100"/>
      <c r="T5" s="98"/>
      <c r="U5" s="99"/>
      <c r="V5" s="99"/>
      <c r="W5" s="99"/>
      <c r="X5" s="99"/>
      <c r="Y5" s="363"/>
      <c r="AA5" s="363"/>
      <c r="AB5" s="100"/>
      <c r="AC5" s="96"/>
    </row>
    <row r="6" spans="1:29">
      <c r="A6" s="98"/>
      <c r="B6" s="99"/>
      <c r="C6" s="99"/>
      <c r="D6" s="99"/>
      <c r="E6" s="99"/>
      <c r="F6" s="99"/>
      <c r="G6" s="99"/>
      <c r="H6" s="99"/>
      <c r="I6" s="100"/>
      <c r="J6" s="98"/>
      <c r="K6" s="99"/>
      <c r="L6" s="99"/>
      <c r="M6" s="99"/>
      <c r="N6" s="363"/>
      <c r="O6" s="99"/>
      <c r="P6" s="99"/>
      <c r="Q6" s="363"/>
      <c r="R6" s="99"/>
      <c r="S6" s="100"/>
      <c r="T6" s="98"/>
      <c r="U6" s="99"/>
      <c r="V6" s="99"/>
      <c r="W6" s="99"/>
      <c r="X6" s="99"/>
      <c r="Y6" s="363"/>
      <c r="AA6" s="363"/>
      <c r="AB6" s="100"/>
      <c r="AC6" s="96"/>
    </row>
    <row r="7" spans="1:29">
      <c r="A7" s="98"/>
      <c r="B7" s="384" t="s">
        <v>283</v>
      </c>
      <c r="C7" s="384"/>
      <c r="D7" s="385"/>
      <c r="E7" s="384"/>
      <c r="F7" s="384"/>
      <c r="G7" s="384"/>
      <c r="H7" s="384"/>
      <c r="I7" s="100"/>
      <c r="J7" s="98"/>
      <c r="K7" s="384" t="s">
        <v>283</v>
      </c>
      <c r="L7" s="384"/>
      <c r="M7" s="384"/>
      <c r="N7" s="386"/>
      <c r="O7" s="384"/>
      <c r="P7" s="384"/>
      <c r="Q7" s="386"/>
      <c r="R7" s="384"/>
      <c r="S7" s="100"/>
      <c r="T7" s="98"/>
      <c r="U7" s="384" t="s">
        <v>283</v>
      </c>
      <c r="V7" s="385"/>
      <c r="W7" s="384"/>
      <c r="X7" s="385"/>
      <c r="Y7" s="386"/>
      <c r="Z7" s="385"/>
      <c r="AA7" s="386"/>
      <c r="AB7" s="100"/>
      <c r="AC7" s="96"/>
    </row>
    <row r="8" spans="1:29">
      <c r="A8" s="98"/>
      <c r="B8" s="384" t="s">
        <v>177</v>
      </c>
      <c r="C8" s="384"/>
      <c r="D8" s="385"/>
      <c r="E8" s="384"/>
      <c r="F8" s="384"/>
      <c r="G8" s="384"/>
      <c r="H8" s="384"/>
      <c r="I8" s="100"/>
      <c r="J8" s="98"/>
      <c r="K8" s="386" t="s">
        <v>178</v>
      </c>
      <c r="L8" s="384"/>
      <c r="M8" s="384"/>
      <c r="N8" s="386"/>
      <c r="O8" s="387"/>
      <c r="P8" s="384"/>
      <c r="Q8" s="386"/>
      <c r="R8" s="384"/>
      <c r="S8" s="100"/>
      <c r="T8" s="98"/>
      <c r="U8" s="384" t="s">
        <v>179</v>
      </c>
      <c r="V8" s="385"/>
      <c r="W8" s="384"/>
      <c r="X8" s="385"/>
      <c r="Y8" s="386"/>
      <c r="Z8" s="385"/>
      <c r="AA8" s="386"/>
      <c r="AB8" s="100"/>
      <c r="AC8" s="96"/>
    </row>
    <row r="9" spans="1:29">
      <c r="A9" s="98" t="s">
        <v>85</v>
      </c>
      <c r="B9" s="517">
        <v>42004</v>
      </c>
      <c r="C9" s="384"/>
      <c r="D9" s="385"/>
      <c r="E9" s="384"/>
      <c r="F9" s="384"/>
      <c r="G9" s="384"/>
      <c r="H9" s="384"/>
      <c r="I9" s="100"/>
      <c r="J9" s="98"/>
      <c r="K9" s="517">
        <v>42004</v>
      </c>
      <c r="L9" s="384"/>
      <c r="M9" s="384"/>
      <c r="N9" s="386"/>
      <c r="O9" s="387"/>
      <c r="P9" s="384"/>
      <c r="Q9" s="386"/>
      <c r="R9" s="384"/>
      <c r="S9" s="100"/>
      <c r="T9" s="98"/>
      <c r="U9" s="484">
        <v>42004</v>
      </c>
      <c r="V9" s="387"/>
      <c r="W9" s="387"/>
      <c r="X9" s="385"/>
      <c r="Y9" s="386"/>
      <c r="Z9" s="385"/>
      <c r="AA9" s="386"/>
      <c r="AB9" s="100"/>
      <c r="AC9" s="96"/>
    </row>
    <row r="10" spans="1:29">
      <c r="A10" s="98"/>
      <c r="B10" s="384"/>
      <c r="C10" s="384"/>
      <c r="D10" s="385"/>
      <c r="E10" s="384"/>
      <c r="F10" s="384"/>
      <c r="G10" s="384"/>
      <c r="H10" s="384"/>
      <c r="I10" s="100"/>
      <c r="J10" s="98"/>
      <c r="K10" s="384"/>
      <c r="L10" s="384"/>
      <c r="M10" s="384"/>
      <c r="N10" s="386"/>
      <c r="O10" s="384"/>
      <c r="P10" s="384"/>
      <c r="Q10" s="386"/>
      <c r="R10" s="384"/>
      <c r="S10" s="100"/>
      <c r="T10" s="98"/>
      <c r="U10" s="384"/>
      <c r="V10" s="384"/>
      <c r="W10" s="384"/>
      <c r="X10" s="385"/>
      <c r="Y10" s="386"/>
      <c r="Z10" s="385"/>
      <c r="AA10" s="386"/>
      <c r="AB10" s="100"/>
      <c r="AC10" s="96"/>
    </row>
    <row r="11" spans="1:29">
      <c r="A11" s="98"/>
      <c r="B11" s="384" t="s">
        <v>284</v>
      </c>
      <c r="C11" s="384"/>
      <c r="D11" s="385"/>
      <c r="E11" s="384"/>
      <c r="F11" s="384"/>
      <c r="G11" s="384"/>
      <c r="H11" s="384"/>
      <c r="I11" s="100"/>
      <c r="J11" s="98"/>
      <c r="K11" s="384" t="s">
        <v>284</v>
      </c>
      <c r="L11" s="384"/>
      <c r="M11" s="384"/>
      <c r="N11" s="386"/>
      <c r="O11" s="384"/>
      <c r="P11" s="384"/>
      <c r="Q11" s="386"/>
      <c r="R11" s="384"/>
      <c r="S11" s="100"/>
      <c r="T11" s="98"/>
      <c r="U11" s="384" t="s">
        <v>284</v>
      </c>
      <c r="V11" s="385"/>
      <c r="W11" s="384"/>
      <c r="X11" s="385"/>
      <c r="Y11" s="386"/>
      <c r="Z11" s="385"/>
      <c r="AA11" s="386"/>
      <c r="AB11" s="100"/>
      <c r="AC11" s="96"/>
    </row>
    <row r="12" spans="1:29" ht="15.75" thickBot="1">
      <c r="A12" s="98"/>
      <c r="B12" s="99"/>
      <c r="C12" s="99"/>
      <c r="D12" s="99"/>
      <c r="E12" s="99"/>
      <c r="F12" s="99"/>
      <c r="G12" s="99"/>
      <c r="H12" s="99"/>
      <c r="I12" s="100"/>
      <c r="J12" s="98"/>
      <c r="K12" s="99"/>
      <c r="L12" s="99"/>
      <c r="M12" s="99"/>
      <c r="N12" s="363"/>
      <c r="O12" s="99"/>
      <c r="P12" s="99"/>
      <c r="Q12" s="363"/>
      <c r="R12" s="99"/>
      <c r="S12" s="100"/>
      <c r="T12" s="98"/>
      <c r="U12" s="99"/>
      <c r="V12" s="99"/>
      <c r="W12" s="99"/>
      <c r="X12" s="99"/>
      <c r="Y12" s="363"/>
      <c r="Z12" s="99"/>
      <c r="AA12" s="363"/>
      <c r="AB12" s="100"/>
      <c r="AC12" s="96"/>
    </row>
    <row r="13" spans="1:29" ht="15.75" thickTop="1">
      <c r="A13" s="101" t="s">
        <v>85</v>
      </c>
      <c r="B13" s="102" t="s">
        <v>85</v>
      </c>
      <c r="C13" s="102" t="s">
        <v>85</v>
      </c>
      <c r="D13" s="102" t="s">
        <v>85</v>
      </c>
      <c r="E13" s="102" t="s">
        <v>85</v>
      </c>
      <c r="F13" s="102" t="s">
        <v>85</v>
      </c>
      <c r="G13" s="102" t="s">
        <v>85</v>
      </c>
      <c r="H13" s="102" t="s">
        <v>85</v>
      </c>
      <c r="I13" s="103" t="s">
        <v>85</v>
      </c>
      <c r="J13" s="101" t="s">
        <v>85</v>
      </c>
      <c r="K13" s="102" t="s">
        <v>85</v>
      </c>
      <c r="L13" s="102" t="s">
        <v>85</v>
      </c>
      <c r="M13" s="102" t="s">
        <v>85</v>
      </c>
      <c r="N13" s="369" t="s">
        <v>85</v>
      </c>
      <c r="O13" s="102" t="s">
        <v>85</v>
      </c>
      <c r="P13" s="102" t="s">
        <v>85</v>
      </c>
      <c r="Q13" s="369" t="s">
        <v>85</v>
      </c>
      <c r="R13" s="102" t="s">
        <v>85</v>
      </c>
      <c r="S13" s="103" t="s">
        <v>85</v>
      </c>
      <c r="T13" s="101" t="s">
        <v>85</v>
      </c>
      <c r="U13" s="102" t="s">
        <v>85</v>
      </c>
      <c r="V13" s="102" t="s">
        <v>85</v>
      </c>
      <c r="W13" s="102" t="s">
        <v>85</v>
      </c>
      <c r="X13" s="102" t="s">
        <v>85</v>
      </c>
      <c r="Y13" s="369" t="s">
        <v>85</v>
      </c>
      <c r="Z13" s="104" t="s">
        <v>85</v>
      </c>
      <c r="AA13" s="369" t="s">
        <v>85</v>
      </c>
      <c r="AB13" s="103" t="s">
        <v>85</v>
      </c>
      <c r="AC13" s="96"/>
    </row>
    <row r="14" spans="1:29">
      <c r="A14" s="98"/>
      <c r="B14" s="421"/>
      <c r="C14" s="421"/>
      <c r="D14" s="421"/>
      <c r="E14" s="421"/>
      <c r="F14" s="421"/>
      <c r="G14" s="421"/>
      <c r="H14" s="421"/>
      <c r="I14" s="100"/>
      <c r="J14" s="98"/>
      <c r="K14" s="421"/>
      <c r="L14" s="421"/>
      <c r="M14" s="421"/>
      <c r="N14" s="423" t="s">
        <v>324</v>
      </c>
      <c r="O14" s="421"/>
      <c r="P14" s="421"/>
      <c r="Q14" s="423" t="s">
        <v>310</v>
      </c>
      <c r="R14" s="421"/>
      <c r="S14" s="100"/>
      <c r="T14" s="98"/>
      <c r="U14" s="421"/>
      <c r="V14" s="421"/>
      <c r="W14" s="421"/>
      <c r="X14" s="421"/>
      <c r="Y14" s="422"/>
      <c r="Z14" s="139"/>
      <c r="AA14" s="422"/>
      <c r="AB14" s="100"/>
      <c r="AC14" s="96"/>
    </row>
    <row r="15" spans="1:29">
      <c r="A15" s="98"/>
      <c r="B15" s="99"/>
      <c r="C15" s="99"/>
      <c r="D15" s="105" t="s">
        <v>181</v>
      </c>
      <c r="E15" s="99"/>
      <c r="F15" s="105" t="s">
        <v>182</v>
      </c>
      <c r="G15" s="99"/>
      <c r="H15" s="105" t="s">
        <v>287</v>
      </c>
      <c r="I15" s="100"/>
      <c r="J15" s="98" t="s">
        <v>85</v>
      </c>
      <c r="K15" s="99" t="s">
        <v>85</v>
      </c>
      <c r="L15" s="99"/>
      <c r="M15" s="99"/>
      <c r="N15" s="370" t="s">
        <v>288</v>
      </c>
      <c r="O15" s="105" t="s">
        <v>285</v>
      </c>
      <c r="P15" s="99"/>
      <c r="Q15" s="370" t="s">
        <v>288</v>
      </c>
      <c r="R15" s="105" t="s">
        <v>285</v>
      </c>
      <c r="S15" s="100" t="s">
        <v>85</v>
      </c>
      <c r="T15" s="98"/>
      <c r="U15" s="99"/>
      <c r="V15" s="99"/>
      <c r="W15" s="99"/>
      <c r="Y15" s="370" t="s">
        <v>184</v>
      </c>
      <c r="AA15" s="370" t="s">
        <v>185</v>
      </c>
      <c r="AB15" s="100"/>
      <c r="AC15" s="96"/>
    </row>
    <row r="16" spans="1:29">
      <c r="A16" s="98"/>
      <c r="B16" s="106"/>
      <c r="C16" s="106"/>
      <c r="D16" s="450" t="s">
        <v>335</v>
      </c>
      <c r="E16" s="106" t="s">
        <v>85</v>
      </c>
      <c r="F16" s="451" t="s">
        <v>336</v>
      </c>
      <c r="G16" s="99"/>
      <c r="H16" s="105" t="s">
        <v>286</v>
      </c>
      <c r="I16" s="100"/>
      <c r="J16" s="98"/>
      <c r="K16" s="106"/>
      <c r="L16" s="106"/>
      <c r="M16" s="106"/>
      <c r="N16" s="485" t="s">
        <v>337</v>
      </c>
      <c r="O16" s="107" t="s">
        <v>286</v>
      </c>
      <c r="P16" s="106"/>
      <c r="Q16" s="449" t="s">
        <v>338</v>
      </c>
      <c r="R16" s="107" t="s">
        <v>286</v>
      </c>
      <c r="S16" s="100" t="s">
        <v>85</v>
      </c>
      <c r="T16" s="98"/>
      <c r="U16" s="106"/>
      <c r="V16" s="106"/>
      <c r="W16" s="106"/>
      <c r="Y16" s="365" t="s">
        <v>85</v>
      </c>
      <c r="AA16" s="366" t="s">
        <v>180</v>
      </c>
      <c r="AB16" s="108"/>
      <c r="AC16" s="96"/>
    </row>
    <row r="17" spans="1:29" ht="15.75">
      <c r="A17" s="109"/>
      <c r="B17" s="99" t="s">
        <v>186</v>
      </c>
      <c r="C17" s="99"/>
      <c r="D17" s="99"/>
      <c r="E17" s="99"/>
      <c r="F17" s="99"/>
      <c r="G17" s="99"/>
      <c r="H17" s="99"/>
      <c r="I17" s="100"/>
      <c r="J17" s="110" t="s">
        <v>85</v>
      </c>
      <c r="K17" s="99" t="s">
        <v>186</v>
      </c>
      <c r="L17" s="99"/>
      <c r="M17" s="99"/>
      <c r="N17" s="363"/>
      <c r="O17" s="99"/>
      <c r="P17" s="99"/>
      <c r="Q17" s="363"/>
      <c r="R17" s="99"/>
      <c r="S17" s="100"/>
      <c r="T17" s="98"/>
      <c r="U17" s="99"/>
      <c r="V17" s="99"/>
      <c r="W17" s="99"/>
      <c r="Y17" s="363"/>
      <c r="AB17" s="100"/>
      <c r="AC17" s="96"/>
    </row>
    <row r="18" spans="1:29">
      <c r="A18" s="98"/>
      <c r="B18" s="99"/>
      <c r="C18" s="99"/>
      <c r="D18" s="111"/>
      <c r="E18" s="99"/>
      <c r="F18" s="111"/>
      <c r="G18" s="99"/>
      <c r="H18" s="105"/>
      <c r="I18" s="100"/>
      <c r="J18" s="98"/>
      <c r="K18" s="99"/>
      <c r="L18" s="99"/>
      <c r="M18" s="99"/>
      <c r="N18" s="363"/>
      <c r="O18" s="99"/>
      <c r="P18" s="99"/>
      <c r="Q18" s="363"/>
      <c r="R18" s="99"/>
      <c r="S18" s="100"/>
      <c r="T18" s="98"/>
      <c r="U18" s="99" t="s">
        <v>187</v>
      </c>
      <c r="V18" s="99"/>
      <c r="W18" s="99"/>
      <c r="Y18" s="363"/>
      <c r="AA18" s="363"/>
      <c r="AB18" s="100"/>
      <c r="AC18" s="96"/>
    </row>
    <row r="19" spans="1:29">
      <c r="A19" s="98"/>
      <c r="B19" s="99" t="s">
        <v>188</v>
      </c>
      <c r="C19" s="99"/>
      <c r="D19" s="363">
        <v>15592807.98</v>
      </c>
      <c r="E19" s="363"/>
      <c r="F19" s="363">
        <v>17086599.739999998</v>
      </c>
      <c r="G19" s="99" t="s">
        <v>85</v>
      </c>
      <c r="H19" s="113">
        <f>ROUND((+F19+F20)/F61,6)</f>
        <v>0.69605600000000001</v>
      </c>
      <c r="I19" s="100"/>
      <c r="J19" s="98"/>
      <c r="K19" s="99" t="s">
        <v>189</v>
      </c>
      <c r="L19" s="99"/>
      <c r="M19" s="99"/>
      <c r="N19" s="363">
        <f>+F19+F20</f>
        <v>25301311.27</v>
      </c>
      <c r="O19" s="113">
        <f>+N19/N61</f>
        <v>0.6960561632662543</v>
      </c>
      <c r="P19" s="99"/>
      <c r="Q19" s="489">
        <f>13837518.76+6652653.35</f>
        <v>20490172.109999999</v>
      </c>
      <c r="R19" s="113">
        <f>+Q19/Q57</f>
        <v>0.65523471232817143</v>
      </c>
      <c r="S19" s="100" t="s">
        <v>85</v>
      </c>
      <c r="T19" s="98"/>
      <c r="U19" s="99"/>
      <c r="V19" s="99"/>
      <c r="W19" s="99"/>
      <c r="Y19" s="363"/>
      <c r="AA19" s="363"/>
      <c r="AB19" s="100"/>
      <c r="AC19" s="96"/>
    </row>
    <row r="20" spans="1:29">
      <c r="A20" s="98"/>
      <c r="B20" s="99" t="s">
        <v>190</v>
      </c>
      <c r="C20" s="99"/>
      <c r="D20" s="363">
        <v>7496541.9100000001</v>
      </c>
      <c r="E20" s="363"/>
      <c r="F20" s="363">
        <v>8214711.5300000003</v>
      </c>
      <c r="G20" s="99" t="s">
        <v>85</v>
      </c>
      <c r="H20" s="99" t="s">
        <v>85</v>
      </c>
      <c r="I20" s="100"/>
      <c r="J20" s="98"/>
      <c r="K20" s="99" t="s">
        <v>85</v>
      </c>
      <c r="L20" s="99"/>
      <c r="M20" s="99"/>
      <c r="N20" s="363" t="s">
        <v>85</v>
      </c>
      <c r="O20" s="114"/>
      <c r="P20" s="99"/>
      <c r="Q20" s="489" t="s">
        <v>85</v>
      </c>
      <c r="R20" s="105" t="s">
        <v>85</v>
      </c>
      <c r="S20" s="100"/>
      <c r="T20" s="98"/>
      <c r="U20" s="99"/>
      <c r="V20" s="99"/>
      <c r="W20" s="99"/>
      <c r="Y20" s="363"/>
      <c r="AA20" s="363"/>
      <c r="AB20" s="100"/>
      <c r="AC20" s="96"/>
    </row>
    <row r="21" spans="1:29">
      <c r="A21" s="98"/>
      <c r="B21" s="99" t="s">
        <v>191</v>
      </c>
      <c r="C21" s="99"/>
      <c r="D21" s="363">
        <v>0</v>
      </c>
      <c r="E21" s="363"/>
      <c r="F21" s="363">
        <v>0</v>
      </c>
      <c r="G21" s="99"/>
      <c r="H21" s="99"/>
      <c r="I21" s="100"/>
      <c r="J21" s="98"/>
      <c r="K21" s="99"/>
      <c r="L21" s="99"/>
      <c r="M21" s="99"/>
      <c r="N21" s="363"/>
      <c r="O21" s="114"/>
      <c r="P21" s="99"/>
      <c r="Q21" s="489"/>
      <c r="R21" s="105"/>
      <c r="S21" s="100"/>
      <c r="T21" s="98"/>
      <c r="U21" s="99"/>
      <c r="V21" s="99"/>
      <c r="W21" s="99"/>
      <c r="Y21" s="363"/>
      <c r="AA21" s="363"/>
      <c r="AB21" s="100"/>
      <c r="AC21" s="96"/>
    </row>
    <row r="22" spans="1:29">
      <c r="A22" s="98"/>
      <c r="B22" s="99" t="s">
        <v>192</v>
      </c>
      <c r="C22" s="99"/>
      <c r="D22" s="363">
        <f>1008.71-50.44+0.32-6.47</f>
        <v>952.12</v>
      </c>
      <c r="E22" s="363"/>
      <c r="F22" s="363">
        <f>1341.84-67.09+0.32-6.47</f>
        <v>1268.5999999999999</v>
      </c>
      <c r="G22" s="99"/>
      <c r="H22" s="99"/>
      <c r="I22" s="100"/>
      <c r="J22" s="98"/>
      <c r="K22" s="99" t="s">
        <v>193</v>
      </c>
      <c r="L22" s="99"/>
      <c r="M22" s="99"/>
      <c r="N22" s="363">
        <f>+F22+F23</f>
        <v>1268.5999999999999</v>
      </c>
      <c r="O22" s="114"/>
      <c r="P22" s="99"/>
      <c r="Q22" s="489">
        <f>292.6+1030.41-51.54</f>
        <v>1271.4700000000003</v>
      </c>
      <c r="R22" s="105"/>
      <c r="S22" s="100"/>
      <c r="T22" s="98"/>
      <c r="U22" s="115" t="s">
        <v>339</v>
      </c>
      <c r="V22" s="99"/>
      <c r="W22" s="99"/>
      <c r="Y22" s="371">
        <v>34118559.879999995</v>
      </c>
      <c r="Z22" s="116"/>
      <c r="AA22" s="371">
        <v>697172.49999999767</v>
      </c>
      <c r="AB22" s="100"/>
      <c r="AC22" s="96"/>
    </row>
    <row r="23" spans="1:29">
      <c r="A23" s="98"/>
      <c r="B23" s="99" t="s">
        <v>194</v>
      </c>
      <c r="C23" s="99"/>
      <c r="D23" s="363">
        <v>0</v>
      </c>
      <c r="E23" s="363"/>
      <c r="F23" s="363">
        <v>0</v>
      </c>
      <c r="G23" s="99"/>
      <c r="H23" s="113"/>
      <c r="I23" s="100"/>
      <c r="J23" s="98"/>
      <c r="K23" s="99"/>
      <c r="L23" s="99"/>
      <c r="M23" s="99"/>
      <c r="N23" s="363" t="s">
        <v>85</v>
      </c>
      <c r="O23" s="114"/>
      <c r="P23" s="99"/>
      <c r="Q23" s="489" t="s">
        <v>85</v>
      </c>
      <c r="R23" s="114"/>
      <c r="S23" s="100"/>
      <c r="T23" s="98"/>
      <c r="U23" s="99"/>
      <c r="V23" s="99"/>
      <c r="W23" s="99"/>
      <c r="AB23" s="100"/>
      <c r="AC23" s="96"/>
    </row>
    <row r="24" spans="1:29">
      <c r="A24" s="98"/>
      <c r="B24" s="99" t="s">
        <v>195</v>
      </c>
      <c r="C24" s="99"/>
      <c r="D24" s="363">
        <v>0</v>
      </c>
      <c r="E24" s="363"/>
      <c r="F24" s="363">
        <v>0</v>
      </c>
      <c r="G24" s="99"/>
      <c r="H24" s="113"/>
      <c r="I24" s="100"/>
      <c r="J24" s="98"/>
      <c r="K24" s="99"/>
      <c r="L24" s="99"/>
      <c r="M24" s="99"/>
      <c r="N24" s="363"/>
      <c r="O24" s="114"/>
      <c r="P24" s="99"/>
      <c r="Q24" s="489"/>
      <c r="R24" s="114"/>
      <c r="S24" s="100"/>
      <c r="T24" s="98"/>
      <c r="U24" s="99" t="s">
        <v>198</v>
      </c>
      <c r="V24" s="99"/>
      <c r="W24" s="99"/>
      <c r="Y24" s="363">
        <v>23089349.890000001</v>
      </c>
      <c r="Z24" s="126"/>
      <c r="AA24" s="363">
        <f>23113391.05-23089349.89</f>
        <v>24041.160000000149</v>
      </c>
      <c r="AB24" s="100"/>
      <c r="AC24" s="96"/>
    </row>
    <row r="25" spans="1:29">
      <c r="A25" s="98"/>
      <c r="B25" s="99" t="s">
        <v>196</v>
      </c>
      <c r="C25" s="99"/>
      <c r="D25" s="363">
        <v>0</v>
      </c>
      <c r="E25" s="363"/>
      <c r="F25" s="363">
        <v>0</v>
      </c>
      <c r="G25" s="99"/>
      <c r="H25" s="113"/>
      <c r="I25" s="100"/>
      <c r="J25" s="98"/>
      <c r="K25" s="99" t="s">
        <v>197</v>
      </c>
      <c r="L25" s="99"/>
      <c r="M25" s="99"/>
      <c r="N25" s="363">
        <f>+F25</f>
        <v>0</v>
      </c>
      <c r="O25" s="114"/>
      <c r="P25" s="99"/>
      <c r="Q25" s="489">
        <v>0</v>
      </c>
      <c r="R25" s="114"/>
      <c r="S25" s="100"/>
      <c r="T25" s="98"/>
      <c r="AB25" s="117"/>
      <c r="AC25" s="96"/>
    </row>
    <row r="26" spans="1:29">
      <c r="A26" s="98"/>
      <c r="B26" s="99" t="s">
        <v>85</v>
      </c>
      <c r="C26" s="99"/>
      <c r="D26" s="363"/>
      <c r="E26" s="363"/>
      <c r="F26" s="363"/>
      <c r="G26" s="99"/>
      <c r="H26" s="99"/>
      <c r="I26" s="100"/>
      <c r="J26" s="98"/>
      <c r="K26" s="99" t="s">
        <v>85</v>
      </c>
      <c r="L26" s="99"/>
      <c r="M26" s="99"/>
      <c r="N26" s="363" t="s">
        <v>199</v>
      </c>
      <c r="O26" s="114"/>
      <c r="P26" s="99" t="s">
        <v>85</v>
      </c>
      <c r="Q26" s="489" t="s">
        <v>199</v>
      </c>
      <c r="R26" s="105"/>
      <c r="S26" s="100"/>
      <c r="T26" s="98"/>
      <c r="U26" s="99" t="s">
        <v>201</v>
      </c>
      <c r="V26" s="99"/>
      <c r="W26" s="99"/>
      <c r="Y26" s="379">
        <v>19004.259999999998</v>
      </c>
      <c r="Z26" s="97" t="s">
        <v>85</v>
      </c>
      <c r="AA26" s="363">
        <f>15111.72-19004.26</f>
        <v>-3892.5399999999991</v>
      </c>
      <c r="AB26" s="100"/>
      <c r="AC26" s="96"/>
    </row>
    <row r="27" spans="1:29">
      <c r="A27" s="98"/>
      <c r="B27" s="99" t="s">
        <v>200</v>
      </c>
      <c r="C27" s="99"/>
      <c r="D27" s="364">
        <f>SUM(D19:D26)</f>
        <v>23090302.010000002</v>
      </c>
      <c r="E27" s="363" t="s">
        <v>85</v>
      </c>
      <c r="F27" s="364">
        <f>SUM(F19:F26)</f>
        <v>25302579.870000001</v>
      </c>
      <c r="G27" s="99"/>
      <c r="H27" s="113">
        <f>ROUND(+F27/F61,6)</f>
        <v>0.69609100000000002</v>
      </c>
      <c r="I27" s="100"/>
      <c r="J27" s="98"/>
      <c r="K27" s="99" t="s">
        <v>200</v>
      </c>
      <c r="L27" s="99"/>
      <c r="M27" s="99"/>
      <c r="N27" s="364">
        <f>SUM(N19:N26)</f>
        <v>25302579.870000001</v>
      </c>
      <c r="O27" s="113">
        <f>+N27/N61</f>
        <v>0.69609106330915316</v>
      </c>
      <c r="P27" s="99"/>
      <c r="Q27" s="490">
        <f>SUM(Q19:Q26)</f>
        <v>20491443.579999998</v>
      </c>
      <c r="R27" s="113">
        <f>+Q27/Q57</f>
        <v>0.65527537139512371</v>
      </c>
      <c r="S27" s="100"/>
      <c r="T27" s="98"/>
      <c r="Y27" s="383"/>
      <c r="AA27" s="383"/>
      <c r="AB27" s="117"/>
      <c r="AC27" s="96"/>
    </row>
    <row r="28" spans="1:29">
      <c r="A28" s="98"/>
      <c r="B28" s="99"/>
      <c r="C28" s="99"/>
      <c r="D28" s="363"/>
      <c r="E28" s="363"/>
      <c r="F28" s="363"/>
      <c r="G28" s="99"/>
      <c r="H28" s="113"/>
      <c r="I28" s="100"/>
      <c r="J28" s="98"/>
      <c r="K28" s="99"/>
      <c r="L28" s="99"/>
      <c r="M28" s="99"/>
      <c r="N28" s="363" t="s">
        <v>85</v>
      </c>
      <c r="O28" s="114"/>
      <c r="P28" s="99"/>
      <c r="Q28" s="489" t="s">
        <v>85</v>
      </c>
      <c r="R28" s="114"/>
      <c r="S28" s="100"/>
      <c r="T28" s="98"/>
      <c r="AB28" s="117"/>
      <c r="AC28" s="96"/>
    </row>
    <row r="29" spans="1:29" ht="15.75" thickBot="1">
      <c r="A29" s="98"/>
      <c r="B29" s="99"/>
      <c r="C29" s="99"/>
      <c r="D29" s="363"/>
      <c r="E29" s="363"/>
      <c r="F29" s="363"/>
      <c r="G29" s="99"/>
      <c r="H29" s="113"/>
      <c r="I29" s="100"/>
      <c r="J29" s="98"/>
      <c r="K29" s="99"/>
      <c r="L29" s="99"/>
      <c r="M29" s="99"/>
      <c r="N29" s="363"/>
      <c r="O29" s="114"/>
      <c r="P29" s="99"/>
      <c r="Q29" s="489"/>
      <c r="R29" s="114"/>
      <c r="S29" s="100"/>
      <c r="T29" s="98"/>
      <c r="U29" s="115" t="s">
        <v>340</v>
      </c>
      <c r="V29" s="99"/>
      <c r="W29" s="99"/>
      <c r="X29" s="97" t="s">
        <v>85</v>
      </c>
      <c r="Y29" s="363">
        <f>+Y22-Y24+Y26</f>
        <v>11048214.249999994</v>
      </c>
      <c r="Z29" s="119"/>
      <c r="AA29" s="363">
        <f>+AA22-AA24+AA26</f>
        <v>669238.79999999749</v>
      </c>
      <c r="AB29" s="117"/>
      <c r="AC29" s="96"/>
    </row>
    <row r="30" spans="1:29" ht="15.75" thickTop="1">
      <c r="A30" s="98"/>
      <c r="B30" s="99" t="s">
        <v>202</v>
      </c>
      <c r="C30" s="99"/>
      <c r="D30" s="365"/>
      <c r="E30" s="363"/>
      <c r="F30" s="363"/>
      <c r="G30" s="99"/>
      <c r="H30" s="99"/>
      <c r="I30" s="100"/>
      <c r="J30" s="98"/>
      <c r="K30" s="99" t="s">
        <v>203</v>
      </c>
      <c r="L30" s="99"/>
      <c r="M30" s="99"/>
      <c r="N30" s="363" t="s">
        <v>85</v>
      </c>
      <c r="O30" s="114"/>
      <c r="P30" s="99"/>
      <c r="Q30" s="489" t="s">
        <v>85</v>
      </c>
      <c r="R30" s="114"/>
      <c r="S30" s="100"/>
      <c r="T30" s="96"/>
      <c r="Y30" s="369"/>
      <c r="AA30" s="369"/>
      <c r="AB30" s="117"/>
      <c r="AC30" s="96"/>
    </row>
    <row r="31" spans="1:29">
      <c r="A31" s="98"/>
      <c r="C31" s="99"/>
      <c r="D31" s="363"/>
      <c r="E31" s="363"/>
      <c r="F31" s="363" t="s">
        <v>85</v>
      </c>
      <c r="G31" s="99"/>
      <c r="H31" s="99"/>
      <c r="I31" s="100"/>
      <c r="J31" s="98"/>
      <c r="K31" s="99"/>
      <c r="L31" s="99"/>
      <c r="M31" s="99"/>
      <c r="N31" s="363"/>
      <c r="O31" s="105"/>
      <c r="P31" s="99"/>
      <c r="Q31" s="489" t="s">
        <v>85</v>
      </c>
      <c r="R31" s="105"/>
      <c r="S31" s="100"/>
      <c r="T31" s="96"/>
      <c r="AB31" s="118"/>
      <c r="AC31" s="96"/>
    </row>
    <row r="32" spans="1:29">
      <c r="A32" s="98"/>
      <c r="B32" s="99" t="s">
        <v>188</v>
      </c>
      <c r="D32" s="366">
        <v>16255.7</v>
      </c>
      <c r="E32" s="366"/>
      <c r="F32" s="366">
        <v>93099.25</v>
      </c>
      <c r="G32" s="99" t="s">
        <v>85</v>
      </c>
      <c r="H32" s="99"/>
      <c r="I32" s="100"/>
      <c r="J32" s="98"/>
      <c r="K32" s="99" t="s">
        <v>189</v>
      </c>
      <c r="L32" s="99"/>
      <c r="M32" s="99"/>
      <c r="N32" s="363">
        <f>+F32+F33</f>
        <v>137656.04</v>
      </c>
      <c r="O32" s="114"/>
      <c r="P32" s="99"/>
      <c r="Q32" s="489">
        <f>42340.03+19762</f>
        <v>62102.03</v>
      </c>
      <c r="R32" s="114"/>
      <c r="S32" s="100" t="s">
        <v>85</v>
      </c>
      <c r="T32" s="98"/>
      <c r="U32" s="99"/>
      <c r="V32" s="99"/>
      <c r="W32" s="99"/>
      <c r="Y32" s="363" t="s">
        <v>85</v>
      </c>
      <c r="AA32" s="363" t="s">
        <v>85</v>
      </c>
      <c r="AB32" s="117"/>
      <c r="AC32" s="96"/>
    </row>
    <row r="33" spans="1:29">
      <c r="A33" s="98"/>
      <c r="B33" s="99" t="s">
        <v>204</v>
      </c>
      <c r="C33" s="99"/>
      <c r="D33" s="363">
        <v>7785.46</v>
      </c>
      <c r="E33" s="363"/>
      <c r="F33" s="363">
        <v>44556.79</v>
      </c>
      <c r="G33" s="99" t="s">
        <v>85</v>
      </c>
      <c r="H33" s="99"/>
      <c r="I33" s="100"/>
      <c r="J33" s="98"/>
      <c r="K33" s="99" t="s">
        <v>85</v>
      </c>
      <c r="L33" s="99"/>
      <c r="M33" s="99"/>
      <c r="N33" s="363"/>
      <c r="O33" s="114"/>
      <c r="P33" s="99"/>
      <c r="Q33" s="489"/>
      <c r="R33" s="114"/>
      <c r="S33" s="100"/>
      <c r="T33" s="98"/>
      <c r="AB33" s="100"/>
      <c r="AC33" s="96"/>
    </row>
    <row r="34" spans="1:29">
      <c r="A34" s="98"/>
      <c r="B34" s="99" t="s">
        <v>191</v>
      </c>
      <c r="C34" s="99"/>
      <c r="D34" s="363">
        <v>0</v>
      </c>
      <c r="E34" s="363"/>
      <c r="F34" s="363">
        <v>0</v>
      </c>
      <c r="G34" s="99" t="s">
        <v>85</v>
      </c>
      <c r="H34" s="99"/>
      <c r="I34" s="100"/>
      <c r="J34" s="98"/>
      <c r="K34" s="99"/>
      <c r="L34" s="99"/>
      <c r="M34" s="99"/>
      <c r="N34" s="363"/>
      <c r="O34" s="114"/>
      <c r="P34" s="99"/>
      <c r="Q34" s="491"/>
      <c r="R34" s="114"/>
      <c r="S34" s="100"/>
      <c r="T34" s="98"/>
      <c r="U34" s="99"/>
      <c r="V34" s="99"/>
      <c r="W34" s="99"/>
      <c r="AB34" s="100"/>
      <c r="AC34" s="96"/>
    </row>
    <row r="35" spans="1:29">
      <c r="A35" s="98"/>
      <c r="B35" s="99" t="s">
        <v>192</v>
      </c>
      <c r="C35" s="99"/>
      <c r="D35" s="363">
        <f>891.89+1577.34+1351.16+19.5+82.71-4.14+0.27-5.39</f>
        <v>3913.3400000000006</v>
      </c>
      <c r="E35" s="363"/>
      <c r="F35" s="363">
        <f>10912.24+5113.03+4437.68+40.07+132.64-6.64+0.27-5.39</f>
        <v>20623.900000000001</v>
      </c>
      <c r="G35" s="99" t="s">
        <v>85</v>
      </c>
      <c r="H35" s="113"/>
      <c r="I35" s="100"/>
      <c r="J35" s="98"/>
      <c r="K35" s="99" t="s">
        <v>193</v>
      </c>
      <c r="L35" s="99"/>
      <c r="M35" s="99"/>
      <c r="N35" s="363">
        <f>+F35+F36</f>
        <v>30170.27</v>
      </c>
      <c r="O35" s="114"/>
      <c r="P35" s="99"/>
      <c r="Q35" s="489">
        <f>2693.94+12039.35+6178.35+183.22+180.96-9.05</f>
        <v>21266.77</v>
      </c>
      <c r="R35" s="114"/>
      <c r="S35" s="100" t="s">
        <v>85</v>
      </c>
      <c r="T35" s="98"/>
      <c r="U35" s="99" t="s">
        <v>85</v>
      </c>
      <c r="V35" s="99"/>
      <c r="W35" s="99"/>
      <c r="Y35" s="363"/>
      <c r="Z35" s="120" t="s">
        <v>85</v>
      </c>
      <c r="AA35" s="380"/>
      <c r="AB35" s="117"/>
      <c r="AC35" s="96"/>
    </row>
    <row r="36" spans="1:29">
      <c r="A36" s="98"/>
      <c r="B36" s="99" t="s">
        <v>194</v>
      </c>
      <c r="C36" s="99"/>
      <c r="D36" s="363">
        <f>428.8+719.77+641.25</f>
        <v>1789.82</v>
      </c>
      <c r="E36" s="363"/>
      <c r="F36" s="363">
        <f>5246.29+2193.27+2106.81</f>
        <v>9546.369999999999</v>
      </c>
      <c r="G36" s="99"/>
      <c r="H36" s="113"/>
      <c r="I36" s="100"/>
      <c r="J36" s="98"/>
      <c r="K36" s="99"/>
      <c r="L36" s="99"/>
      <c r="M36" s="99"/>
      <c r="N36" s="363" t="s">
        <v>85</v>
      </c>
      <c r="O36" s="114"/>
      <c r="P36" s="99"/>
      <c r="Q36" s="489" t="s">
        <v>85</v>
      </c>
      <c r="R36" s="114"/>
      <c r="S36" s="100"/>
      <c r="T36" s="98"/>
      <c r="U36" s="122" t="s">
        <v>85</v>
      </c>
      <c r="V36" s="99"/>
      <c r="W36" s="99"/>
      <c r="Y36" s="363"/>
      <c r="Z36" s="120"/>
      <c r="AA36" s="380"/>
      <c r="AB36" s="117"/>
      <c r="AC36" s="96"/>
    </row>
    <row r="37" spans="1:29">
      <c r="A37" s="98"/>
      <c r="B37" s="99" t="s">
        <v>195</v>
      </c>
      <c r="C37" s="99"/>
      <c r="D37" s="363">
        <v>0</v>
      </c>
      <c r="E37" s="363"/>
      <c r="F37" s="363">
        <v>0</v>
      </c>
      <c r="G37" s="99"/>
      <c r="H37" s="113"/>
      <c r="I37" s="100"/>
      <c r="J37" s="98"/>
      <c r="K37" s="99"/>
      <c r="L37" s="99"/>
      <c r="M37" s="99"/>
      <c r="N37" s="363"/>
      <c r="O37" s="114"/>
      <c r="P37" s="99"/>
      <c r="Q37" s="489"/>
      <c r="R37" s="114"/>
      <c r="S37" s="100"/>
      <c r="T37" s="98"/>
      <c r="U37" s="122"/>
      <c r="V37" s="99"/>
      <c r="W37" s="99"/>
      <c r="Y37" s="380"/>
      <c r="Z37" s="120"/>
      <c r="AA37" s="380"/>
      <c r="AB37" s="123"/>
      <c r="AC37" s="96"/>
    </row>
    <row r="38" spans="1:29">
      <c r="A38" s="98"/>
      <c r="B38" s="99" t="s">
        <v>196</v>
      </c>
      <c r="C38" s="99"/>
      <c r="D38" s="363">
        <v>3278.76</v>
      </c>
      <c r="E38" s="363"/>
      <c r="F38" s="363">
        <v>12665.39</v>
      </c>
      <c r="G38" s="99" t="s">
        <v>85</v>
      </c>
      <c r="H38" s="99"/>
      <c r="I38" s="100"/>
      <c r="J38" s="98"/>
      <c r="K38" s="99" t="s">
        <v>197</v>
      </c>
      <c r="L38" s="99"/>
      <c r="M38" s="99"/>
      <c r="N38" s="363">
        <f>+F38</f>
        <v>12665.39</v>
      </c>
      <c r="O38" s="114"/>
      <c r="P38" s="99"/>
      <c r="Q38" s="489">
        <v>13070.97</v>
      </c>
      <c r="R38" s="114"/>
      <c r="S38" s="100" t="s">
        <v>85</v>
      </c>
      <c r="T38" s="98"/>
      <c r="U38" s="122"/>
      <c r="V38" s="99"/>
      <c r="W38" s="99"/>
      <c r="Y38" s="363"/>
      <c r="AA38" s="363" t="s">
        <v>85</v>
      </c>
      <c r="AB38" s="100"/>
      <c r="AC38" s="96"/>
    </row>
    <row r="39" spans="1:29">
      <c r="A39" s="98"/>
      <c r="B39" s="99" t="s">
        <v>205</v>
      </c>
      <c r="C39" s="99"/>
      <c r="D39" s="363">
        <v>0</v>
      </c>
      <c r="E39" s="363"/>
      <c r="F39" s="363">
        <v>0</v>
      </c>
      <c r="G39" s="99"/>
      <c r="H39" s="113"/>
      <c r="I39" s="100"/>
      <c r="J39" s="98"/>
      <c r="K39" s="99" t="s">
        <v>85</v>
      </c>
      <c r="L39" s="99"/>
      <c r="M39" s="99"/>
      <c r="N39" s="363"/>
      <c r="O39" s="114"/>
      <c r="P39" s="99"/>
      <c r="Q39" s="489"/>
      <c r="R39" s="114"/>
      <c r="S39" s="100"/>
      <c r="T39" s="98"/>
      <c r="U39" s="99"/>
      <c r="V39" s="99"/>
      <c r="W39" s="99"/>
      <c r="Y39" s="363"/>
      <c r="AA39" s="363" t="s">
        <v>85</v>
      </c>
      <c r="AB39" s="117"/>
      <c r="AC39" s="96"/>
    </row>
    <row r="40" spans="1:29">
      <c r="A40" s="98"/>
      <c r="B40" s="99"/>
      <c r="C40" s="99"/>
      <c r="D40" s="363"/>
      <c r="E40" s="363"/>
      <c r="F40" s="363"/>
      <c r="G40" s="99"/>
      <c r="H40" s="113"/>
      <c r="I40" s="100"/>
      <c r="J40" s="98"/>
      <c r="O40" s="376"/>
      <c r="Q40" s="491"/>
      <c r="S40" s="100"/>
      <c r="T40" s="98"/>
      <c r="U40" s="122"/>
      <c r="V40" s="99"/>
      <c r="W40" s="99"/>
      <c r="Y40" s="363"/>
      <c r="AA40" s="381" t="s">
        <v>85</v>
      </c>
      <c r="AB40" s="117"/>
      <c r="AC40" s="96"/>
    </row>
    <row r="41" spans="1:29">
      <c r="A41" s="98"/>
      <c r="B41" s="99" t="s">
        <v>200</v>
      </c>
      <c r="C41" s="99"/>
      <c r="D41" s="364">
        <f>SUM(D32:D40)</f>
        <v>33023.08</v>
      </c>
      <c r="E41" s="363"/>
      <c r="F41" s="364">
        <f>SUM(F32:F40)</f>
        <v>180491.7</v>
      </c>
      <c r="G41" s="99"/>
      <c r="H41" s="374"/>
      <c r="I41" s="100"/>
      <c r="J41" s="98"/>
      <c r="K41" s="97" t="s">
        <v>200</v>
      </c>
      <c r="N41" s="367">
        <f>SUM(N32:N40)</f>
        <v>180491.7</v>
      </c>
      <c r="O41" s="374"/>
      <c r="Q41" s="492">
        <f>SUM(Q32:Q40)</f>
        <v>96439.77</v>
      </c>
      <c r="R41" s="124"/>
      <c r="S41" s="100"/>
      <c r="T41" s="98"/>
      <c r="U41" s="99" t="s">
        <v>341</v>
      </c>
      <c r="V41" s="122"/>
      <c r="W41" s="99"/>
      <c r="AA41" s="381"/>
      <c r="AB41" s="117"/>
      <c r="AC41" s="96"/>
    </row>
    <row r="42" spans="1:29">
      <c r="A42" s="98"/>
      <c r="B42" s="99"/>
      <c r="C42" s="99"/>
      <c r="D42" s="363"/>
      <c r="E42" s="363"/>
      <c r="F42" s="365"/>
      <c r="G42" s="99"/>
      <c r="H42" s="113"/>
      <c r="I42" s="100"/>
      <c r="J42" s="98"/>
      <c r="K42" s="99"/>
      <c r="L42" s="99"/>
      <c r="M42" s="99"/>
      <c r="N42" s="363"/>
      <c r="O42" s="377"/>
      <c r="P42" s="99"/>
      <c r="Q42" s="489" t="s">
        <v>85</v>
      </c>
      <c r="R42" s="105"/>
      <c r="S42" s="100"/>
      <c r="T42" s="98"/>
      <c r="U42" s="99"/>
      <c r="V42" s="99"/>
      <c r="W42" s="99"/>
      <c r="Y42" s="363"/>
      <c r="AA42" s="363"/>
      <c r="AB42" s="125"/>
      <c r="AC42" s="96"/>
    </row>
    <row r="43" spans="1:29">
      <c r="A43" s="98"/>
      <c r="B43" s="99"/>
      <c r="C43" s="99"/>
      <c r="D43" s="363"/>
      <c r="E43" s="363"/>
      <c r="F43" s="363"/>
      <c r="G43" s="99"/>
      <c r="H43" s="113"/>
      <c r="I43" s="100"/>
      <c r="J43" s="98"/>
      <c r="K43" s="99"/>
      <c r="L43" s="99"/>
      <c r="M43" s="99"/>
      <c r="N43" s="365"/>
      <c r="O43" s="378"/>
      <c r="P43" s="99"/>
      <c r="Q43" s="493"/>
      <c r="R43" s="114"/>
      <c r="S43" s="100"/>
      <c r="T43" s="98"/>
      <c r="U43" s="99"/>
      <c r="V43" s="99"/>
      <c r="W43" s="99"/>
      <c r="Y43" s="363"/>
      <c r="AA43" s="363"/>
      <c r="AB43" s="117"/>
      <c r="AC43" s="96"/>
    </row>
    <row r="44" spans="1:29">
      <c r="A44" s="98"/>
      <c r="D44" s="366" t="s">
        <v>85</v>
      </c>
      <c r="E44" s="366"/>
      <c r="F44" s="366"/>
      <c r="I44" s="100"/>
      <c r="J44" s="98"/>
      <c r="K44" s="99" t="s">
        <v>206</v>
      </c>
      <c r="L44" s="99"/>
      <c r="M44" s="99"/>
      <c r="N44" s="363"/>
      <c r="O44" s="378"/>
      <c r="P44" s="99"/>
      <c r="Q44" s="489" t="s">
        <v>85</v>
      </c>
      <c r="R44" s="114"/>
      <c r="S44" s="100"/>
      <c r="T44" s="98"/>
      <c r="U44" s="99" t="s">
        <v>326</v>
      </c>
      <c r="V44" s="99"/>
      <c r="W44" s="99"/>
      <c r="Y44" s="371">
        <v>35928565.780000001</v>
      </c>
      <c r="Z44" s="116"/>
      <c r="AA44" s="371">
        <v>819897.18999999762</v>
      </c>
      <c r="AB44" s="117"/>
      <c r="AC44" s="96"/>
    </row>
    <row r="45" spans="1:29">
      <c r="A45" s="98"/>
      <c r="B45" s="99" t="s">
        <v>206</v>
      </c>
      <c r="C45" s="99"/>
      <c r="D45" s="363"/>
      <c r="E45" s="363"/>
      <c r="F45" s="363"/>
      <c r="G45" s="99"/>
      <c r="H45" s="113"/>
      <c r="I45" s="100"/>
      <c r="J45" s="98"/>
      <c r="K45" s="99" t="s">
        <v>85</v>
      </c>
      <c r="L45" s="99"/>
      <c r="M45" s="99"/>
      <c r="N45" s="363" t="s">
        <v>85</v>
      </c>
      <c r="O45" s="378"/>
      <c r="P45" s="99"/>
      <c r="Q45" s="489" t="s">
        <v>85</v>
      </c>
      <c r="R45" s="114"/>
      <c r="S45" s="100"/>
      <c r="T45" s="98"/>
      <c r="AB45" s="117"/>
      <c r="AC45" s="96"/>
    </row>
    <row r="46" spans="1:29">
      <c r="A46" s="98"/>
      <c r="C46" s="99"/>
      <c r="D46" s="363"/>
      <c r="E46" s="363"/>
      <c r="F46" s="363"/>
      <c r="G46" s="99"/>
      <c r="H46" s="99"/>
      <c r="I46" s="100"/>
      <c r="J46" s="98"/>
      <c r="K46" s="99" t="s">
        <v>189</v>
      </c>
      <c r="L46" s="99"/>
      <c r="M46" s="99"/>
      <c r="N46" s="363">
        <f>+N19+N32</f>
        <v>25438967.309999999</v>
      </c>
      <c r="O46" s="377"/>
      <c r="P46" s="99"/>
      <c r="Q46" s="489">
        <f>+Q19+Q32</f>
        <v>20552274.140000001</v>
      </c>
      <c r="R46" s="105"/>
      <c r="S46" s="100"/>
      <c r="T46" s="98"/>
      <c r="U46" s="99" t="s">
        <v>198</v>
      </c>
      <c r="V46" s="99"/>
      <c r="W46" s="99"/>
      <c r="Y46" s="363">
        <v>25301311.27</v>
      </c>
      <c r="Z46" s="126"/>
      <c r="AA46" s="363">
        <f>25438967.31-25301311.27</f>
        <v>137656.03999999911</v>
      </c>
      <c r="AB46" s="100"/>
      <c r="AC46" s="96"/>
    </row>
    <row r="47" spans="1:29">
      <c r="A47" s="98"/>
      <c r="B47" s="99" t="s">
        <v>188</v>
      </c>
      <c r="C47" s="99"/>
      <c r="D47" s="363">
        <f>+D19+D32</f>
        <v>15609063.68</v>
      </c>
      <c r="E47" s="363"/>
      <c r="F47" s="363">
        <f>+F19+F32</f>
        <v>17179698.989999998</v>
      </c>
      <c r="G47" s="99"/>
      <c r="H47" s="113"/>
      <c r="I47" s="100"/>
      <c r="J47" s="98"/>
      <c r="K47" s="99" t="s">
        <v>85</v>
      </c>
      <c r="L47" s="99"/>
      <c r="M47" s="99"/>
      <c r="N47" s="363" t="s">
        <v>85</v>
      </c>
      <c r="O47" s="378"/>
      <c r="P47" s="99"/>
      <c r="Q47" s="489" t="s">
        <v>85</v>
      </c>
      <c r="R47" s="114"/>
      <c r="S47" s="100"/>
      <c r="T47" s="98"/>
      <c r="AB47" s="117"/>
      <c r="AC47" s="96"/>
    </row>
    <row r="48" spans="1:29">
      <c r="A48" s="98"/>
      <c r="B48" s="99" t="s">
        <v>190</v>
      </c>
      <c r="C48" s="99"/>
      <c r="D48" s="363">
        <f>+D20+D33</f>
        <v>7504327.3700000001</v>
      </c>
      <c r="E48" s="363"/>
      <c r="F48" s="363">
        <f>+F20+F33</f>
        <v>8259268.3200000003</v>
      </c>
      <c r="G48" s="99"/>
      <c r="H48" s="113"/>
      <c r="I48" s="100"/>
      <c r="J48" s="98"/>
      <c r="K48" s="99" t="s">
        <v>193</v>
      </c>
      <c r="L48" s="99"/>
      <c r="M48" s="99"/>
      <c r="N48" s="363">
        <f>+N22+N35</f>
        <v>31438.87</v>
      </c>
      <c r="O48" s="378"/>
      <c r="P48" s="99"/>
      <c r="Q48" s="489">
        <f>+Q22+Q35</f>
        <v>22538.240000000002</v>
      </c>
      <c r="R48" s="114"/>
      <c r="S48" s="100"/>
      <c r="T48" s="98"/>
      <c r="U48" s="99" t="s">
        <v>207</v>
      </c>
      <c r="V48" s="99"/>
      <c r="W48" s="99"/>
      <c r="Y48" s="379">
        <v>420959.74</v>
      </c>
      <c r="Z48" s="97" t="s">
        <v>85</v>
      </c>
      <c r="AA48" s="363">
        <f>407957.39-420959.74</f>
        <v>-13002.349999999977</v>
      </c>
      <c r="AB48" s="117"/>
      <c r="AC48" s="96"/>
    </row>
    <row r="49" spans="1:29">
      <c r="A49" s="98"/>
      <c r="B49" s="99" t="s">
        <v>191</v>
      </c>
      <c r="C49" s="99"/>
      <c r="D49" s="363">
        <f>+D21+D34</f>
        <v>0</v>
      </c>
      <c r="E49" s="363"/>
      <c r="F49" s="363">
        <f>+F21+F34</f>
        <v>0</v>
      </c>
      <c r="G49" s="99"/>
      <c r="H49" s="113"/>
      <c r="I49" s="100"/>
      <c r="J49" s="98"/>
      <c r="K49" s="99"/>
      <c r="L49" s="99"/>
      <c r="M49" s="99"/>
      <c r="N49" s="363"/>
      <c r="O49" s="378"/>
      <c r="P49" s="99"/>
      <c r="Q49" s="489"/>
      <c r="R49" s="114"/>
      <c r="S49" s="100"/>
      <c r="T49" s="98"/>
      <c r="U49" s="99"/>
      <c r="V49" s="99"/>
      <c r="W49" s="99"/>
      <c r="Y49" s="382"/>
      <c r="Z49" s="126"/>
      <c r="AA49" s="382"/>
      <c r="AB49" s="117"/>
      <c r="AC49" s="96"/>
    </row>
    <row r="50" spans="1:29">
      <c r="A50" s="98"/>
      <c r="B50" s="99" t="s">
        <v>192</v>
      </c>
      <c r="C50" s="99"/>
      <c r="D50" s="363">
        <f>+D22+D35</f>
        <v>4865.4600000000009</v>
      </c>
      <c r="E50" s="363"/>
      <c r="F50" s="363">
        <f>+F22+F35</f>
        <v>21892.5</v>
      </c>
      <c r="G50" s="99"/>
      <c r="H50" s="113"/>
      <c r="I50" s="100"/>
      <c r="J50" s="98"/>
      <c r="K50" s="99"/>
      <c r="L50" s="99"/>
      <c r="M50" s="99"/>
      <c r="N50" s="363" t="s">
        <v>85</v>
      </c>
      <c r="O50" s="378"/>
      <c r="P50" s="99"/>
      <c r="Q50" s="489" t="s">
        <v>85</v>
      </c>
      <c r="R50" s="114"/>
      <c r="S50" s="100"/>
      <c r="T50" s="98"/>
      <c r="AB50" s="117" t="s">
        <v>85</v>
      </c>
      <c r="AC50" s="96"/>
    </row>
    <row r="51" spans="1:29" ht="15.75" thickBot="1">
      <c r="A51" s="98"/>
      <c r="B51" s="99" t="s">
        <v>194</v>
      </c>
      <c r="C51" s="99"/>
      <c r="D51" s="363">
        <f>+D23+D36</f>
        <v>1789.82</v>
      </c>
      <c r="E51" s="363"/>
      <c r="F51" s="363">
        <f>+F23+F36</f>
        <v>9546.369999999999</v>
      </c>
      <c r="G51" s="99"/>
      <c r="H51" s="113"/>
      <c r="I51" s="100"/>
      <c r="J51" s="98"/>
      <c r="K51" s="99" t="s">
        <v>197</v>
      </c>
      <c r="L51" s="99"/>
      <c r="M51" s="99"/>
      <c r="N51" s="363">
        <f>+N25+N38</f>
        <v>12665.39</v>
      </c>
      <c r="O51" s="378"/>
      <c r="P51" s="99"/>
      <c r="Q51" s="489">
        <f>+Q25+Q38</f>
        <v>13070.97</v>
      </c>
      <c r="R51" s="114"/>
      <c r="S51" s="100"/>
      <c r="T51" s="98"/>
      <c r="U51" s="99" t="s">
        <v>342</v>
      </c>
      <c r="V51" s="99"/>
      <c r="W51" s="99"/>
      <c r="X51" s="97" t="s">
        <v>85</v>
      </c>
      <c r="Y51" s="363">
        <f>+Y44-Y46+Y48</f>
        <v>11048214.250000002</v>
      </c>
      <c r="Z51" s="119"/>
      <c r="AA51" s="363">
        <f>+AA44-AA46+AA48</f>
        <v>669238.79999999853</v>
      </c>
      <c r="AB51" s="117"/>
      <c r="AC51" s="96"/>
    </row>
    <row r="52" spans="1:29" ht="15.75" thickTop="1">
      <c r="A52" s="98"/>
      <c r="B52" s="99" t="s">
        <v>196</v>
      </c>
      <c r="C52" s="99"/>
      <c r="D52" s="363">
        <f>+D25+D38</f>
        <v>3278.76</v>
      </c>
      <c r="E52" s="363"/>
      <c r="F52" s="363">
        <f>+F25+F38</f>
        <v>12665.39</v>
      </c>
      <c r="G52" s="99"/>
      <c r="H52" s="99"/>
      <c r="I52" s="100"/>
      <c r="J52" s="98"/>
      <c r="K52" s="99" t="s">
        <v>208</v>
      </c>
      <c r="L52" s="99"/>
      <c r="M52" s="99"/>
      <c r="N52" s="363">
        <v>0</v>
      </c>
      <c r="O52" s="378"/>
      <c r="P52" s="99"/>
      <c r="Q52" s="489">
        <v>0</v>
      </c>
      <c r="R52" s="114"/>
      <c r="S52" s="100"/>
      <c r="T52" s="98"/>
      <c r="U52" s="99"/>
      <c r="V52" s="99"/>
      <c r="W52" s="112"/>
      <c r="X52" s="99"/>
      <c r="Y52" s="369" t="s">
        <v>85</v>
      </c>
      <c r="Z52" s="99"/>
      <c r="AA52" s="369" t="s">
        <v>85</v>
      </c>
      <c r="AB52" s="117"/>
      <c r="AC52" s="96"/>
    </row>
    <row r="53" spans="1:29">
      <c r="A53" s="98"/>
      <c r="B53" s="99" t="s">
        <v>205</v>
      </c>
      <c r="C53" s="99"/>
      <c r="D53" s="363">
        <f>+D39</f>
        <v>0</v>
      </c>
      <c r="E53" s="363"/>
      <c r="F53" s="363">
        <f>+F39</f>
        <v>0</v>
      </c>
      <c r="G53" s="99"/>
      <c r="H53" s="99"/>
      <c r="I53" s="100"/>
      <c r="J53" s="98"/>
      <c r="K53" s="99"/>
      <c r="L53" s="99"/>
      <c r="M53" s="99"/>
      <c r="N53" s="363" t="s">
        <v>85</v>
      </c>
      <c r="O53" s="378"/>
      <c r="P53" s="99"/>
      <c r="Q53" s="489" t="s">
        <v>85</v>
      </c>
      <c r="R53" s="114"/>
      <c r="S53" s="100"/>
      <c r="T53" s="98"/>
      <c r="U53" s="99"/>
      <c r="V53" s="99"/>
      <c r="W53" s="112"/>
      <c r="X53" s="99"/>
      <c r="Y53" s="379"/>
      <c r="Z53" s="121"/>
      <c r="AA53" s="463"/>
      <c r="AB53" s="117"/>
      <c r="AC53" s="96"/>
    </row>
    <row r="54" spans="1:29" ht="15.75" thickBot="1">
      <c r="A54" s="98"/>
      <c r="B54" s="99"/>
      <c r="C54" s="99"/>
      <c r="D54" s="363" t="s">
        <v>85</v>
      </c>
      <c r="E54" s="363"/>
      <c r="F54" s="363" t="s">
        <v>85</v>
      </c>
      <c r="G54" s="99"/>
      <c r="H54" s="113"/>
      <c r="I54" s="100"/>
      <c r="J54" s="98"/>
      <c r="K54" s="99" t="s">
        <v>209</v>
      </c>
      <c r="L54" s="99"/>
      <c r="M54" s="99"/>
      <c r="N54" s="364">
        <f>+N27+N41</f>
        <v>25483071.57</v>
      </c>
      <c r="O54" s="374"/>
      <c r="P54" s="99"/>
      <c r="Q54" s="490">
        <f>+Q27+Q41</f>
        <v>20587883.349999998</v>
      </c>
      <c r="R54" s="113"/>
      <c r="S54" s="100"/>
      <c r="T54" s="96"/>
      <c r="AB54" s="118"/>
      <c r="AC54" s="96"/>
    </row>
    <row r="55" spans="1:29" ht="16.5" thickTop="1" thickBot="1">
      <c r="A55" s="98"/>
      <c r="B55" s="99" t="s">
        <v>209</v>
      </c>
      <c r="D55" s="367">
        <f>SUM(D47:D54)</f>
        <v>23123325.090000004</v>
      </c>
      <c r="E55" s="366"/>
      <c r="F55" s="367">
        <f>SUM(F47:F54)</f>
        <v>25483071.57</v>
      </c>
      <c r="H55" s="375"/>
      <c r="I55" s="100"/>
      <c r="J55" s="98"/>
      <c r="K55" s="99"/>
      <c r="L55" s="99"/>
      <c r="M55" s="99"/>
      <c r="N55" s="369"/>
      <c r="O55" s="377"/>
      <c r="P55" s="99"/>
      <c r="Q55" s="494"/>
      <c r="R55" s="105"/>
      <c r="S55" s="100"/>
      <c r="T55" s="98"/>
      <c r="AB55" s="117"/>
      <c r="AC55" s="96"/>
    </row>
    <row r="56" spans="1:29" ht="15.75" thickTop="1">
      <c r="A56" s="98"/>
      <c r="B56" s="99"/>
      <c r="C56" s="99"/>
      <c r="D56" s="127"/>
      <c r="E56" s="99"/>
      <c r="F56" s="127"/>
      <c r="G56" s="99"/>
      <c r="H56" s="113"/>
      <c r="I56" s="100"/>
      <c r="J56" s="98"/>
      <c r="K56" s="99"/>
      <c r="L56" s="99"/>
      <c r="M56" s="99"/>
      <c r="N56" s="365"/>
      <c r="O56" s="378"/>
      <c r="P56" s="99"/>
      <c r="Q56" s="493"/>
      <c r="R56" s="114"/>
      <c r="S56" s="100"/>
      <c r="T56" s="98"/>
      <c r="AB56" s="117"/>
      <c r="AC56" s="96"/>
    </row>
    <row r="57" spans="1:29" ht="15.75" thickBot="1">
      <c r="A57" s="98"/>
      <c r="B57" s="99"/>
      <c r="C57" s="99"/>
      <c r="D57" s="112"/>
      <c r="E57" s="99"/>
      <c r="F57" s="112"/>
      <c r="G57" s="99"/>
      <c r="H57" s="113"/>
      <c r="I57" s="100"/>
      <c r="J57" s="98"/>
      <c r="K57" s="99" t="s">
        <v>325</v>
      </c>
      <c r="L57" s="99"/>
      <c r="M57" s="99"/>
      <c r="N57" s="363"/>
      <c r="O57" s="378"/>
      <c r="P57" s="99"/>
      <c r="Q57" s="489">
        <v>31271499.699999999</v>
      </c>
      <c r="R57" s="113"/>
      <c r="S57" s="100"/>
      <c r="T57" s="98"/>
      <c r="U57" s="99"/>
      <c r="V57" s="99"/>
      <c r="W57" s="99"/>
      <c r="Y57" s="363" t="s">
        <v>85</v>
      </c>
      <c r="AA57" s="363" t="s">
        <v>85</v>
      </c>
      <c r="AB57" s="117"/>
      <c r="AC57" s="96"/>
    </row>
    <row r="58" spans="1:29" ht="15.75" thickTop="1">
      <c r="A58" s="98"/>
      <c r="B58" s="99" t="s">
        <v>85</v>
      </c>
      <c r="C58" s="99"/>
      <c r="D58" s="112"/>
      <c r="E58" s="99"/>
      <c r="F58" s="111" t="s">
        <v>85</v>
      </c>
      <c r="G58" s="99"/>
      <c r="H58" s="113"/>
      <c r="I58" s="100"/>
      <c r="J58" s="98"/>
      <c r="K58" s="99"/>
      <c r="L58" s="99"/>
      <c r="M58" s="99"/>
      <c r="N58" s="365"/>
      <c r="O58" s="378"/>
      <c r="P58" s="99"/>
      <c r="Q58" s="369"/>
      <c r="R58" s="113"/>
      <c r="S58" s="100"/>
      <c r="T58" s="98"/>
      <c r="AB58" s="117"/>
      <c r="AC58" s="96"/>
    </row>
    <row r="59" spans="1:29" ht="15.75" thickBot="1">
      <c r="A59" s="98"/>
      <c r="B59" s="99" t="s">
        <v>322</v>
      </c>
      <c r="C59" s="99"/>
      <c r="D59" s="112"/>
      <c r="E59" s="99"/>
      <c r="F59" s="444">
        <v>35928565.780000001</v>
      </c>
      <c r="G59" s="99"/>
      <c r="H59" s="99"/>
      <c r="I59" s="100"/>
      <c r="J59" s="98"/>
      <c r="K59" s="99" t="s">
        <v>322</v>
      </c>
      <c r="L59" s="99"/>
      <c r="M59" s="99"/>
      <c r="N59" s="371">
        <f>+F59</f>
        <v>35928565.780000001</v>
      </c>
      <c r="O59" s="113"/>
      <c r="P59" s="99"/>
      <c r="Q59" s="365" t="s">
        <v>85</v>
      </c>
      <c r="R59" s="113"/>
      <c r="S59" s="100"/>
      <c r="T59" s="110"/>
      <c r="U59" s="99" t="s">
        <v>85</v>
      </c>
      <c r="V59" s="99"/>
      <c r="W59" s="112"/>
      <c r="X59" s="99"/>
      <c r="Y59" s="363"/>
      <c r="Z59" s="112"/>
      <c r="AA59" s="363"/>
      <c r="AB59" s="117"/>
      <c r="AC59" s="96"/>
    </row>
    <row r="60" spans="1:29" ht="15.75" thickTop="1">
      <c r="A60" s="98" t="s">
        <v>85</v>
      </c>
      <c r="F60" s="445"/>
      <c r="G60" s="99"/>
      <c r="H60" s="128"/>
      <c r="I60" s="100"/>
      <c r="J60" s="98"/>
      <c r="K60" s="99"/>
      <c r="L60" s="99"/>
      <c r="M60" s="99"/>
      <c r="N60" s="369"/>
      <c r="O60" s="99"/>
      <c r="P60" s="99"/>
      <c r="Q60" s="363"/>
      <c r="R60" s="99"/>
      <c r="S60" s="100"/>
      <c r="T60" s="98"/>
      <c r="U60" s="99"/>
      <c r="V60" s="99"/>
      <c r="W60" s="99"/>
      <c r="X60" s="99"/>
      <c r="Y60" s="363"/>
      <c r="Z60" s="112"/>
      <c r="AA60" s="363"/>
      <c r="AB60" s="100"/>
      <c r="AC60" s="96"/>
    </row>
    <row r="61" spans="1:29" ht="15.75" thickBot="1">
      <c r="A61" s="96"/>
      <c r="B61" s="97" t="s">
        <v>323</v>
      </c>
      <c r="C61" s="99"/>
      <c r="D61" s="112"/>
      <c r="E61" s="99"/>
      <c r="F61" s="446">
        <v>36349525.520000003</v>
      </c>
      <c r="G61" s="99"/>
      <c r="H61" s="99"/>
      <c r="I61" s="100"/>
      <c r="J61" s="98" t="s">
        <v>85</v>
      </c>
      <c r="K61" s="97" t="s">
        <v>323</v>
      </c>
      <c r="L61" s="99"/>
      <c r="M61" s="112"/>
      <c r="N61" s="448">
        <f>+F61</f>
        <v>36349525.520000003</v>
      </c>
      <c r="P61" s="99"/>
      <c r="Q61" s="363"/>
      <c r="R61" s="99"/>
      <c r="S61" s="100"/>
      <c r="T61" s="98"/>
      <c r="U61" s="99"/>
      <c r="V61" s="99"/>
      <c r="W61" s="99"/>
      <c r="X61" s="99"/>
      <c r="Y61" s="363"/>
      <c r="Z61" s="112"/>
      <c r="AA61" s="363"/>
      <c r="AB61" s="100"/>
      <c r="AC61" s="96"/>
    </row>
    <row r="62" spans="1:29" ht="15.75" thickTop="1">
      <c r="A62" s="96"/>
      <c r="C62" s="99"/>
      <c r="D62" s="112"/>
      <c r="E62" s="99"/>
      <c r="F62" s="112"/>
      <c r="G62" s="99"/>
      <c r="H62" s="113"/>
      <c r="I62" s="100"/>
      <c r="J62" s="98" t="s">
        <v>85</v>
      </c>
      <c r="K62" s="97" t="s">
        <v>85</v>
      </c>
      <c r="L62" s="99"/>
      <c r="M62" s="99"/>
      <c r="N62" s="363"/>
      <c r="O62" s="113"/>
      <c r="P62" s="99"/>
      <c r="Q62" s="363"/>
      <c r="R62" s="99"/>
      <c r="S62" s="100"/>
      <c r="T62" s="98"/>
      <c r="U62" s="99"/>
      <c r="V62" s="99"/>
      <c r="W62" s="99"/>
      <c r="X62" s="99"/>
      <c r="Y62" s="363"/>
      <c r="Z62" s="112"/>
      <c r="AA62" s="363"/>
      <c r="AB62" s="100"/>
      <c r="AC62" s="96"/>
    </row>
    <row r="63" spans="1:29" ht="15.75">
      <c r="A63" s="96"/>
      <c r="B63" s="99"/>
      <c r="F63" s="498"/>
      <c r="G63" s="99"/>
      <c r="H63" s="113"/>
      <c r="I63" s="100"/>
      <c r="J63" s="129" t="s">
        <v>85</v>
      </c>
      <c r="K63" s="99" t="s">
        <v>85</v>
      </c>
      <c r="L63" s="99"/>
      <c r="M63" s="99"/>
      <c r="N63" s="365"/>
      <c r="O63" s="113"/>
      <c r="P63" s="99"/>
      <c r="Q63" s="363"/>
      <c r="R63" s="99"/>
      <c r="S63" s="100"/>
      <c r="T63" s="98"/>
      <c r="U63" s="99"/>
      <c r="V63" s="99"/>
      <c r="W63" s="112"/>
      <c r="X63" s="99"/>
      <c r="Y63" s="363"/>
      <c r="Z63" s="112"/>
      <c r="AA63" s="363"/>
      <c r="AB63" s="117"/>
      <c r="AC63" s="96"/>
    </row>
    <row r="64" spans="1:29">
      <c r="A64" s="96"/>
      <c r="B64" s="99"/>
      <c r="F64" s="366"/>
      <c r="G64" s="99"/>
      <c r="H64" s="99"/>
      <c r="I64" s="100"/>
      <c r="J64" s="130" t="s">
        <v>85</v>
      </c>
      <c r="K64" s="99" t="s">
        <v>85</v>
      </c>
      <c r="P64" s="99"/>
      <c r="Q64" s="363"/>
      <c r="R64" s="113"/>
      <c r="S64" s="100"/>
      <c r="T64" s="98"/>
      <c r="U64" s="99"/>
      <c r="V64" s="99"/>
      <c r="W64" s="112"/>
      <c r="X64" s="99"/>
      <c r="Y64" s="363"/>
      <c r="Z64" s="112"/>
      <c r="AA64" s="363" t="s">
        <v>85</v>
      </c>
      <c r="AB64" s="117"/>
      <c r="AC64" s="96"/>
    </row>
    <row r="65" spans="1:29">
      <c r="A65" s="96"/>
      <c r="E65" s="99"/>
      <c r="F65" s="380"/>
      <c r="G65" s="99"/>
      <c r="H65" s="99"/>
      <c r="I65" s="100"/>
      <c r="J65" s="130" t="s">
        <v>85</v>
      </c>
      <c r="K65" s="97" t="s">
        <v>85</v>
      </c>
      <c r="L65" s="99"/>
      <c r="M65" s="99"/>
      <c r="N65" s="363"/>
      <c r="O65" s="99"/>
      <c r="P65" s="99"/>
      <c r="Q65" s="363"/>
      <c r="R65" s="99"/>
      <c r="S65" s="100"/>
      <c r="T65" s="98"/>
      <c r="U65" s="99"/>
      <c r="V65" s="99"/>
      <c r="W65" s="99"/>
      <c r="X65" s="99"/>
      <c r="Y65" s="363"/>
      <c r="Z65" s="112"/>
      <c r="AA65" s="363"/>
      <c r="AB65" s="100"/>
      <c r="AC65" s="96"/>
    </row>
    <row r="66" spans="1:29" ht="15.75" thickBot="1">
      <c r="A66" s="131"/>
      <c r="B66" s="132" t="s">
        <v>85</v>
      </c>
      <c r="C66" s="132"/>
      <c r="D66" s="132"/>
      <c r="E66" s="133"/>
      <c r="F66" s="134"/>
      <c r="G66" s="133"/>
      <c r="H66" s="135"/>
      <c r="I66" s="136"/>
      <c r="J66" s="137" t="s">
        <v>85</v>
      </c>
      <c r="K66" s="133" t="s">
        <v>85</v>
      </c>
      <c r="L66" s="133"/>
      <c r="M66" s="133"/>
      <c r="N66" s="372"/>
      <c r="O66" s="135"/>
      <c r="P66" s="133"/>
      <c r="Q66" s="372"/>
      <c r="R66" s="135"/>
      <c r="S66" s="136"/>
      <c r="T66" s="137"/>
      <c r="U66" s="133"/>
      <c r="V66" s="133"/>
      <c r="W66" s="134"/>
      <c r="X66" s="133"/>
      <c r="Y66" s="372"/>
      <c r="Z66" s="134"/>
      <c r="AA66" s="372"/>
      <c r="AB66" s="138"/>
      <c r="AC66" s="96"/>
    </row>
    <row r="67" spans="1:29">
      <c r="A67" s="139" t="s">
        <v>85</v>
      </c>
      <c r="B67" s="139" t="s">
        <v>85</v>
      </c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373"/>
      <c r="O67" s="140"/>
      <c r="P67" s="140"/>
      <c r="Q67" s="373"/>
      <c r="R67" s="140"/>
      <c r="S67" s="140"/>
      <c r="T67" s="140"/>
      <c r="U67" s="140"/>
      <c r="V67" s="140"/>
      <c r="W67" s="140"/>
      <c r="X67" s="140"/>
      <c r="Y67" s="373"/>
      <c r="Z67" s="140"/>
      <c r="AA67" s="373"/>
      <c r="AB67" s="140"/>
    </row>
    <row r="68" spans="1:29">
      <c r="J68" s="141"/>
      <c r="T68" s="141"/>
    </row>
    <row r="69" spans="1:29">
      <c r="J69" s="141"/>
      <c r="T69" s="141"/>
    </row>
    <row r="70" spans="1:29">
      <c r="J70" s="141"/>
      <c r="T70" s="141"/>
    </row>
    <row r="71" spans="1:29">
      <c r="J71" s="141"/>
      <c r="T71" s="141"/>
    </row>
    <row r="72" spans="1:29">
      <c r="J72" s="141"/>
      <c r="T72" s="141"/>
    </row>
    <row r="73" spans="1:29">
      <c r="J73" s="141"/>
      <c r="T73" s="141"/>
    </row>
    <row r="74" spans="1:29">
      <c r="J74" s="141"/>
      <c r="T74" s="141"/>
    </row>
    <row r="75" spans="1:29">
      <c r="J75" s="141"/>
      <c r="T75" s="141"/>
    </row>
    <row r="76" spans="1:29">
      <c r="J76" s="141"/>
      <c r="T76" s="141"/>
    </row>
    <row r="77" spans="1:29">
      <c r="J77" s="141"/>
      <c r="T77" s="141"/>
    </row>
    <row r="78" spans="1:29">
      <c r="J78" s="141"/>
      <c r="T78" s="141"/>
    </row>
    <row r="79" spans="1:29">
      <c r="J79" s="141"/>
      <c r="T79" s="141"/>
    </row>
    <row r="80" spans="1:29">
      <c r="J80" s="141"/>
      <c r="T80" s="141"/>
    </row>
    <row r="81" spans="10:20">
      <c r="J81" s="141"/>
      <c r="T81" s="141"/>
    </row>
    <row r="82" spans="10:20">
      <c r="J82" s="141"/>
      <c r="T82" s="141"/>
    </row>
    <row r="83" spans="10:20">
      <c r="J83" s="141"/>
      <c r="T83" s="141"/>
    </row>
    <row r="84" spans="10:20">
      <c r="J84" s="141"/>
      <c r="T84" s="141"/>
    </row>
    <row r="85" spans="10:20">
      <c r="J85" s="141"/>
      <c r="T85" s="141"/>
    </row>
    <row r="86" spans="10:20">
      <c r="J86" s="141"/>
      <c r="T86" s="141"/>
    </row>
    <row r="87" spans="10:20">
      <c r="J87" s="141"/>
      <c r="T87" s="141"/>
    </row>
    <row r="88" spans="10:20">
      <c r="J88" s="141"/>
      <c r="T88" s="141"/>
    </row>
    <row r="89" spans="10:20">
      <c r="J89" s="141"/>
      <c r="T89" s="141"/>
    </row>
    <row r="90" spans="10:20">
      <c r="J90" s="141"/>
      <c r="T90" s="141"/>
    </row>
    <row r="91" spans="10:20">
      <c r="J91" s="141"/>
      <c r="T91" s="141"/>
    </row>
    <row r="92" spans="10:20">
      <c r="J92" s="141"/>
      <c r="T92" s="141"/>
    </row>
    <row r="93" spans="10:20">
      <c r="J93" s="141"/>
      <c r="T93" s="141"/>
    </row>
    <row r="94" spans="10:20">
      <c r="J94" s="141"/>
      <c r="T94" s="141"/>
    </row>
    <row r="95" spans="10:20">
      <c r="J95" s="141"/>
      <c r="T95" s="141"/>
    </row>
    <row r="96" spans="10:20">
      <c r="J96" s="141"/>
      <c r="T96" s="141"/>
    </row>
    <row r="97" spans="10:20">
      <c r="J97" s="141"/>
      <c r="T97" s="141"/>
    </row>
    <row r="98" spans="10:20">
      <c r="J98" s="141"/>
      <c r="T98" s="141"/>
    </row>
    <row r="99" spans="10:20">
      <c r="J99" s="141"/>
      <c r="T99" s="141"/>
    </row>
    <row r="100" spans="10:20">
      <c r="J100" s="141"/>
      <c r="T100" s="141"/>
    </row>
    <row r="101" spans="10:20">
      <c r="J101" s="141"/>
      <c r="T101" s="141"/>
    </row>
    <row r="102" spans="10:20">
      <c r="J102" s="141"/>
      <c r="T102" s="141"/>
    </row>
    <row r="103" spans="10:20">
      <c r="J103" s="141"/>
      <c r="T103" s="141"/>
    </row>
    <row r="104" spans="10:20">
      <c r="J104" s="141"/>
      <c r="T104" s="141"/>
    </row>
    <row r="105" spans="10:20">
      <c r="J105" s="141"/>
      <c r="T105" s="141"/>
    </row>
    <row r="106" spans="10:20">
      <c r="J106" s="141"/>
      <c r="T106" s="141"/>
    </row>
    <row r="107" spans="10:20">
      <c r="J107" s="141"/>
      <c r="T107" s="141"/>
    </row>
    <row r="108" spans="10:20">
      <c r="J108" s="141"/>
      <c r="T108" s="141"/>
    </row>
    <row r="109" spans="10:20">
      <c r="J109" s="141"/>
      <c r="T109" s="141"/>
    </row>
    <row r="110" spans="10:20">
      <c r="J110" s="141"/>
      <c r="T110" s="141"/>
    </row>
    <row r="111" spans="10:20">
      <c r="J111" s="141"/>
      <c r="T111" s="141"/>
    </row>
    <row r="112" spans="10:20">
      <c r="J112" s="141"/>
      <c r="T112" s="141"/>
    </row>
    <row r="113" spans="10:20">
      <c r="J113" s="141"/>
      <c r="T113" s="141"/>
    </row>
    <row r="114" spans="10:20">
      <c r="J114" s="141"/>
      <c r="T114" s="141"/>
    </row>
    <row r="115" spans="10:20">
      <c r="J115" s="141"/>
      <c r="T115" s="141"/>
    </row>
    <row r="116" spans="10:20">
      <c r="J116" s="141"/>
      <c r="T116" s="141"/>
    </row>
    <row r="117" spans="10:20">
      <c r="J117" s="141"/>
      <c r="T117" s="141"/>
    </row>
  </sheetData>
  <phoneticPr fontId="28" type="noConversion"/>
  <printOptions horizontalCentered="1" verticalCentered="1"/>
  <pageMargins left="0.25" right="0.25" top="0.7" bottom="0.7" header="0" footer="0"/>
  <pageSetup scale="60" orientation="portrait" r:id="rId1"/>
  <headerFooter alignWithMargins="0"/>
  <colBreaks count="3" manualBreakCount="3">
    <brk id="9" max="1048575" man="1"/>
    <brk id="19" max="1048575" man="1"/>
    <brk id="819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O38"/>
  <sheetViews>
    <sheetView view="pageLayout" topLeftCell="A10" workbookViewId="0">
      <selection activeCell="B12" sqref="B12"/>
    </sheetView>
  </sheetViews>
  <sheetFormatPr defaultColWidth="6" defaultRowHeight="12.75"/>
  <cols>
    <col min="1" max="1" width="23.5703125" style="555" customWidth="1"/>
    <col min="2" max="2" width="22.85546875" style="555" customWidth="1"/>
    <col min="3" max="3" width="16.85546875" style="554" bestFit="1" customWidth="1"/>
    <col min="4" max="4" width="14.5703125" style="554" bestFit="1" customWidth="1"/>
    <col min="5" max="5" width="15.7109375" style="554" bestFit="1" customWidth="1"/>
    <col min="6" max="6" width="13" style="555" customWidth="1"/>
    <col min="7" max="7" width="15.7109375" style="555" customWidth="1"/>
    <col min="8" max="10" width="13.28515625" style="555" customWidth="1"/>
    <col min="11" max="11" width="15.42578125" style="555" customWidth="1"/>
    <col min="12" max="12" width="14.5703125" style="555" customWidth="1"/>
    <col min="13" max="13" width="15.42578125" style="554" customWidth="1"/>
    <col min="14" max="14" width="13.7109375" style="555" customWidth="1"/>
    <col min="15" max="15" width="12.42578125" style="555" hidden="1" customWidth="1"/>
    <col min="16" max="16384" width="6" style="555"/>
  </cols>
  <sheetData>
    <row r="1" spans="1:15" ht="26.25">
      <c r="A1" s="551" t="s">
        <v>360</v>
      </c>
      <c r="B1" s="552"/>
      <c r="C1" s="553"/>
      <c r="D1" s="553"/>
    </row>
    <row r="3" spans="1:15">
      <c r="A3" s="555" t="s">
        <v>361</v>
      </c>
    </row>
    <row r="5" spans="1:15" ht="14.25">
      <c r="B5" s="555" t="s">
        <v>362</v>
      </c>
      <c r="C5" s="556">
        <v>15000000</v>
      </c>
    </row>
    <row r="6" spans="1:15" ht="14.25">
      <c r="B6" s="555" t="s">
        <v>363</v>
      </c>
      <c r="C6" s="556">
        <f>1238071+173</f>
        <v>1238244</v>
      </c>
    </row>
    <row r="7" spans="1:15" ht="14.25">
      <c r="B7" s="557" t="s">
        <v>364</v>
      </c>
      <c r="C7" s="556">
        <v>1400000</v>
      </c>
    </row>
    <row r="8" spans="1:15" ht="14.25">
      <c r="C8" s="558">
        <f>+C5+C6+C7</f>
        <v>17638244</v>
      </c>
    </row>
    <row r="9" spans="1:15" ht="14.25">
      <c r="C9" s="559"/>
    </row>
    <row r="10" spans="1:15" ht="14.25">
      <c r="C10" s="559"/>
    </row>
    <row r="12" spans="1:15">
      <c r="A12" s="560" t="s">
        <v>365</v>
      </c>
    </row>
    <row r="13" spans="1:15">
      <c r="C13" s="561" t="s">
        <v>43</v>
      </c>
      <c r="D13" s="562"/>
      <c r="E13" s="563"/>
      <c r="F13" s="564" t="s">
        <v>366</v>
      </c>
      <c r="G13" s="565"/>
      <c r="H13" s="566"/>
      <c r="I13" s="567"/>
      <c r="J13" s="567"/>
      <c r="K13" s="568"/>
    </row>
    <row r="14" spans="1:15">
      <c r="C14" s="561"/>
      <c r="D14" s="562"/>
      <c r="E14" s="563"/>
      <c r="F14" s="569" t="s">
        <v>367</v>
      </c>
      <c r="G14" s="564" t="s">
        <v>368</v>
      </c>
      <c r="H14" s="570"/>
      <c r="I14" s="564" t="s">
        <v>369</v>
      </c>
      <c r="J14" s="570"/>
      <c r="K14" s="571"/>
    </row>
    <row r="15" spans="1:15" ht="28.5">
      <c r="A15" s="572" t="s">
        <v>370</v>
      </c>
      <c r="B15" s="573" t="s">
        <v>371</v>
      </c>
      <c r="C15" s="574" t="s">
        <v>372</v>
      </c>
      <c r="D15" s="575" t="s">
        <v>373</v>
      </c>
      <c r="E15" s="576" t="s">
        <v>374</v>
      </c>
      <c r="F15" s="577" t="s">
        <v>372</v>
      </c>
      <c r="G15" s="577" t="s">
        <v>372</v>
      </c>
      <c r="H15" s="578" t="s">
        <v>373</v>
      </c>
      <c r="I15" s="577" t="s">
        <v>372</v>
      </c>
      <c r="J15" s="578" t="s">
        <v>373</v>
      </c>
      <c r="K15" s="579" t="s">
        <v>352</v>
      </c>
      <c r="L15" s="580" t="s">
        <v>375</v>
      </c>
      <c r="M15" s="581" t="s">
        <v>376</v>
      </c>
      <c r="N15" s="572" t="s">
        <v>377</v>
      </c>
      <c r="O15" s="572" t="s">
        <v>378</v>
      </c>
    </row>
    <row r="16" spans="1:15" ht="14.25">
      <c r="A16" s="582"/>
      <c r="B16" s="583"/>
      <c r="C16" s="584"/>
      <c r="D16" s="585"/>
      <c r="E16" s="584"/>
      <c r="F16" s="582"/>
      <c r="G16" s="582"/>
      <c r="H16" s="582"/>
      <c r="I16" s="582"/>
      <c r="J16" s="582"/>
      <c r="K16" s="582"/>
      <c r="L16" s="582"/>
      <c r="M16" s="584"/>
      <c r="N16" s="582"/>
      <c r="O16" s="582"/>
    </row>
    <row r="17" spans="1:15" ht="14.25">
      <c r="A17" s="586" t="s">
        <v>379</v>
      </c>
      <c r="B17" s="582" t="s">
        <v>380</v>
      </c>
      <c r="C17" s="584">
        <v>788384</v>
      </c>
      <c r="D17" s="585">
        <v>0</v>
      </c>
      <c r="E17" s="584">
        <f>+C17+D17</f>
        <v>788384</v>
      </c>
      <c r="F17" s="587">
        <v>622411.52000000002</v>
      </c>
      <c r="G17" s="587">
        <v>147822.74</v>
      </c>
      <c r="H17" s="587">
        <v>0</v>
      </c>
      <c r="I17" s="587">
        <v>0</v>
      </c>
      <c r="J17" s="587">
        <v>0</v>
      </c>
      <c r="K17" s="587">
        <f>SUM(F17:J17)</f>
        <v>770234.26</v>
      </c>
      <c r="L17" s="587">
        <v>7780.14</v>
      </c>
      <c r="M17" s="584">
        <f>E17-K17-L17</f>
        <v>10369.599999999991</v>
      </c>
      <c r="N17" s="588">
        <f>K17/E17</f>
        <v>0.97697855359824659</v>
      </c>
      <c r="O17" s="582"/>
    </row>
    <row r="18" spans="1:15" ht="14.25">
      <c r="A18" s="586" t="s">
        <v>381</v>
      </c>
      <c r="B18" s="582" t="s">
        <v>382</v>
      </c>
      <c r="C18" s="584">
        <v>75300</v>
      </c>
      <c r="D18" s="585">
        <v>0</v>
      </c>
      <c r="E18" s="584">
        <f t="shared" ref="E18:E27" si="0">+C18+D18</f>
        <v>75300</v>
      </c>
      <c r="F18" s="587">
        <v>58534.77</v>
      </c>
      <c r="G18" s="587">
        <f>11621.26+427.5</f>
        <v>12048.76</v>
      </c>
      <c r="H18" s="587">
        <v>0</v>
      </c>
      <c r="I18" s="587">
        <v>773.75</v>
      </c>
      <c r="J18" s="587">
        <v>0</v>
      </c>
      <c r="K18" s="587">
        <f t="shared" ref="K18:K27" si="1">SUM(F18:J18)</f>
        <v>71357.279999999999</v>
      </c>
      <c r="L18" s="587">
        <v>0</v>
      </c>
      <c r="M18" s="584">
        <f t="shared" ref="M18:M27" si="2">E18-K18-L18</f>
        <v>3942.7200000000012</v>
      </c>
      <c r="N18" s="588">
        <f t="shared" ref="N18:N27" si="3">K18/E18</f>
        <v>0.94763984063745021</v>
      </c>
      <c r="O18" s="582"/>
    </row>
    <row r="19" spans="1:15" ht="14.25">
      <c r="A19" s="586" t="s">
        <v>383</v>
      </c>
      <c r="B19" s="582" t="s">
        <v>384</v>
      </c>
      <c r="C19" s="589">
        <v>24000</v>
      </c>
      <c r="D19" s="584">
        <v>0</v>
      </c>
      <c r="E19" s="584">
        <f t="shared" si="0"/>
        <v>24000</v>
      </c>
      <c r="F19" s="587">
        <v>0</v>
      </c>
      <c r="G19" s="587">
        <v>24000</v>
      </c>
      <c r="H19" s="587">
        <v>0</v>
      </c>
      <c r="I19" s="587">
        <v>0</v>
      </c>
      <c r="J19" s="587">
        <v>0</v>
      </c>
      <c r="K19" s="587">
        <f t="shared" si="1"/>
        <v>24000</v>
      </c>
      <c r="L19" s="587">
        <v>0</v>
      </c>
      <c r="M19" s="584">
        <f t="shared" si="2"/>
        <v>0</v>
      </c>
      <c r="N19" s="588">
        <f>K19/E19</f>
        <v>1</v>
      </c>
      <c r="O19" s="582"/>
    </row>
    <row r="20" spans="1:15" ht="14.25">
      <c r="A20" s="586" t="s">
        <v>385</v>
      </c>
      <c r="B20" s="582" t="s">
        <v>386</v>
      </c>
      <c r="C20" s="584">
        <v>24000</v>
      </c>
      <c r="D20" s="585">
        <v>0</v>
      </c>
      <c r="E20" s="584">
        <f t="shared" si="0"/>
        <v>24000</v>
      </c>
      <c r="F20" s="587">
        <v>0</v>
      </c>
      <c r="G20" s="587">
        <v>24000</v>
      </c>
      <c r="H20" s="587">
        <v>0</v>
      </c>
      <c r="I20" s="587">
        <v>0</v>
      </c>
      <c r="J20" s="587">
        <v>0</v>
      </c>
      <c r="K20" s="587">
        <f t="shared" si="1"/>
        <v>24000</v>
      </c>
      <c r="L20" s="587">
        <v>0</v>
      </c>
      <c r="M20" s="584">
        <f t="shared" si="2"/>
        <v>0</v>
      </c>
      <c r="N20" s="588">
        <f t="shared" si="3"/>
        <v>1</v>
      </c>
      <c r="O20" s="582"/>
    </row>
    <row r="21" spans="1:15" ht="14.25">
      <c r="A21" s="586" t="s">
        <v>387</v>
      </c>
      <c r="B21" s="590" t="s">
        <v>388</v>
      </c>
      <c r="C21" s="584">
        <f>14694470+512863+146376</f>
        <v>15353709</v>
      </c>
      <c r="D21" s="591">
        <v>1400000</v>
      </c>
      <c r="E21" s="584">
        <f t="shared" si="0"/>
        <v>16753709</v>
      </c>
      <c r="F21" s="587">
        <v>0</v>
      </c>
      <c r="G21" s="587">
        <f>14789295.8-G26-G27</f>
        <v>15472665.600000001</v>
      </c>
      <c r="H21" s="587">
        <v>962468.4</v>
      </c>
      <c r="I21" s="587">
        <v>23767.54</v>
      </c>
      <c r="J21" s="587">
        <v>163156.46</v>
      </c>
      <c r="K21" s="587">
        <f>SUM(F21:J21)</f>
        <v>16622058.000000002</v>
      </c>
      <c r="L21" s="587">
        <v>93614</v>
      </c>
      <c r="M21" s="584">
        <f t="shared" si="2"/>
        <v>38036.999999998137</v>
      </c>
      <c r="N21" s="588">
        <f t="shared" si="3"/>
        <v>0.99214197882988187</v>
      </c>
      <c r="O21" s="582"/>
    </row>
    <row r="22" spans="1:15" ht="14.25">
      <c r="A22" s="586" t="s">
        <v>389</v>
      </c>
      <c r="B22" s="582" t="s">
        <v>390</v>
      </c>
      <c r="C22" s="584">
        <v>52590</v>
      </c>
      <c r="D22" s="585">
        <v>0</v>
      </c>
      <c r="E22" s="584">
        <f t="shared" si="0"/>
        <v>52590</v>
      </c>
      <c r="F22" s="587">
        <v>0</v>
      </c>
      <c r="G22" s="587">
        <v>57764.2</v>
      </c>
      <c r="H22" s="587">
        <v>0</v>
      </c>
      <c r="I22" s="587">
        <v>0</v>
      </c>
      <c r="J22" s="587">
        <v>0</v>
      </c>
      <c r="K22" s="587">
        <f t="shared" si="1"/>
        <v>57764.2</v>
      </c>
      <c r="L22" s="587">
        <v>0</v>
      </c>
      <c r="M22" s="584">
        <f t="shared" si="2"/>
        <v>-5174.1999999999971</v>
      </c>
      <c r="N22" s="588">
        <f t="shared" si="3"/>
        <v>1.098387526145655</v>
      </c>
      <c r="O22" s="582"/>
    </row>
    <row r="23" spans="1:15" ht="14.25">
      <c r="A23" s="586" t="s">
        <v>391</v>
      </c>
      <c r="B23" s="582" t="s">
        <v>392</v>
      </c>
      <c r="C23" s="584">
        <f>404500-D23</f>
        <v>404500</v>
      </c>
      <c r="D23" s="585">
        <v>0</v>
      </c>
      <c r="E23" s="584">
        <f t="shared" si="0"/>
        <v>404500</v>
      </c>
      <c r="F23" s="587">
        <v>0</v>
      </c>
      <c r="G23" s="587">
        <v>385358.19</v>
      </c>
      <c r="H23" s="587">
        <v>0</v>
      </c>
      <c r="I23" s="587">
        <v>15002.59</v>
      </c>
      <c r="J23" s="587">
        <v>0</v>
      </c>
      <c r="K23" s="587">
        <f t="shared" si="1"/>
        <v>400360.78</v>
      </c>
      <c r="L23" s="587">
        <v>0</v>
      </c>
      <c r="M23" s="584">
        <f t="shared" si="2"/>
        <v>4139.2199999999721</v>
      </c>
      <c r="N23" s="588">
        <f t="shared" si="3"/>
        <v>0.98976707045735479</v>
      </c>
      <c r="O23" s="582"/>
    </row>
    <row r="24" spans="1:15" ht="14.25">
      <c r="A24" s="586" t="s">
        <v>393</v>
      </c>
      <c r="B24" s="582" t="s">
        <v>394</v>
      </c>
      <c r="C24" s="584">
        <v>100000</v>
      </c>
      <c r="D24" s="585">
        <v>0</v>
      </c>
      <c r="E24" s="584">
        <f>+C24+D24</f>
        <v>100000</v>
      </c>
      <c r="F24" s="587">
        <v>0</v>
      </c>
      <c r="G24" s="587">
        <v>0</v>
      </c>
      <c r="H24" s="587">
        <v>0</v>
      </c>
      <c r="I24" s="587">
        <v>0</v>
      </c>
      <c r="J24" s="587">
        <v>0</v>
      </c>
      <c r="K24" s="587">
        <f t="shared" si="1"/>
        <v>0</v>
      </c>
      <c r="L24" s="587">
        <v>0</v>
      </c>
      <c r="M24" s="584">
        <f>E24-K24-L24</f>
        <v>100000</v>
      </c>
      <c r="N24" s="588">
        <f>K24/E24</f>
        <v>0</v>
      </c>
      <c r="O24" s="582"/>
    </row>
    <row r="25" spans="1:15" ht="14.25">
      <c r="A25" s="586" t="s">
        <v>395</v>
      </c>
      <c r="B25" s="582" t="s">
        <v>396</v>
      </c>
      <c r="C25" s="584">
        <v>75000</v>
      </c>
      <c r="D25" s="585">
        <v>0</v>
      </c>
      <c r="E25" s="584">
        <v>75000</v>
      </c>
      <c r="F25" s="587">
        <v>0</v>
      </c>
      <c r="G25" s="587">
        <v>75090.509999999995</v>
      </c>
      <c r="H25" s="587">
        <v>0</v>
      </c>
      <c r="I25" s="587">
        <v>0</v>
      </c>
      <c r="J25" s="587">
        <v>0</v>
      </c>
      <c r="K25" s="587">
        <f t="shared" si="1"/>
        <v>75090.509999999995</v>
      </c>
      <c r="L25" s="587">
        <v>0</v>
      </c>
      <c r="M25" s="584">
        <f>E25-K25-L25</f>
        <v>-90.509999999994761</v>
      </c>
      <c r="N25" s="588">
        <f>K25/E25</f>
        <v>1.0012067999999998</v>
      </c>
      <c r="O25" s="582"/>
    </row>
    <row r="26" spans="1:15" ht="14.25">
      <c r="A26" s="586"/>
      <c r="B26" s="582" t="s">
        <v>397</v>
      </c>
      <c r="C26" s="587">
        <v>-512863</v>
      </c>
      <c r="D26" s="585">
        <v>0</v>
      </c>
      <c r="E26" s="584">
        <f t="shared" si="0"/>
        <v>-512863</v>
      </c>
      <c r="F26" s="587">
        <v>0</v>
      </c>
      <c r="G26" s="587">
        <v>-498460</v>
      </c>
      <c r="H26" s="587">
        <v>0</v>
      </c>
      <c r="I26" s="587">
        <v>0</v>
      </c>
      <c r="J26" s="587">
        <v>0</v>
      </c>
      <c r="K26" s="587">
        <f t="shared" si="1"/>
        <v>-498460</v>
      </c>
      <c r="L26" s="587">
        <v>0</v>
      </c>
      <c r="M26" s="584">
        <f t="shared" si="2"/>
        <v>-14403</v>
      </c>
      <c r="N26" s="588">
        <f t="shared" si="3"/>
        <v>0.97191647671990378</v>
      </c>
      <c r="O26" s="582"/>
    </row>
    <row r="27" spans="1:15" ht="14.25">
      <c r="A27" s="586"/>
      <c r="B27" s="582" t="s">
        <v>398</v>
      </c>
      <c r="C27" s="587">
        <v>-146376</v>
      </c>
      <c r="D27" s="585">
        <v>0</v>
      </c>
      <c r="E27" s="584">
        <f t="shared" si="0"/>
        <v>-146376</v>
      </c>
      <c r="F27" s="587">
        <v>0</v>
      </c>
      <c r="G27" s="587">
        <v>-184909.8</v>
      </c>
      <c r="H27" s="587">
        <v>0</v>
      </c>
      <c r="I27" s="587">
        <v>0</v>
      </c>
      <c r="J27" s="587">
        <v>0</v>
      </c>
      <c r="K27" s="587">
        <f t="shared" si="1"/>
        <v>-184909.8</v>
      </c>
      <c r="L27" s="587">
        <v>0</v>
      </c>
      <c r="M27" s="584">
        <f t="shared" si="2"/>
        <v>38533.799999999988</v>
      </c>
      <c r="N27" s="588">
        <f t="shared" si="3"/>
        <v>1.2632521724872929</v>
      </c>
      <c r="O27" s="582"/>
    </row>
    <row r="28" spans="1:15" ht="15">
      <c r="A28" s="592"/>
      <c r="B28" s="582"/>
      <c r="C28" s="584"/>
      <c r="D28" s="585"/>
      <c r="E28" s="584"/>
      <c r="F28" s="593"/>
      <c r="G28" s="593"/>
      <c r="H28" s="593"/>
      <c r="I28" s="593"/>
      <c r="J28" s="593"/>
      <c r="K28" s="593"/>
      <c r="L28" s="587"/>
      <c r="M28" s="584"/>
      <c r="N28" s="582"/>
      <c r="O28" s="582"/>
    </row>
    <row r="29" spans="1:15" ht="14.25">
      <c r="A29" s="594"/>
      <c r="B29" s="594" t="s">
        <v>399</v>
      </c>
      <c r="C29" s="595">
        <f>SUM(C17:C28)</f>
        <v>16238244</v>
      </c>
      <c r="D29" s="595">
        <f>SUM(D17:D28)</f>
        <v>1400000</v>
      </c>
      <c r="E29" s="595">
        <f>SUM(E16:E27)</f>
        <v>17638244</v>
      </c>
      <c r="F29" s="596">
        <f t="shared" ref="F29:K29" si="4">SUM(F16:F27)</f>
        <v>680946.29</v>
      </c>
      <c r="G29" s="596">
        <f t="shared" si="4"/>
        <v>15515380.199999999</v>
      </c>
      <c r="H29" s="596">
        <f t="shared" si="4"/>
        <v>962468.4</v>
      </c>
      <c r="I29" s="596">
        <f t="shared" si="4"/>
        <v>39543.880000000005</v>
      </c>
      <c r="J29" s="596">
        <f t="shared" si="4"/>
        <v>163156.46</v>
      </c>
      <c r="K29" s="596">
        <f t="shared" si="4"/>
        <v>17361495.230000004</v>
      </c>
      <c r="L29" s="597">
        <f>SUM(L16:L27)</f>
        <v>101394.14</v>
      </c>
      <c r="M29" s="598">
        <f>SUM(M16:M28)</f>
        <v>175354.62999999808</v>
      </c>
      <c r="N29" s="599">
        <f>+K29/E29</f>
        <v>0.98430973230668561</v>
      </c>
      <c r="O29" s="594"/>
    </row>
    <row r="32" spans="1:15">
      <c r="E32" s="554">
        <f>+E29-17638244</f>
        <v>0</v>
      </c>
    </row>
    <row r="34" spans="2:12" ht="23.25">
      <c r="B34" s="552"/>
      <c r="C34" s="553"/>
      <c r="D34" s="553"/>
      <c r="E34" s="553"/>
    </row>
    <row r="38" spans="2:12">
      <c r="L38" s="555" t="s">
        <v>314</v>
      </c>
    </row>
  </sheetData>
  <pageMargins left="0.25" right="0.25" top="0.75" bottom="0.75" header="0.3" footer="0.3"/>
  <pageSetup scale="6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L31"/>
  <sheetViews>
    <sheetView view="pageLayout" topLeftCell="A10" workbookViewId="0">
      <selection activeCell="F19" sqref="F19"/>
    </sheetView>
  </sheetViews>
  <sheetFormatPr defaultColWidth="9.140625" defaultRowHeight="12.75"/>
  <cols>
    <col min="1" max="1" width="24.85546875" style="555" customWidth="1"/>
    <col min="2" max="2" width="24.140625" style="555" customWidth="1"/>
    <col min="3" max="3" width="15.7109375" style="554" bestFit="1" customWidth="1"/>
    <col min="4" max="4" width="14.5703125" style="554" bestFit="1" customWidth="1"/>
    <col min="5" max="5" width="15.7109375" style="554" bestFit="1" customWidth="1"/>
    <col min="6" max="6" width="13.140625" style="555" customWidth="1"/>
    <col min="7" max="7" width="14.42578125" style="555" customWidth="1"/>
    <col min="8" max="8" width="14.5703125" style="555" bestFit="1" customWidth="1"/>
    <col min="9" max="9" width="14.5703125" style="555" customWidth="1"/>
    <col min="10" max="10" width="14.5703125" style="554" customWidth="1"/>
    <col min="11" max="11" width="13.28515625" style="555" customWidth="1"/>
    <col min="12" max="12" width="12.42578125" style="555" hidden="1" customWidth="1"/>
    <col min="13" max="16384" width="9.140625" style="555"/>
  </cols>
  <sheetData>
    <row r="1" spans="1:12" ht="26.25">
      <c r="A1" s="551" t="s">
        <v>400</v>
      </c>
      <c r="B1" s="552"/>
      <c r="C1" s="553"/>
      <c r="D1" s="553"/>
    </row>
    <row r="3" spans="1:12">
      <c r="A3" s="555" t="s">
        <v>361</v>
      </c>
    </row>
    <row r="5" spans="1:12" ht="14.25">
      <c r="B5" s="555" t="s">
        <v>362</v>
      </c>
      <c r="C5" s="556">
        <v>1793157</v>
      </c>
    </row>
    <row r="6" spans="1:12" ht="14.25">
      <c r="B6" s="557" t="s">
        <v>401</v>
      </c>
      <c r="C6" s="556">
        <v>456843</v>
      </c>
    </row>
    <row r="7" spans="1:12" ht="14.25">
      <c r="C7" s="558">
        <f>+C5+C6</f>
        <v>2250000</v>
      </c>
    </row>
    <row r="8" spans="1:12" ht="14.25">
      <c r="C8" s="559"/>
    </row>
    <row r="9" spans="1:12" ht="14.25">
      <c r="C9" s="559"/>
    </row>
    <row r="11" spans="1:12">
      <c r="A11" s="560" t="str">
        <f>+'[1]K-8 STEM ACADEMY '!A12</f>
        <v>Expenditures as of 01/30/15</v>
      </c>
    </row>
    <row r="12" spans="1:12">
      <c r="C12" s="561" t="s">
        <v>43</v>
      </c>
      <c r="D12" s="562"/>
      <c r="E12" s="563"/>
      <c r="F12" s="564" t="s">
        <v>366</v>
      </c>
      <c r="G12" s="565"/>
      <c r="H12" s="568"/>
    </row>
    <row r="13" spans="1:12" ht="28.5">
      <c r="A13" s="572" t="s">
        <v>370</v>
      </c>
      <c r="B13" s="573" t="s">
        <v>371</v>
      </c>
      <c r="C13" s="574" t="s">
        <v>372</v>
      </c>
      <c r="D13" s="575" t="s">
        <v>373</v>
      </c>
      <c r="E13" s="576" t="s">
        <v>402</v>
      </c>
      <c r="F13" s="577" t="s">
        <v>403</v>
      </c>
      <c r="G13" s="577" t="s">
        <v>373</v>
      </c>
      <c r="H13" s="577" t="s">
        <v>352</v>
      </c>
      <c r="I13" s="580" t="s">
        <v>404</v>
      </c>
      <c r="J13" s="581" t="s">
        <v>376</v>
      </c>
      <c r="K13" s="572" t="s">
        <v>377</v>
      </c>
      <c r="L13" s="572" t="s">
        <v>378</v>
      </c>
    </row>
    <row r="14" spans="1:12" ht="14.25">
      <c r="A14" s="582"/>
      <c r="B14" s="583"/>
      <c r="C14" s="584"/>
      <c r="D14" s="585"/>
      <c r="E14" s="584"/>
      <c r="F14" s="582"/>
      <c r="G14" s="582"/>
      <c r="H14" s="582"/>
      <c r="I14" s="582"/>
      <c r="J14" s="584"/>
      <c r="K14" s="582"/>
      <c r="L14" s="582"/>
    </row>
    <row r="15" spans="1:12" ht="14.25">
      <c r="A15" s="586" t="s">
        <v>405</v>
      </c>
      <c r="B15" s="582" t="s">
        <v>380</v>
      </c>
      <c r="C15" s="584">
        <v>100000</v>
      </c>
      <c r="D15" s="585">
        <v>0</v>
      </c>
      <c r="E15" s="584">
        <f>+C15+D15</f>
        <v>100000</v>
      </c>
      <c r="F15" s="600">
        <v>80239</v>
      </c>
      <c r="G15" s="600">
        <v>0</v>
      </c>
      <c r="H15" s="600">
        <f t="shared" ref="H15:H20" si="0">SUM(F15:G15)</f>
        <v>80239</v>
      </c>
      <c r="I15" s="600"/>
      <c r="J15" s="584">
        <f t="shared" ref="J15:J20" si="1">E15-H15-I15</f>
        <v>19761</v>
      </c>
      <c r="K15" s="588">
        <f>H15/E15</f>
        <v>0.80239000000000005</v>
      </c>
      <c r="L15" s="582"/>
    </row>
    <row r="16" spans="1:12" ht="14.25">
      <c r="A16" s="586" t="s">
        <v>406</v>
      </c>
      <c r="B16" s="582" t="s">
        <v>382</v>
      </c>
      <c r="C16" s="584">
        <v>20000</v>
      </c>
      <c r="D16" s="585">
        <v>10000</v>
      </c>
      <c r="E16" s="584">
        <f t="shared" ref="E16:E20" si="2">+C16+D16</f>
        <v>30000</v>
      </c>
      <c r="F16" s="600">
        <v>7078.25</v>
      </c>
      <c r="G16" s="600">
        <v>0</v>
      </c>
      <c r="H16" s="600">
        <f t="shared" si="0"/>
        <v>7078.25</v>
      </c>
      <c r="I16" s="600"/>
      <c r="J16" s="584">
        <f t="shared" si="1"/>
        <v>22921.75</v>
      </c>
      <c r="K16" s="588">
        <f t="shared" ref="K16:K20" si="3">H16/E16</f>
        <v>0.23594166666666666</v>
      </c>
      <c r="L16" s="582"/>
    </row>
    <row r="17" spans="1:12" ht="14.25">
      <c r="A17" s="586" t="s">
        <v>407</v>
      </c>
      <c r="B17" s="582" t="s">
        <v>408</v>
      </c>
      <c r="C17" s="589">
        <v>73157</v>
      </c>
      <c r="D17" s="584">
        <v>96843</v>
      </c>
      <c r="E17" s="584">
        <f t="shared" si="2"/>
        <v>170000</v>
      </c>
      <c r="F17" s="600">
        <v>58000</v>
      </c>
      <c r="G17" s="600">
        <v>0</v>
      </c>
      <c r="H17" s="600">
        <f t="shared" si="0"/>
        <v>58000</v>
      </c>
      <c r="I17" s="600"/>
      <c r="J17" s="584">
        <f t="shared" si="1"/>
        <v>112000</v>
      </c>
      <c r="K17" s="588">
        <f t="shared" si="3"/>
        <v>0.3411764705882353</v>
      </c>
      <c r="L17" s="582"/>
    </row>
    <row r="18" spans="1:12" ht="14.25">
      <c r="A18" s="586" t="s">
        <v>409</v>
      </c>
      <c r="B18" s="582" t="s">
        <v>410</v>
      </c>
      <c r="C18" s="584">
        <v>0</v>
      </c>
      <c r="D18" s="585">
        <v>140000</v>
      </c>
      <c r="E18" s="584">
        <f t="shared" si="2"/>
        <v>140000</v>
      </c>
      <c r="F18" s="600">
        <v>0</v>
      </c>
      <c r="G18" s="600">
        <v>0</v>
      </c>
      <c r="H18" s="600">
        <f t="shared" si="0"/>
        <v>0</v>
      </c>
      <c r="I18" s="600"/>
      <c r="J18" s="584">
        <f t="shared" si="1"/>
        <v>140000</v>
      </c>
      <c r="K18" s="588">
        <f t="shared" si="3"/>
        <v>0</v>
      </c>
      <c r="L18" s="582"/>
    </row>
    <row r="19" spans="1:12" ht="14.25">
      <c r="A19" s="586" t="s">
        <v>411</v>
      </c>
      <c r="B19" s="590" t="s">
        <v>388</v>
      </c>
      <c r="C19" s="584">
        <v>1600000</v>
      </c>
      <c r="D19" s="601">
        <v>60000</v>
      </c>
      <c r="E19" s="584">
        <f t="shared" si="2"/>
        <v>1660000</v>
      </c>
      <c r="F19" s="600">
        <v>0</v>
      </c>
      <c r="G19" s="600">
        <v>0</v>
      </c>
      <c r="H19" s="600">
        <f t="shared" si="0"/>
        <v>0</v>
      </c>
      <c r="I19" s="600"/>
      <c r="J19" s="584">
        <f t="shared" si="1"/>
        <v>1660000</v>
      </c>
      <c r="K19" s="588">
        <f t="shared" si="3"/>
        <v>0</v>
      </c>
      <c r="L19" s="582"/>
    </row>
    <row r="20" spans="1:12" ht="14.25">
      <c r="A20" s="586" t="s">
        <v>412</v>
      </c>
      <c r="B20" s="582" t="s">
        <v>413</v>
      </c>
      <c r="C20" s="584">
        <v>0</v>
      </c>
      <c r="D20" s="585">
        <v>150000</v>
      </c>
      <c r="E20" s="584">
        <f t="shared" si="2"/>
        <v>150000</v>
      </c>
      <c r="F20" s="600">
        <v>0</v>
      </c>
      <c r="G20" s="600">
        <v>0</v>
      </c>
      <c r="H20" s="600">
        <f t="shared" si="0"/>
        <v>0</v>
      </c>
      <c r="I20" s="600"/>
      <c r="J20" s="584">
        <f t="shared" si="1"/>
        <v>150000</v>
      </c>
      <c r="K20" s="588">
        <f t="shared" si="3"/>
        <v>0</v>
      </c>
      <c r="L20" s="582"/>
    </row>
    <row r="21" spans="1:12" ht="15">
      <c r="A21" s="592"/>
      <c r="B21" s="582"/>
      <c r="C21" s="584"/>
      <c r="D21" s="585"/>
      <c r="E21" s="584"/>
      <c r="F21" s="602"/>
      <c r="G21" s="602"/>
      <c r="H21" s="602"/>
      <c r="I21" s="600"/>
      <c r="J21" s="584"/>
      <c r="K21" s="582"/>
      <c r="L21" s="582"/>
    </row>
    <row r="22" spans="1:12" ht="14.25">
      <c r="A22" s="594"/>
      <c r="B22" s="594" t="s">
        <v>399</v>
      </c>
      <c r="C22" s="595">
        <f>SUM(C15:C21)</f>
        <v>1793157</v>
      </c>
      <c r="D22" s="595">
        <f>SUM(D15:D21)</f>
        <v>456843</v>
      </c>
      <c r="E22" s="595">
        <f t="shared" ref="E22:I22" si="4">SUM(E14:E20)</f>
        <v>2250000</v>
      </c>
      <c r="F22" s="596">
        <f t="shared" si="4"/>
        <v>145317.25</v>
      </c>
      <c r="G22" s="596">
        <f t="shared" si="4"/>
        <v>0</v>
      </c>
      <c r="H22" s="596">
        <f t="shared" si="4"/>
        <v>145317.25</v>
      </c>
      <c r="I22" s="603">
        <f t="shared" si="4"/>
        <v>0</v>
      </c>
      <c r="J22" s="598">
        <f>SUM(J14:J21)</f>
        <v>2104682.75</v>
      </c>
      <c r="K22" s="599">
        <f>+H22/E22</f>
        <v>6.4585444444444445E-2</v>
      </c>
      <c r="L22" s="594"/>
    </row>
    <row r="27" spans="1:12" ht="23.25">
      <c r="B27" s="552"/>
      <c r="C27" s="553"/>
      <c r="D27" s="553"/>
      <c r="E27" s="553"/>
    </row>
    <row r="31" spans="1:12">
      <c r="I31" s="555" t="s">
        <v>314</v>
      </c>
    </row>
  </sheetData>
  <pageMargins left="0.25" right="0.25" top="0.75" bottom="0.75" header="0.3" footer="0.3"/>
  <pageSetup scale="76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H32"/>
  <sheetViews>
    <sheetView view="pageLayout" topLeftCell="A10" workbookViewId="0">
      <selection activeCell="E16" sqref="E16"/>
    </sheetView>
  </sheetViews>
  <sheetFormatPr defaultColWidth="9.140625" defaultRowHeight="12.75"/>
  <cols>
    <col min="1" max="1" width="29.7109375" style="555" customWidth="1"/>
    <col min="2" max="2" width="25.7109375" style="555" customWidth="1"/>
    <col min="3" max="3" width="18.140625" style="555" bestFit="1" customWidth="1"/>
    <col min="4" max="4" width="16.42578125" style="555" customWidth="1"/>
    <col min="5" max="5" width="14.5703125" style="555" customWidth="1"/>
    <col min="6" max="6" width="16.5703125" style="555" customWidth="1"/>
    <col min="7" max="7" width="16.140625" style="555" customWidth="1"/>
    <col min="8" max="8" width="12.42578125" style="555" hidden="1" customWidth="1"/>
    <col min="9" max="16384" width="9.140625" style="555"/>
  </cols>
  <sheetData>
    <row r="1" spans="1:8" ht="26.25">
      <c r="A1" s="551" t="s">
        <v>414</v>
      </c>
      <c r="B1" s="552"/>
    </row>
    <row r="3" spans="1:8">
      <c r="A3" s="555" t="s">
        <v>361</v>
      </c>
    </row>
    <row r="5" spans="1:8" ht="14.25">
      <c r="D5" s="556">
        <v>4700000</v>
      </c>
      <c r="E5" s="557" t="s">
        <v>415</v>
      </c>
    </row>
    <row r="6" spans="1:8" ht="14.25">
      <c r="D6" s="556">
        <v>-1043325</v>
      </c>
      <c r="E6" s="555" t="s">
        <v>416</v>
      </c>
    </row>
    <row r="7" spans="1:8" ht="14.25">
      <c r="D7" s="558">
        <f>D5+D6</f>
        <v>3656675</v>
      </c>
    </row>
    <row r="9" spans="1:8">
      <c r="A9" s="560" t="str">
        <f>+'[1]K-8 STEM ACADEMY '!A12</f>
        <v>Expenditures as of 01/30/15</v>
      </c>
    </row>
    <row r="11" spans="1:8" ht="42.75">
      <c r="A11" s="572" t="s">
        <v>370</v>
      </c>
      <c r="B11" s="573" t="s">
        <v>371</v>
      </c>
      <c r="C11" s="572" t="s">
        <v>417</v>
      </c>
      <c r="D11" s="572" t="s">
        <v>418</v>
      </c>
      <c r="E11" s="572" t="s">
        <v>404</v>
      </c>
      <c r="F11" s="572" t="s">
        <v>376</v>
      </c>
      <c r="G11" s="572" t="s">
        <v>377</v>
      </c>
      <c r="H11" s="572" t="s">
        <v>378</v>
      </c>
    </row>
    <row r="12" spans="1:8" ht="14.25">
      <c r="A12" s="582"/>
      <c r="B12" s="583"/>
      <c r="C12" s="604"/>
      <c r="D12" s="582"/>
      <c r="E12" s="582"/>
      <c r="F12" s="582"/>
      <c r="G12" s="582"/>
      <c r="H12" s="582"/>
    </row>
    <row r="13" spans="1:8" ht="14.25">
      <c r="A13" s="586" t="s">
        <v>419</v>
      </c>
      <c r="B13" s="582" t="s">
        <v>380</v>
      </c>
      <c r="C13" s="584">
        <v>212228</v>
      </c>
      <c r="D13" s="584">
        <v>212228</v>
      </c>
      <c r="E13" s="584"/>
      <c r="F13" s="584">
        <f>+C13-D13-E13</f>
        <v>0</v>
      </c>
      <c r="G13" s="588">
        <f>+D13/C13</f>
        <v>1</v>
      </c>
      <c r="H13" s="582"/>
    </row>
    <row r="14" spans="1:8" ht="14.25">
      <c r="A14" s="586" t="s">
        <v>420</v>
      </c>
      <c r="B14" s="582" t="s">
        <v>382</v>
      </c>
      <c r="C14" s="584">
        <v>216972</v>
      </c>
      <c r="D14" s="584">
        <v>136117.26999999999</v>
      </c>
      <c r="E14" s="584"/>
      <c r="F14" s="584">
        <f t="shared" ref="F14:F16" si="0">+C14-D14-E14</f>
        <v>80854.73000000001</v>
      </c>
      <c r="G14" s="588">
        <f t="shared" ref="G14:G15" si="1">+D14/C14</f>
        <v>0.62734947366480465</v>
      </c>
      <c r="H14" s="582"/>
    </row>
    <row r="15" spans="1:8" ht="14.25">
      <c r="A15" s="586" t="s">
        <v>421</v>
      </c>
      <c r="B15" s="582" t="s">
        <v>422</v>
      </c>
      <c r="C15" s="584">
        <v>700000</v>
      </c>
      <c r="D15" s="584">
        <v>672955.75</v>
      </c>
      <c r="E15" s="584"/>
      <c r="F15" s="584">
        <f>+C15-D15-E15</f>
        <v>27044.25</v>
      </c>
      <c r="G15" s="588">
        <f t="shared" si="1"/>
        <v>0.96136535714285709</v>
      </c>
      <c r="H15" s="582"/>
    </row>
    <row r="16" spans="1:8" ht="14.25">
      <c r="A16" s="586" t="s">
        <v>423</v>
      </c>
      <c r="B16" s="590" t="s">
        <v>388</v>
      </c>
      <c r="C16" s="584">
        <v>2527475</v>
      </c>
      <c r="D16" s="584">
        <f>2399869.12+87605.88</f>
        <v>2487475</v>
      </c>
      <c r="E16" s="584">
        <f>38703+1297</f>
        <v>40000</v>
      </c>
      <c r="F16" s="584">
        <f t="shared" si="0"/>
        <v>0</v>
      </c>
      <c r="G16" s="588">
        <f>+D16/C16</f>
        <v>0.98417392852550467</v>
      </c>
      <c r="H16" s="582"/>
    </row>
    <row r="17" spans="1:8" ht="14.25">
      <c r="A17" s="586"/>
      <c r="B17" s="582"/>
      <c r="C17" s="584"/>
      <c r="D17" s="584"/>
      <c r="E17" s="584"/>
      <c r="F17" s="584"/>
      <c r="G17" s="588"/>
      <c r="H17" s="582"/>
    </row>
    <row r="18" spans="1:8" ht="14.25">
      <c r="A18" s="586"/>
      <c r="B18" s="582"/>
      <c r="C18" s="584"/>
      <c r="D18" s="584"/>
      <c r="E18" s="584"/>
      <c r="F18" s="584"/>
      <c r="G18" s="588"/>
      <c r="H18" s="582"/>
    </row>
    <row r="19" spans="1:8" ht="14.25">
      <c r="A19" s="586"/>
      <c r="B19" s="582"/>
      <c r="C19" s="584"/>
      <c r="D19" s="584"/>
      <c r="E19" s="584"/>
      <c r="F19" s="584"/>
      <c r="G19" s="588"/>
      <c r="H19" s="582"/>
    </row>
    <row r="20" spans="1:8" ht="14.25">
      <c r="A20" s="586"/>
      <c r="B20" s="582"/>
      <c r="C20" s="584"/>
      <c r="D20" s="584"/>
      <c r="E20" s="584"/>
      <c r="F20" s="584"/>
      <c r="G20" s="588"/>
      <c r="H20" s="582"/>
    </row>
    <row r="21" spans="1:8" ht="14.25">
      <c r="A21" s="592"/>
      <c r="B21" s="582"/>
      <c r="C21" s="584"/>
      <c r="D21" s="584"/>
      <c r="E21" s="584"/>
      <c r="F21" s="584"/>
      <c r="G21" s="582"/>
      <c r="H21" s="582"/>
    </row>
    <row r="22" spans="1:8" ht="15">
      <c r="A22" s="592"/>
      <c r="B22" s="582"/>
      <c r="C22" s="584"/>
      <c r="D22" s="605"/>
      <c r="E22" s="584"/>
      <c r="F22" s="584"/>
      <c r="G22" s="582"/>
      <c r="H22" s="582"/>
    </row>
    <row r="23" spans="1:8" ht="14.25">
      <c r="A23" s="594"/>
      <c r="B23" s="594" t="s">
        <v>399</v>
      </c>
      <c r="C23" s="598">
        <f>SUM(C12:C22)</f>
        <v>3656675</v>
      </c>
      <c r="D23" s="598">
        <f t="shared" ref="D23:F23" si="2">SUM(D12:D22)</f>
        <v>3508776.02</v>
      </c>
      <c r="E23" s="598">
        <f t="shared" si="2"/>
        <v>40000</v>
      </c>
      <c r="F23" s="598">
        <f t="shared" si="2"/>
        <v>107898.98000000001</v>
      </c>
      <c r="G23" s="599">
        <f>+D23/C23</f>
        <v>0.95955369837352245</v>
      </c>
      <c r="H23" s="594"/>
    </row>
    <row r="24" spans="1:8">
      <c r="C24" s="554"/>
      <c r="D24" s="554"/>
      <c r="E24" s="554"/>
      <c r="F24" s="554"/>
    </row>
    <row r="28" spans="1:8" ht="23.25">
      <c r="B28" s="552"/>
      <c r="C28" s="552"/>
    </row>
    <row r="32" spans="1:8">
      <c r="E32" s="555" t="s">
        <v>314</v>
      </c>
    </row>
  </sheetData>
  <pageMargins left="0.25" right="0.25" top="0.75" bottom="0.75" header="0.3" footer="0.3"/>
  <pageSetup scale="9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33"/>
  <sheetViews>
    <sheetView view="pageLayout" workbookViewId="0">
      <selection activeCell="H1" sqref="H1:H1048576"/>
    </sheetView>
  </sheetViews>
  <sheetFormatPr defaultColWidth="9.140625" defaultRowHeight="12.75"/>
  <cols>
    <col min="1" max="1" width="29.7109375" style="555" customWidth="1"/>
    <col min="2" max="2" width="25.7109375" style="555" customWidth="1"/>
    <col min="3" max="3" width="18.140625" style="555" bestFit="1" customWidth="1"/>
    <col min="4" max="4" width="16.42578125" style="555" customWidth="1"/>
    <col min="5" max="5" width="12.5703125" style="555" customWidth="1"/>
    <col min="6" max="6" width="16.5703125" style="555" customWidth="1"/>
    <col min="7" max="7" width="16.140625" style="555" customWidth="1"/>
    <col min="8" max="8" width="12.42578125" style="555" hidden="1" customWidth="1"/>
    <col min="9" max="16384" width="9.140625" style="555"/>
  </cols>
  <sheetData>
    <row r="1" spans="1:8" ht="26.25">
      <c r="A1" s="551" t="s">
        <v>424</v>
      </c>
      <c r="B1" s="552"/>
    </row>
    <row r="3" spans="1:8">
      <c r="A3" s="555" t="s">
        <v>361</v>
      </c>
      <c r="C3" s="554">
        <f>16024+26874+26874+543400+543400</f>
        <v>1156572</v>
      </c>
    </row>
    <row r="5" spans="1:8" ht="14.25">
      <c r="B5" s="606"/>
      <c r="C5" s="607"/>
    </row>
    <row r="6" spans="1:8" ht="14.25">
      <c r="B6" s="606"/>
      <c r="C6" s="556"/>
    </row>
    <row r="7" spans="1:8" ht="14.25">
      <c r="B7" s="606"/>
      <c r="C7" s="556"/>
    </row>
    <row r="8" spans="1:8" ht="14.25">
      <c r="B8" s="606"/>
      <c r="C8" s="607"/>
    </row>
    <row r="10" spans="1:8">
      <c r="A10" s="608" t="str">
        <f>+'[1]K-8 STEM ACADEMY '!A12</f>
        <v>Expenditures as of 01/30/15</v>
      </c>
    </row>
    <row r="12" spans="1:8" ht="42.75">
      <c r="A12" s="572" t="s">
        <v>370</v>
      </c>
      <c r="B12" s="573" t="s">
        <v>371</v>
      </c>
      <c r="C12" s="572" t="s">
        <v>417</v>
      </c>
      <c r="D12" s="572" t="s">
        <v>418</v>
      </c>
      <c r="E12" s="572" t="s">
        <v>404</v>
      </c>
      <c r="F12" s="572" t="s">
        <v>376</v>
      </c>
      <c r="G12" s="572" t="s">
        <v>377</v>
      </c>
      <c r="H12" s="572" t="s">
        <v>378</v>
      </c>
    </row>
    <row r="13" spans="1:8" ht="14.25">
      <c r="A13" s="582"/>
      <c r="B13" s="583"/>
      <c r="C13" s="604"/>
      <c r="D13" s="582"/>
      <c r="E13" s="582"/>
      <c r="F13" s="582"/>
      <c r="G13" s="582"/>
      <c r="H13" s="582"/>
    </row>
    <row r="14" spans="1:8" ht="14.25">
      <c r="A14" s="586" t="s">
        <v>425</v>
      </c>
      <c r="B14" s="582" t="s">
        <v>426</v>
      </c>
      <c r="C14" s="584">
        <v>16024</v>
      </c>
      <c r="D14" s="584">
        <v>15710</v>
      </c>
      <c r="E14" s="584"/>
      <c r="F14" s="584">
        <f>+C14-D14-E14</f>
        <v>314</v>
      </c>
      <c r="G14" s="588">
        <f>+D14/C14</f>
        <v>0.98040439340988517</v>
      </c>
      <c r="H14" s="582"/>
    </row>
    <row r="15" spans="1:8" ht="14.25">
      <c r="A15" s="586" t="s">
        <v>427</v>
      </c>
      <c r="B15" s="582" t="s">
        <v>428</v>
      </c>
      <c r="C15" s="584">
        <v>26874</v>
      </c>
      <c r="D15" s="584">
        <v>26347</v>
      </c>
      <c r="E15" s="584"/>
      <c r="F15" s="584">
        <f>+C15-D15-E15</f>
        <v>527</v>
      </c>
      <c r="G15" s="588">
        <f>+D15/C15</f>
        <v>0.98038996799880929</v>
      </c>
      <c r="H15" s="582"/>
    </row>
    <row r="16" spans="1:8" ht="14.25">
      <c r="A16" s="586" t="s">
        <v>429</v>
      </c>
      <c r="B16" s="590" t="s">
        <v>430</v>
      </c>
      <c r="C16" s="584">
        <v>26874</v>
      </c>
      <c r="D16" s="584">
        <v>26347</v>
      </c>
      <c r="E16" s="584"/>
      <c r="F16" s="584">
        <f t="shared" ref="F16:F18" si="0">+C16-D16-E16</f>
        <v>527</v>
      </c>
      <c r="G16" s="588">
        <f t="shared" ref="G16:G18" si="1">+D16/C16</f>
        <v>0.98038996799880929</v>
      </c>
      <c r="H16" s="582"/>
    </row>
    <row r="17" spans="1:8" ht="14.25">
      <c r="A17" s="586" t="s">
        <v>431</v>
      </c>
      <c r="B17" s="582" t="s">
        <v>432</v>
      </c>
      <c r="C17" s="584">
        <v>543400</v>
      </c>
      <c r="D17" s="584">
        <v>0</v>
      </c>
      <c r="E17" s="584"/>
      <c r="F17" s="584">
        <f t="shared" si="0"/>
        <v>543400</v>
      </c>
      <c r="G17" s="588">
        <f t="shared" si="1"/>
        <v>0</v>
      </c>
      <c r="H17" s="582"/>
    </row>
    <row r="18" spans="1:8" ht="14.25">
      <c r="A18" s="586" t="s">
        <v>433</v>
      </c>
      <c r="B18" s="582" t="s">
        <v>434</v>
      </c>
      <c r="C18" s="584">
        <v>543400</v>
      </c>
      <c r="D18" s="584">
        <v>506107.75</v>
      </c>
      <c r="E18" s="584"/>
      <c r="F18" s="584">
        <f t="shared" si="0"/>
        <v>37292.25</v>
      </c>
      <c r="G18" s="588">
        <f t="shared" si="1"/>
        <v>0.93137237762237757</v>
      </c>
      <c r="H18" s="582"/>
    </row>
    <row r="19" spans="1:8" ht="14.25">
      <c r="A19" s="586"/>
      <c r="B19" s="582"/>
      <c r="C19" s="584"/>
      <c r="D19" s="584"/>
      <c r="E19" s="584"/>
      <c r="F19" s="584"/>
      <c r="G19" s="588"/>
      <c r="H19" s="582"/>
    </row>
    <row r="20" spans="1:8" ht="14.25">
      <c r="A20" s="586"/>
      <c r="B20" s="582"/>
      <c r="C20" s="584"/>
      <c r="D20" s="584"/>
      <c r="E20" s="584"/>
      <c r="F20" s="584"/>
      <c r="G20" s="588"/>
      <c r="H20" s="582"/>
    </row>
    <row r="21" spans="1:8" ht="14.25">
      <c r="A21" s="586"/>
      <c r="B21" s="582"/>
      <c r="C21" s="584"/>
      <c r="D21" s="584"/>
      <c r="E21" s="584"/>
      <c r="F21" s="584"/>
      <c r="G21" s="588"/>
      <c r="H21" s="582"/>
    </row>
    <row r="22" spans="1:8" ht="14.25">
      <c r="A22" s="592"/>
      <c r="B22" s="582"/>
      <c r="C22" s="584"/>
      <c r="D22" s="584"/>
      <c r="E22" s="584"/>
      <c r="F22" s="584"/>
      <c r="G22" s="582"/>
      <c r="H22" s="582"/>
    </row>
    <row r="23" spans="1:8" ht="15">
      <c r="A23" s="592"/>
      <c r="B23" s="582"/>
      <c r="C23" s="584"/>
      <c r="D23" s="605"/>
      <c r="E23" s="584"/>
      <c r="F23" s="584"/>
      <c r="G23" s="582"/>
      <c r="H23" s="582"/>
    </row>
    <row r="24" spans="1:8" ht="14.25">
      <c r="A24" s="594"/>
      <c r="B24" s="594" t="s">
        <v>399</v>
      </c>
      <c r="C24" s="598">
        <f>SUM(C14:C23)</f>
        <v>1156572</v>
      </c>
      <c r="D24" s="598">
        <f t="shared" ref="D24:F24" si="2">SUM(D14:D23)</f>
        <v>574511.75</v>
      </c>
      <c r="E24" s="598">
        <f t="shared" si="2"/>
        <v>0</v>
      </c>
      <c r="F24" s="598">
        <f t="shared" si="2"/>
        <v>582060.25</v>
      </c>
      <c r="G24" s="599">
        <f>+D24/C24</f>
        <v>0.49673669257080405</v>
      </c>
      <c r="H24" s="594"/>
    </row>
    <row r="29" spans="1:8" ht="23.25">
      <c r="B29" s="552"/>
      <c r="C29" s="552"/>
    </row>
    <row r="33" spans="5:5">
      <c r="E33" s="555" t="s">
        <v>314</v>
      </c>
    </row>
  </sheetData>
  <pageMargins left="0.25" right="0.25" top="0.75" bottom="0.75" header="0.3" footer="0.3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4</vt:i4>
      </vt:variant>
    </vt:vector>
  </HeadingPairs>
  <TitlesOfParts>
    <vt:vector size="18" baseType="lpstr">
      <vt:lpstr>GF Budget Amds</vt:lpstr>
      <vt:lpstr>Fund Bal Comp</vt:lpstr>
      <vt:lpstr>Stat of Unaudited</vt:lpstr>
      <vt:lpstr>GO Cash Flow</vt:lpstr>
      <vt:lpstr>Debt Srv Cash Flow</vt:lpstr>
      <vt:lpstr>Bank Rec</vt:lpstr>
      <vt:lpstr>General Fund Inv</vt:lpstr>
      <vt:lpstr>Debt Srv Fund Inv</vt:lpstr>
      <vt:lpstr>Rev Exp all fds</vt:lpstr>
      <vt:lpstr>tax coll rep</vt:lpstr>
      <vt:lpstr>K-8 STEM ACADEMY </vt:lpstr>
      <vt:lpstr>BUS BARN</vt:lpstr>
      <vt:lpstr>LMS RENOVATION 2014</vt:lpstr>
      <vt:lpstr>ROOFS</vt:lpstr>
      <vt:lpstr>'Rev Exp all fds'!Print_Area</vt:lpstr>
      <vt:lpstr>'Stat of Unaudited'!Print_Area</vt:lpstr>
      <vt:lpstr>'tax coll rep'!Print_Area</vt:lpstr>
      <vt:lpstr>Print_Area</vt:lpstr>
    </vt:vector>
  </TitlesOfParts>
  <Company>Little Elm ISD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lengle</dc:creator>
  <cp:lastModifiedBy>Miller, Renee</cp:lastModifiedBy>
  <cp:lastPrinted>2015-02-04T17:19:18Z</cp:lastPrinted>
  <dcterms:created xsi:type="dcterms:W3CDTF">2011-10-25T18:13:49Z</dcterms:created>
  <dcterms:modified xsi:type="dcterms:W3CDTF">2015-05-29T19:44:32Z</dcterms:modified>
</cp:coreProperties>
</file>