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1295" windowHeight="8070"/>
  </bookViews>
  <sheets>
    <sheet name="GF Budget Amds" sheetId="4" r:id="rId1"/>
    <sheet name="Fund Bal Comp" sheetId="6" r:id="rId2"/>
    <sheet name="Stat of Unaudited" sheetId="7" r:id="rId3"/>
    <sheet name="GO Cash Flow" sheetId="8" r:id="rId4"/>
    <sheet name="Debt Srv Cash Flow" sheetId="9" r:id="rId5"/>
    <sheet name="Bank Rec" sheetId="10" r:id="rId6"/>
    <sheet name="General Fund Inv" sheetId="11" r:id="rId7"/>
    <sheet name="Debt Srv Fund Inv" sheetId="12" r:id="rId8"/>
    <sheet name="Rev Exp all fds" sheetId="13" r:id="rId9"/>
    <sheet name="tax coll rep" sheetId="14" r:id="rId10"/>
    <sheet name="POs over 25000" sheetId="1" r:id="rId11"/>
    <sheet name="K-8 STEM ACADEMY " sheetId="15" r:id="rId12"/>
    <sheet name="BUS BARN" sheetId="16" r:id="rId13"/>
    <sheet name="LMS RENOVATION 2014" sheetId="17" r:id="rId14"/>
    <sheet name="ZELLARS" sheetId="18" r:id="rId15"/>
    <sheet name="ROOFS" sheetId="19" r:id="rId16"/>
    <sheet name="HVAC" sheetId="20" r:id="rId17"/>
  </sheets>
  <externalReferences>
    <externalReference r:id="rId18"/>
    <externalReference r:id="rId19"/>
  </externalReferences>
  <definedNames>
    <definedName name="_xlnm.Print_Area" localSheetId="12">#REF!</definedName>
    <definedName name="_xlnm.Print_Area" localSheetId="16">#REF!</definedName>
    <definedName name="_xlnm.Print_Area" localSheetId="11">#REF!</definedName>
    <definedName name="_xlnm.Print_Area" localSheetId="13">#REF!</definedName>
    <definedName name="_xlnm.Print_Area" localSheetId="8">'Rev Exp all fds'!$A$1:$BD$35</definedName>
    <definedName name="_xlnm.Print_Area" localSheetId="15">#REF!</definedName>
    <definedName name="_xlnm.Print_Area" localSheetId="2">'Stat of Unaudited'!$A$1:$I$62</definedName>
    <definedName name="_xlnm.Print_Area" localSheetId="9">'tax coll rep'!$A$1:$AC$66</definedName>
    <definedName name="_xlnm.Print_Area" localSheetId="14">#REF!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E24" i="20" l="1"/>
  <c r="D24" i="20"/>
  <c r="G24" i="20" s="1"/>
  <c r="C24" i="20"/>
  <c r="G14" i="20"/>
  <c r="F14" i="20"/>
  <c r="F24" i="20" s="1"/>
  <c r="A10" i="20"/>
  <c r="E24" i="19"/>
  <c r="D24" i="19"/>
  <c r="G24" i="19" s="1"/>
  <c r="C24" i="19"/>
  <c r="G18" i="19"/>
  <c r="F18" i="19"/>
  <c r="G17" i="19"/>
  <c r="F17" i="19"/>
  <c r="G16" i="19"/>
  <c r="F16" i="19"/>
  <c r="G15" i="19"/>
  <c r="F15" i="19"/>
  <c r="G14" i="19"/>
  <c r="F14" i="19"/>
  <c r="F24" i="19" s="1"/>
  <c r="A10" i="19"/>
  <c r="C3" i="19"/>
  <c r="E24" i="18"/>
  <c r="D24" i="18"/>
  <c r="G24" i="18" s="1"/>
  <c r="C24" i="18"/>
  <c r="G15" i="18"/>
  <c r="F15" i="18"/>
  <c r="G14" i="18"/>
  <c r="F14" i="18"/>
  <c r="F24" i="18" s="1"/>
  <c r="C14" i="18"/>
  <c r="A10" i="18"/>
  <c r="C8" i="18"/>
  <c r="E23" i="17"/>
  <c r="C23" i="17"/>
  <c r="D16" i="17"/>
  <c r="F16" i="17" s="1"/>
  <c r="G15" i="17"/>
  <c r="F15" i="17"/>
  <c r="G14" i="17"/>
  <c r="F14" i="17"/>
  <c r="G13" i="17"/>
  <c r="F13" i="17"/>
  <c r="F23" i="17" s="1"/>
  <c r="A9" i="17"/>
  <c r="D7" i="17"/>
  <c r="I22" i="16"/>
  <c r="G22" i="16"/>
  <c r="F22" i="16"/>
  <c r="D22" i="16"/>
  <c r="C22" i="16"/>
  <c r="H20" i="16"/>
  <c r="K20" i="16" s="1"/>
  <c r="E20" i="16"/>
  <c r="J20" i="16" s="1"/>
  <c r="H19" i="16"/>
  <c r="K19" i="16" s="1"/>
  <c r="E19" i="16"/>
  <c r="J19" i="16" s="1"/>
  <c r="H18" i="16"/>
  <c r="K18" i="16" s="1"/>
  <c r="E18" i="16"/>
  <c r="J18" i="16" s="1"/>
  <c r="H17" i="16"/>
  <c r="K17" i="16" s="1"/>
  <c r="E17" i="16"/>
  <c r="J17" i="16" s="1"/>
  <c r="H16" i="16"/>
  <c r="K16" i="16" s="1"/>
  <c r="E16" i="16"/>
  <c r="J16" i="16" s="1"/>
  <c r="H15" i="16"/>
  <c r="K15" i="16" s="1"/>
  <c r="E15" i="16"/>
  <c r="E22" i="16" s="1"/>
  <c r="A11" i="16"/>
  <c r="C7" i="16"/>
  <c r="J29" i="15"/>
  <c r="H29" i="15"/>
  <c r="F29" i="15"/>
  <c r="D29" i="15"/>
  <c r="I27" i="15"/>
  <c r="L27" i="15" s="1"/>
  <c r="E27" i="15"/>
  <c r="K27" i="15" s="1"/>
  <c r="I26" i="15"/>
  <c r="L26" i="15" s="1"/>
  <c r="E26" i="15"/>
  <c r="K26" i="15" s="1"/>
  <c r="I25" i="15"/>
  <c r="K25" i="15" s="1"/>
  <c r="I24" i="15"/>
  <c r="L24" i="15" s="1"/>
  <c r="E24" i="15"/>
  <c r="K24" i="15" s="1"/>
  <c r="I23" i="15"/>
  <c r="L23" i="15" s="1"/>
  <c r="E23" i="15"/>
  <c r="K23" i="15" s="1"/>
  <c r="C23" i="15"/>
  <c r="I22" i="15"/>
  <c r="L22" i="15" s="1"/>
  <c r="E22" i="15"/>
  <c r="K22" i="15" s="1"/>
  <c r="I21" i="15"/>
  <c r="G21" i="15"/>
  <c r="C21" i="15"/>
  <c r="C29" i="15" s="1"/>
  <c r="L20" i="15"/>
  <c r="K20" i="15"/>
  <c r="I20" i="15"/>
  <c r="E20" i="15"/>
  <c r="L19" i="15"/>
  <c r="K19" i="15"/>
  <c r="I19" i="15"/>
  <c r="E19" i="15"/>
  <c r="G18" i="15"/>
  <c r="G29" i="15" s="1"/>
  <c r="E18" i="15"/>
  <c r="I17" i="15"/>
  <c r="E17" i="15"/>
  <c r="C8" i="15"/>
  <c r="C6" i="15"/>
  <c r="G16" i="17" l="1"/>
  <c r="D23" i="17"/>
  <c r="G23" i="17" s="1"/>
  <c r="H22" i="16"/>
  <c r="K22" i="16" s="1"/>
  <c r="J15" i="16"/>
  <c r="J22" i="16" s="1"/>
  <c r="L21" i="15"/>
  <c r="K17" i="15"/>
  <c r="I18" i="15"/>
  <c r="L18" i="15" s="1"/>
  <c r="E21" i="15"/>
  <c r="K21" i="15" s="1"/>
  <c r="L25" i="15"/>
  <c r="L17" i="15"/>
  <c r="K18" i="15" l="1"/>
  <c r="K29" i="15" s="1"/>
  <c r="I29" i="15"/>
  <c r="L29" i="15" s="1"/>
  <c r="E29" i="15"/>
  <c r="E32" i="15" s="1"/>
  <c r="N61" i="14" l="1"/>
  <c r="N59" i="14"/>
  <c r="F53" i="14"/>
  <c r="D53" i="14"/>
  <c r="F52" i="14"/>
  <c r="D52" i="14"/>
  <c r="Q51" i="14"/>
  <c r="F51" i="14"/>
  <c r="D51" i="14"/>
  <c r="F49" i="14"/>
  <c r="D49" i="14"/>
  <c r="AA48" i="14"/>
  <c r="Q48" i="14"/>
  <c r="F48" i="14"/>
  <c r="D48" i="14"/>
  <c r="D55" i="14" s="1"/>
  <c r="D47" i="14"/>
  <c r="AA46" i="14"/>
  <c r="Q46" i="14"/>
  <c r="AA44" i="14"/>
  <c r="AA51" i="14" s="1"/>
  <c r="Y44" i="14"/>
  <c r="Y51" i="14" s="1"/>
  <c r="Q41" i="14"/>
  <c r="D41" i="14"/>
  <c r="N38" i="14"/>
  <c r="F36" i="14"/>
  <c r="D36" i="14"/>
  <c r="F35" i="14"/>
  <c r="N35" i="14" s="1"/>
  <c r="D35" i="14"/>
  <c r="F33" i="14"/>
  <c r="F32" i="14"/>
  <c r="F41" i="14" s="1"/>
  <c r="Y29" i="14"/>
  <c r="Q27" i="14"/>
  <c r="R27" i="14" s="1"/>
  <c r="AA26" i="14"/>
  <c r="N25" i="14"/>
  <c r="N51" i="14" s="1"/>
  <c r="AA24" i="14"/>
  <c r="AA29" i="14" s="1"/>
  <c r="F23" i="14"/>
  <c r="D23" i="14"/>
  <c r="F22" i="14"/>
  <c r="N22" i="14" s="1"/>
  <c r="N48" i="14" s="1"/>
  <c r="D22" i="14"/>
  <c r="D50" i="14" s="1"/>
  <c r="F20" i="14"/>
  <c r="R19" i="14"/>
  <c r="F19" i="14"/>
  <c r="F47" i="14" s="1"/>
  <c r="AU24" i="13"/>
  <c r="AR24" i="13"/>
  <c r="AQ24" i="13"/>
  <c r="AK24" i="13"/>
  <c r="AH24" i="13"/>
  <c r="AE24" i="13"/>
  <c r="AC24" i="13"/>
  <c r="Z24" i="13"/>
  <c r="T24" i="13"/>
  <c r="L24" i="13"/>
  <c r="F24" i="13"/>
  <c r="AW21" i="13"/>
  <c r="AU21" i="13"/>
  <c r="AR21" i="13"/>
  <c r="AT21" i="13" s="1"/>
  <c r="AK21" i="13"/>
  <c r="AM21" i="13" s="1"/>
  <c r="AJ21" i="13"/>
  <c r="AH21" i="13"/>
  <c r="AE21" i="13"/>
  <c r="Z21" i="13"/>
  <c r="T21" i="13"/>
  <c r="V21" i="13" s="1"/>
  <c r="L21" i="13"/>
  <c r="N21" i="13" s="1"/>
  <c r="F21" i="13"/>
  <c r="H21" i="13" s="1"/>
  <c r="AY19" i="13"/>
  <c r="AY24" i="13" s="1"/>
  <c r="AW19" i="13"/>
  <c r="AT19" i="13"/>
  <c r="AQ19" i="13"/>
  <c r="AN19" i="13"/>
  <c r="AN24" i="13" s="1"/>
  <c r="AM19" i="13"/>
  <c r="AJ19" i="13"/>
  <c r="AG19" i="13"/>
  <c r="AC19" i="13"/>
  <c r="AB19" i="13"/>
  <c r="W19" i="13"/>
  <c r="W21" i="13" s="1"/>
  <c r="Y21" i="13" s="1"/>
  <c r="V19" i="13"/>
  <c r="T19" i="13"/>
  <c r="Q19" i="13"/>
  <c r="Q24" i="13" s="1"/>
  <c r="O19" i="13"/>
  <c r="N19" i="13"/>
  <c r="I19" i="13"/>
  <c r="I21" i="13" s="1"/>
  <c r="K21" i="13" s="1"/>
  <c r="H19" i="13"/>
  <c r="F19" i="13"/>
  <c r="C19" i="13"/>
  <c r="C24" i="13" s="1"/>
  <c r="BA14" i="13"/>
  <c r="AY14" i="13"/>
  <c r="AU14" i="13"/>
  <c r="AW14" i="13" s="1"/>
  <c r="AT14" i="13"/>
  <c r="AP14" i="13"/>
  <c r="AN14" i="13"/>
  <c r="AK14" i="13"/>
  <c r="AM14" i="13" s="1"/>
  <c r="AJ14" i="13"/>
  <c r="AH14" i="13"/>
  <c r="AE14" i="13"/>
  <c r="Z14" i="13"/>
  <c r="Y14" i="13"/>
  <c r="W14" i="13"/>
  <c r="T14" i="13"/>
  <c r="V14" i="13" s="1"/>
  <c r="S14" i="13"/>
  <c r="Q14" i="13"/>
  <c r="L14" i="13"/>
  <c r="N14" i="13" s="1"/>
  <c r="K14" i="13"/>
  <c r="I14" i="13"/>
  <c r="F14" i="13"/>
  <c r="H14" i="13" s="1"/>
  <c r="BA12" i="13"/>
  <c r="AW12" i="13"/>
  <c r="AT12" i="13"/>
  <c r="AP12" i="13"/>
  <c r="AM12" i="13"/>
  <c r="AJ12" i="13"/>
  <c r="AG12" i="13"/>
  <c r="AB12" i="13"/>
  <c r="Y12" i="13"/>
  <c r="V12" i="13"/>
  <c r="S12" i="13"/>
  <c r="N12" i="13"/>
  <c r="K12" i="13"/>
  <c r="H12" i="13"/>
  <c r="E12" i="13"/>
  <c r="C10" i="13"/>
  <c r="C14" i="13" s="1"/>
  <c r="E14" i="13" s="1"/>
  <c r="AQ3" i="13"/>
  <c r="AC3" i="13"/>
  <c r="O3" i="13"/>
  <c r="AQ2" i="13"/>
  <c r="AC2" i="13"/>
  <c r="O2" i="13"/>
  <c r="E16" i="12"/>
  <c r="L14" i="12"/>
  <c r="L16" i="12" s="1"/>
  <c r="M13" i="12"/>
  <c r="M16" i="12" s="1"/>
  <c r="I13" i="12"/>
  <c r="I14" i="12" s="1"/>
  <c r="I16" i="12" s="1"/>
  <c r="I12" i="12"/>
  <c r="I11" i="12"/>
  <c r="M46" i="11"/>
  <c r="E46" i="11"/>
  <c r="L44" i="11"/>
  <c r="L46" i="11" s="1"/>
  <c r="A44" i="11"/>
  <c r="M43" i="11"/>
  <c r="I41" i="11"/>
  <c r="I42" i="11" s="1"/>
  <c r="I43" i="11" s="1"/>
  <c r="I44" i="11" s="1"/>
  <c r="I46" i="11" s="1"/>
  <c r="A41" i="11"/>
  <c r="M31" i="11"/>
  <c r="E31" i="11"/>
  <c r="L29" i="11"/>
  <c r="L31" i="11" s="1"/>
  <c r="A29" i="11"/>
  <c r="M28" i="11"/>
  <c r="I26" i="11"/>
  <c r="I27" i="11" s="1"/>
  <c r="I28" i="11" s="1"/>
  <c r="I29" i="11" s="1"/>
  <c r="I31" i="11" s="1"/>
  <c r="A26" i="11"/>
  <c r="M16" i="11"/>
  <c r="E16" i="11"/>
  <c r="L14" i="11"/>
  <c r="L16" i="11" s="1"/>
  <c r="M13" i="11"/>
  <c r="I12" i="11"/>
  <c r="I13" i="11" s="1"/>
  <c r="I14" i="11" s="1"/>
  <c r="I16" i="11" s="1"/>
  <c r="I11" i="11"/>
  <c r="E26" i="10"/>
  <c r="E34" i="10" s="1"/>
  <c r="E20" i="10"/>
  <c r="E38" i="10" s="1"/>
  <c r="E17" i="10"/>
  <c r="E8" i="10"/>
  <c r="E34" i="9"/>
  <c r="C34" i="9"/>
  <c r="AB33" i="9"/>
  <c r="AB32" i="9"/>
  <c r="AB31" i="9"/>
  <c r="AB30" i="9"/>
  <c r="AB34" i="9" s="1"/>
  <c r="I30" i="9"/>
  <c r="I34" i="9" s="1"/>
  <c r="K30" i="9" s="1"/>
  <c r="K34" i="9" s="1"/>
  <c r="M30" i="9" s="1"/>
  <c r="G30" i="9"/>
  <c r="G34" i="9" s="1"/>
  <c r="Y23" i="9"/>
  <c r="W23" i="9"/>
  <c r="S23" i="9"/>
  <c r="K23" i="9"/>
  <c r="C23" i="9"/>
  <c r="AB22" i="9"/>
  <c r="AB21" i="9"/>
  <c r="U19" i="9"/>
  <c r="U23" i="9" s="1"/>
  <c r="S19" i="9"/>
  <c r="Q19" i="9"/>
  <c r="Q23" i="9" s="1"/>
  <c r="O19" i="9"/>
  <c r="O23" i="9" s="1"/>
  <c r="M19" i="9"/>
  <c r="M23" i="9" s="1"/>
  <c r="K19" i="9"/>
  <c r="I19" i="9"/>
  <c r="I23" i="9" s="1"/>
  <c r="G19" i="9"/>
  <c r="G23" i="9" s="1"/>
  <c r="E19" i="9"/>
  <c r="E23" i="9" s="1"/>
  <c r="C19" i="9"/>
  <c r="AB19" i="9" s="1"/>
  <c r="AB18" i="9"/>
  <c r="Y15" i="9"/>
  <c r="Y25" i="9" s="1"/>
  <c r="W15" i="9"/>
  <c r="W25" i="9" s="1"/>
  <c r="U15" i="9"/>
  <c r="S15" i="9"/>
  <c r="S25" i="9" s="1"/>
  <c r="Q15" i="9"/>
  <c r="O15" i="9"/>
  <c r="M15" i="9"/>
  <c r="K15" i="9"/>
  <c r="K25" i="9" s="1"/>
  <c r="I15" i="9"/>
  <c r="G15" i="9"/>
  <c r="E15" i="9"/>
  <c r="C15" i="9"/>
  <c r="C25" i="9" s="1"/>
  <c r="AB14" i="9"/>
  <c r="AB13" i="9"/>
  <c r="AB12" i="9"/>
  <c r="AB11" i="9"/>
  <c r="AB10" i="9"/>
  <c r="AB7" i="9"/>
  <c r="Y54" i="8"/>
  <c r="W54" i="8"/>
  <c r="U54" i="8"/>
  <c r="S54" i="8"/>
  <c r="Q54" i="8"/>
  <c r="O54" i="8"/>
  <c r="M54" i="8"/>
  <c r="K54" i="8"/>
  <c r="I54" i="8"/>
  <c r="G54" i="8"/>
  <c r="E54" i="8"/>
  <c r="C54" i="8"/>
  <c r="AB53" i="8"/>
  <c r="AB52" i="8"/>
  <c r="AB51" i="8"/>
  <c r="AB50" i="8"/>
  <c r="AB49" i="8"/>
  <c r="AB48" i="8"/>
  <c r="AB47" i="8"/>
  <c r="AB46" i="8"/>
  <c r="AB54" i="8" s="1"/>
  <c r="U39" i="8"/>
  <c r="M39" i="8"/>
  <c r="E39" i="8"/>
  <c r="AB38" i="8"/>
  <c r="AB37" i="8"/>
  <c r="AB36" i="8"/>
  <c r="AB35" i="8"/>
  <c r="Y33" i="8"/>
  <c r="Y39" i="8" s="1"/>
  <c r="W33" i="8"/>
  <c r="W39" i="8" s="1"/>
  <c r="U33" i="8"/>
  <c r="S33" i="8"/>
  <c r="S39" i="8" s="1"/>
  <c r="Q33" i="8"/>
  <c r="Q39" i="8" s="1"/>
  <c r="O33" i="8"/>
  <c r="O39" i="8" s="1"/>
  <c r="M33" i="8"/>
  <c r="K33" i="8"/>
  <c r="K39" i="8" s="1"/>
  <c r="I33" i="8"/>
  <c r="I39" i="8" s="1"/>
  <c r="G33" i="8"/>
  <c r="G39" i="8" s="1"/>
  <c r="E33" i="8"/>
  <c r="C33" i="8"/>
  <c r="C39" i="8" s="1"/>
  <c r="AB32" i="8"/>
  <c r="AB31" i="8"/>
  <c r="AB30" i="8"/>
  <c r="AB29" i="8"/>
  <c r="AB28" i="8"/>
  <c r="Y25" i="8"/>
  <c r="W25" i="8"/>
  <c r="W41" i="8" s="1"/>
  <c r="U25" i="8"/>
  <c r="U41" i="8" s="1"/>
  <c r="S25" i="8"/>
  <c r="S41" i="8" s="1"/>
  <c r="Q25" i="8"/>
  <c r="O25" i="8"/>
  <c r="O41" i="8" s="1"/>
  <c r="M25" i="8"/>
  <c r="M41" i="8" s="1"/>
  <c r="K25" i="8"/>
  <c r="K41" i="8" s="1"/>
  <c r="I25" i="8"/>
  <c r="G25" i="8"/>
  <c r="G41" i="8" s="1"/>
  <c r="E25" i="8"/>
  <c r="E41" i="8" s="1"/>
  <c r="E43" i="8" s="1"/>
  <c r="C25" i="8"/>
  <c r="C41" i="8" s="1"/>
  <c r="AB24" i="8"/>
  <c r="AB23" i="8"/>
  <c r="AB22" i="8"/>
  <c r="AB21" i="8"/>
  <c r="AB20" i="8"/>
  <c r="AB19" i="8"/>
  <c r="AB18" i="8"/>
  <c r="AB17" i="8"/>
  <c r="AB16" i="8"/>
  <c r="AB15" i="8"/>
  <c r="AB14" i="8"/>
  <c r="AB13" i="8"/>
  <c r="AB12" i="8"/>
  <c r="AB11" i="8"/>
  <c r="AB10" i="8"/>
  <c r="AB7" i="8"/>
  <c r="D43" i="7"/>
  <c r="F43" i="7" s="1"/>
  <c r="F41" i="7"/>
  <c r="E41" i="7"/>
  <c r="D41" i="7"/>
  <c r="I36" i="7"/>
  <c r="E36" i="7"/>
  <c r="D36" i="7"/>
  <c r="H35" i="7"/>
  <c r="G35" i="7"/>
  <c r="H34" i="7"/>
  <c r="G34" i="7"/>
  <c r="I33" i="7"/>
  <c r="G33" i="7"/>
  <c r="H32" i="7"/>
  <c r="G32" i="7"/>
  <c r="H31" i="7"/>
  <c r="G31" i="7"/>
  <c r="I30" i="7"/>
  <c r="F30" i="7"/>
  <c r="H30" i="7" s="1"/>
  <c r="I29" i="7"/>
  <c r="F29" i="7"/>
  <c r="H29" i="7" s="1"/>
  <c r="I28" i="7"/>
  <c r="F28" i="7"/>
  <c r="H28" i="7" s="1"/>
  <c r="I27" i="7"/>
  <c r="F27" i="7"/>
  <c r="H27" i="7" s="1"/>
  <c r="I26" i="7"/>
  <c r="F26" i="7"/>
  <c r="H26" i="7" s="1"/>
  <c r="I25" i="7"/>
  <c r="H25" i="7"/>
  <c r="G25" i="7"/>
  <c r="H24" i="7"/>
  <c r="G24" i="7"/>
  <c r="F24" i="7"/>
  <c r="H23" i="7"/>
  <c r="G23" i="7"/>
  <c r="F23" i="7"/>
  <c r="H22" i="7"/>
  <c r="G22" i="7"/>
  <c r="F22" i="7"/>
  <c r="H21" i="7"/>
  <c r="G21" i="7"/>
  <c r="F21" i="7"/>
  <c r="H20" i="7"/>
  <c r="G20" i="7"/>
  <c r="F20" i="7"/>
  <c r="H19" i="7"/>
  <c r="G19" i="7"/>
  <c r="F19" i="7"/>
  <c r="H18" i="7"/>
  <c r="G18" i="7"/>
  <c r="F18" i="7"/>
  <c r="H17" i="7"/>
  <c r="G17" i="7"/>
  <c r="F17" i="7"/>
  <c r="I16" i="7"/>
  <c r="I34" i="7" s="1"/>
  <c r="H16" i="7"/>
  <c r="G16" i="7"/>
  <c r="F16" i="7"/>
  <c r="F13" i="7"/>
  <c r="E13" i="7"/>
  <c r="D13" i="7"/>
  <c r="G13" i="7" s="1"/>
  <c r="H12" i="7"/>
  <c r="G12" i="7"/>
  <c r="I11" i="7"/>
  <c r="H11" i="7"/>
  <c r="G11" i="7"/>
  <c r="I10" i="7"/>
  <c r="I12" i="7" s="1"/>
  <c r="H10" i="7"/>
  <c r="G10" i="7"/>
  <c r="A90" i="6"/>
  <c r="J87" i="6"/>
  <c r="H87" i="6"/>
  <c r="D87" i="6"/>
  <c r="F87" i="6" s="1"/>
  <c r="A87" i="6"/>
  <c r="H85" i="6"/>
  <c r="D85" i="6"/>
  <c r="J84" i="6"/>
  <c r="F84" i="6"/>
  <c r="J83" i="6"/>
  <c r="F83" i="6"/>
  <c r="J82" i="6"/>
  <c r="F82" i="6"/>
  <c r="J81" i="6"/>
  <c r="F81" i="6"/>
  <c r="J80" i="6"/>
  <c r="F80" i="6"/>
  <c r="J79" i="6"/>
  <c r="F79" i="6"/>
  <c r="J78" i="6"/>
  <c r="F78" i="6"/>
  <c r="J77" i="6"/>
  <c r="F77" i="6"/>
  <c r="J76" i="6"/>
  <c r="F76" i="6"/>
  <c r="J75" i="6"/>
  <c r="F75" i="6"/>
  <c r="J74" i="6"/>
  <c r="F74" i="6"/>
  <c r="J73" i="6"/>
  <c r="F73" i="6"/>
  <c r="J72" i="6"/>
  <c r="F72" i="6"/>
  <c r="J71" i="6"/>
  <c r="F71" i="6"/>
  <c r="J70" i="6"/>
  <c r="F70" i="6"/>
  <c r="J69" i="6"/>
  <c r="F69" i="6"/>
  <c r="J68" i="6"/>
  <c r="F68" i="6"/>
  <c r="J67" i="6"/>
  <c r="F67" i="6"/>
  <c r="J66" i="6"/>
  <c r="F66" i="6"/>
  <c r="F85" i="6" s="1"/>
  <c r="E85" i="6" s="1"/>
  <c r="J65" i="6"/>
  <c r="J85" i="6" s="1"/>
  <c r="I85" i="6" s="1"/>
  <c r="F65" i="6"/>
  <c r="I61" i="6"/>
  <c r="H61" i="6"/>
  <c r="H90" i="6" s="1"/>
  <c r="E61" i="6"/>
  <c r="D61" i="6"/>
  <c r="D90" i="6" s="1"/>
  <c r="J60" i="6"/>
  <c r="F60" i="6"/>
  <c r="J59" i="6"/>
  <c r="J61" i="6" s="1"/>
  <c r="F59" i="6"/>
  <c r="J58" i="6"/>
  <c r="F58" i="6"/>
  <c r="F61" i="6" s="1"/>
  <c r="F50" i="6"/>
  <c r="F49" i="6"/>
  <c r="H41" i="6"/>
  <c r="J41" i="6" s="1"/>
  <c r="D41" i="6"/>
  <c r="F41" i="6" s="1"/>
  <c r="J39" i="6"/>
  <c r="J38" i="6"/>
  <c r="F38" i="6"/>
  <c r="I36" i="6"/>
  <c r="H36" i="6"/>
  <c r="E36" i="6"/>
  <c r="D36" i="6"/>
  <c r="J35" i="6"/>
  <c r="F35" i="6"/>
  <c r="J34" i="6"/>
  <c r="F34" i="6"/>
  <c r="J33" i="6"/>
  <c r="F33" i="6"/>
  <c r="J32" i="6"/>
  <c r="F32" i="6"/>
  <c r="J31" i="6"/>
  <c r="F31" i="6"/>
  <c r="J30" i="6"/>
  <c r="F30" i="6"/>
  <c r="J29" i="6"/>
  <c r="F29" i="6"/>
  <c r="J28" i="6"/>
  <c r="F28" i="6"/>
  <c r="J27" i="6"/>
  <c r="F27" i="6"/>
  <c r="J26" i="6"/>
  <c r="F26" i="6"/>
  <c r="J25" i="6"/>
  <c r="F25" i="6"/>
  <c r="J24" i="6"/>
  <c r="F24" i="6"/>
  <c r="J23" i="6"/>
  <c r="F23" i="6"/>
  <c r="J22" i="6"/>
  <c r="F22" i="6"/>
  <c r="J21" i="6"/>
  <c r="F21" i="6"/>
  <c r="J20" i="6"/>
  <c r="F20" i="6"/>
  <c r="J19" i="6"/>
  <c r="F19" i="6"/>
  <c r="J18" i="6"/>
  <c r="F18" i="6"/>
  <c r="J17" i="6"/>
  <c r="F17" i="6"/>
  <c r="J16" i="6"/>
  <c r="J36" i="6" s="1"/>
  <c r="F16" i="6"/>
  <c r="F36" i="6" s="1"/>
  <c r="I13" i="6"/>
  <c r="I44" i="6" s="1"/>
  <c r="H13" i="6"/>
  <c r="H44" i="6" s="1"/>
  <c r="E13" i="6"/>
  <c r="D13" i="6"/>
  <c r="D44" i="6" s="1"/>
  <c r="J12" i="6"/>
  <c r="F12" i="6"/>
  <c r="J11" i="6"/>
  <c r="J13" i="6" s="1"/>
  <c r="J44" i="6" s="1"/>
  <c r="F11" i="6"/>
  <c r="J10" i="6"/>
  <c r="F10" i="6"/>
  <c r="F13" i="6" s="1"/>
  <c r="F44" i="6" s="1"/>
  <c r="E44" i="6" s="1"/>
  <c r="F55" i="14" l="1"/>
  <c r="F27" i="14"/>
  <c r="H27" i="14" s="1"/>
  <c r="F50" i="14"/>
  <c r="Q54" i="14"/>
  <c r="N32" i="14"/>
  <c r="N41" i="14" s="1"/>
  <c r="H19" i="14"/>
  <c r="N19" i="14"/>
  <c r="D27" i="14"/>
  <c r="AP19" i="13"/>
  <c r="AY21" i="13"/>
  <c r="BA21" i="13" s="1"/>
  <c r="E19" i="13"/>
  <c r="K19" i="13"/>
  <c r="S19" i="13"/>
  <c r="Y19" i="13"/>
  <c r="BA19" i="13"/>
  <c r="I24" i="13"/>
  <c r="W24" i="13"/>
  <c r="C21" i="13"/>
  <c r="E21" i="13" s="1"/>
  <c r="Q21" i="13"/>
  <c r="S21" i="13" s="1"/>
  <c r="AN21" i="13"/>
  <c r="AP21" i="13" s="1"/>
  <c r="C27" i="9"/>
  <c r="C36" i="9" s="1"/>
  <c r="G25" i="9"/>
  <c r="O25" i="9"/>
  <c r="I25" i="9"/>
  <c r="Q25" i="9"/>
  <c r="M34" i="9"/>
  <c r="O30" i="9"/>
  <c r="E25" i="9"/>
  <c r="E27" i="9" s="1"/>
  <c r="M25" i="9"/>
  <c r="U25" i="9"/>
  <c r="AB23" i="9"/>
  <c r="AB15" i="9"/>
  <c r="C43" i="8"/>
  <c r="C56" i="8" s="1"/>
  <c r="G7" i="8"/>
  <c r="G43" i="8" s="1"/>
  <c r="E56" i="8"/>
  <c r="AB39" i="8"/>
  <c r="I41" i="8"/>
  <c r="AB41" i="8" s="1"/>
  <c r="AB43" i="8" s="1"/>
  <c r="AB56" i="8" s="1"/>
  <c r="Q41" i="8"/>
  <c r="Y41" i="8"/>
  <c r="AB25" i="8"/>
  <c r="AB33" i="8"/>
  <c r="H13" i="7"/>
  <c r="I13" i="7"/>
  <c r="I17" i="7"/>
  <c r="I19" i="7"/>
  <c r="I21" i="7"/>
  <c r="I23" i="7"/>
  <c r="F36" i="7"/>
  <c r="H36" i="7" s="1"/>
  <c r="G26" i="7"/>
  <c r="G36" i="7" s="1"/>
  <c r="G27" i="7"/>
  <c r="G28" i="7"/>
  <c r="G29" i="7"/>
  <c r="G30" i="7"/>
  <c r="I32" i="7"/>
  <c r="I35" i="7"/>
  <c r="D45" i="7"/>
  <c r="I18" i="7"/>
  <c r="I20" i="7"/>
  <c r="I22" i="7"/>
  <c r="I24" i="7"/>
  <c r="I31" i="7"/>
  <c r="F90" i="6"/>
  <c r="E90" i="6" s="1"/>
  <c r="J90" i="6"/>
  <c r="I90" i="6" s="1"/>
  <c r="N46" i="14" l="1"/>
  <c r="N27" i="14"/>
  <c r="O19" i="14"/>
  <c r="G7" i="9"/>
  <c r="G27" i="9" s="1"/>
  <c r="E36" i="9"/>
  <c r="AB25" i="9"/>
  <c r="AB27" i="9" s="1"/>
  <c r="AB36" i="9" s="1"/>
  <c r="O34" i="9"/>
  <c r="Q30" i="9"/>
  <c r="I7" i="8"/>
  <c r="I43" i="8" s="1"/>
  <c r="G56" i="8"/>
  <c r="F45" i="7"/>
  <c r="N54" i="14" l="1"/>
  <c r="O27" i="14"/>
  <c r="Q34" i="9"/>
  <c r="S30" i="9"/>
  <c r="I7" i="9"/>
  <c r="I27" i="9" s="1"/>
  <c r="G36" i="9"/>
  <c r="I56" i="8"/>
  <c r="K7" i="8"/>
  <c r="K43" i="8" s="1"/>
  <c r="I36" i="9" l="1"/>
  <c r="K7" i="9"/>
  <c r="K27" i="9" s="1"/>
  <c r="U30" i="9"/>
  <c r="S34" i="9"/>
  <c r="K56" i="8"/>
  <c r="M7" i="8"/>
  <c r="M43" i="8" s="1"/>
  <c r="U34" i="9" l="1"/>
  <c r="W30" i="9"/>
  <c r="K36" i="9"/>
  <c r="M7" i="9"/>
  <c r="M27" i="9" s="1"/>
  <c r="O7" i="8"/>
  <c r="O43" i="8" s="1"/>
  <c r="M56" i="8"/>
  <c r="O7" i="9" l="1"/>
  <c r="O27" i="9" s="1"/>
  <c r="M36" i="9"/>
  <c r="Y30" i="9"/>
  <c r="Y34" i="9" s="1"/>
  <c r="W34" i="9"/>
  <c r="Q7" i="8"/>
  <c r="Q43" i="8" s="1"/>
  <c r="O56" i="8"/>
  <c r="Q7" i="9" l="1"/>
  <c r="Q27" i="9" s="1"/>
  <c r="O36" i="9"/>
  <c r="Q56" i="8"/>
  <c r="S7" i="8"/>
  <c r="S43" i="8" s="1"/>
  <c r="Q36" i="9" l="1"/>
  <c r="S7" i="9"/>
  <c r="S27" i="9" s="1"/>
  <c r="S56" i="8"/>
  <c r="U7" i="8"/>
  <c r="U43" i="8" s="1"/>
  <c r="S36" i="9" l="1"/>
  <c r="U7" i="9"/>
  <c r="U27" i="9" s="1"/>
  <c r="W7" i="8"/>
  <c r="W43" i="8" s="1"/>
  <c r="U56" i="8"/>
  <c r="W7" i="9" l="1"/>
  <c r="W27" i="9" s="1"/>
  <c r="U36" i="9"/>
  <c r="Y7" i="8"/>
  <c r="Y43" i="8" s="1"/>
  <c r="Y56" i="8" s="1"/>
  <c r="W56" i="8"/>
  <c r="Y7" i="9" l="1"/>
  <c r="Y27" i="9" s="1"/>
  <c r="Y36" i="9" s="1"/>
  <c r="W36" i="9"/>
  <c r="H45" i="4" l="1"/>
  <c r="F45" i="4"/>
  <c r="D45" i="4"/>
  <c r="G12" i="1" l="1"/>
</calcChain>
</file>

<file path=xl/comments1.xml><?xml version="1.0" encoding="utf-8"?>
<comments xmlns="http://schemas.openxmlformats.org/spreadsheetml/2006/main">
  <authors>
    <author>BETH EULER</author>
  </authors>
  <commentList>
    <comment ref="D41" authorId="0">
      <text>
        <r>
          <rPr>
            <b/>
            <sz val="9"/>
            <color indexed="81"/>
            <rFont val="Tahoma"/>
            <family val="2"/>
          </rPr>
          <t>Durham credit $341,448.81 PY adj, pre-audit addition to fund balance $3,086,026.04</t>
        </r>
      </text>
    </comment>
  </commentList>
</comments>
</file>

<file path=xl/comments2.xml><?xml version="1.0" encoding="utf-8"?>
<comments xmlns="http://schemas.openxmlformats.org/spreadsheetml/2006/main">
  <authors>
    <author>BETH EULER</author>
  </authors>
  <commentList>
    <comment ref="F39" authorId="0">
      <text>
        <r>
          <rPr>
            <b/>
            <sz val="9"/>
            <color indexed="81"/>
            <rFont val="Tahoma"/>
            <family val="2"/>
          </rPr>
          <t>Proceeds from tax notes $4,786,484.95 and credit Durham settlement $341,448.81 recorded directly to fund bal as PY adj</t>
        </r>
      </text>
    </comment>
    <comment ref="D43" authorId="0">
      <text>
        <r>
          <rPr>
            <b/>
            <sz val="9"/>
            <color indexed="81"/>
            <rFont val="Tahoma"/>
            <family val="2"/>
          </rPr>
          <t>Durham credit $341,448.81 PY adj, pre-audit addition to fund balance $3,086,026.04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</commentList>
</comments>
</file>

<file path=xl/sharedStrings.xml><?xml version="1.0" encoding="utf-8"?>
<sst xmlns="http://schemas.openxmlformats.org/spreadsheetml/2006/main" count="1010" uniqueCount="477">
  <si>
    <t>Little Elm ISD</t>
  </si>
  <si>
    <t>Purchase Orders &gt;$25,000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</si>
  <si>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</si>
  <si>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</si>
  <si>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</si>
  <si>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</si>
  <si>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</si>
  <si>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</si>
  <si>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</si>
  <si>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10/01/2014 - 10/31/2014</t>
  </si>
  <si>
    <t>CBS Roofing Services</t>
  </si>
  <si>
    <t>Roof Repair -HS</t>
  </si>
  <si>
    <t>199-81-6629.01-001-599</t>
  </si>
  <si>
    <t>Roof Repair - Brent</t>
  </si>
  <si>
    <t>199-81-6629.01-103-599</t>
  </si>
  <si>
    <t>Roof Repair - Chavez</t>
  </si>
  <si>
    <t>199-81-6629.01-104-599</t>
  </si>
  <si>
    <t>Roof Repair - Hackberry</t>
  </si>
  <si>
    <t>199-81-6629.01-105-599</t>
  </si>
  <si>
    <t>Roof Repair - Oak Point</t>
  </si>
  <si>
    <t>199-81-6629.01-108-599</t>
  </si>
  <si>
    <t>The Deal Group, LLC</t>
  </si>
  <si>
    <t>Zellars Data Drop</t>
  </si>
  <si>
    <t>199-52-6639.04-851-599</t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</si>
  <si>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</si>
  <si>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</si>
  <si>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</si>
  <si>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</si>
  <si>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</si>
  <si>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</si>
  <si>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</si>
  <si>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</si>
  <si>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</si>
  <si>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>To reallocate funds from 11 to 21 for correct function previously board approved</t>
  </si>
  <si>
    <t>To reallocate funds to cover professional dues.</t>
  </si>
  <si>
    <t>To increase the budget by the amount of art fees received.</t>
  </si>
  <si>
    <t>To reallocate funds to cover employee travel</t>
  </si>
  <si>
    <t>To reallocate funds to cover supplies and misc costs for tuition based Pre-K.</t>
  </si>
  <si>
    <t>To increase the budget to include donation from Target.</t>
  </si>
  <si>
    <t>To reallocate funds to cover copier expenses.</t>
  </si>
  <si>
    <t>To reallocate funds to cover band employee travel.</t>
  </si>
  <si>
    <t>To increase the budget by the amount of band cleaning fees received.</t>
  </si>
  <si>
    <t>To reallocate funds to cover employee travel.</t>
  </si>
  <si>
    <t>To reallocate funds to cover professional dues and employee travel.</t>
  </si>
  <si>
    <t>To reallocate funds to cover additional tutoring.</t>
  </si>
  <si>
    <t>To reallocate funds to cover teacher travel and additional contracted services expenses.</t>
  </si>
  <si>
    <t>To reallocate funds to cover teacher travel, supplies and additional contracted services expenses.</t>
  </si>
  <si>
    <t>To increase the budget to cover state mandated  graphing calculators.</t>
  </si>
  <si>
    <t>To increase the athletic stadium budget rental fees collected.</t>
  </si>
  <si>
    <t>To increase the payroll budget to cover the 3 additional FTEs approved.</t>
  </si>
  <si>
    <t>LITTLE ELM INDEPENDENT SCHOOL DISTRICT</t>
  </si>
  <si>
    <t xml:space="preserve"> </t>
  </si>
  <si>
    <t>Little Elm Independent School District</t>
  </si>
  <si>
    <t>Page 1 of 2</t>
  </si>
  <si>
    <t>2014-2015 Fund Balance Comparison</t>
  </si>
  <si>
    <t>as of September 30, 2014</t>
  </si>
  <si>
    <t>GENERAL FUND</t>
  </si>
  <si>
    <t>DEBT SERVICE FUND</t>
  </si>
  <si>
    <t>1XX</t>
  </si>
  <si>
    <t>PROPOSED</t>
  </si>
  <si>
    <t>CONTROL</t>
  </si>
  <si>
    <t>ORIGINAL</t>
  </si>
  <si>
    <t>AMENDMENTS</t>
  </si>
  <si>
    <t>AMENDED</t>
  </si>
  <si>
    <t>CURRENT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</si>
  <si>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</si>
  <si>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</si>
  <si>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</si>
  <si>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</si>
  <si>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</si>
  <si>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</si>
  <si>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</si>
  <si>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</si>
  <si>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</si>
  <si>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</si>
  <si>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</si>
  <si>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</si>
  <si>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</si>
  <si>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</si>
  <si>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</si>
  <si>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</si>
  <si>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</si>
  <si>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</si>
  <si>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</si>
  <si>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</si>
  <si>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</si>
  <si>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</si>
  <si>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</si>
  <si>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</si>
  <si>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>81 Facilities</t>
  </si>
  <si>
    <t>95 Payments to JUV Justice Alt</t>
  </si>
  <si>
    <t>99 Intergovernmental Charges</t>
  </si>
  <si>
    <t xml:space="preserve">    TOTAL EXPENDITURES</t>
  </si>
  <si>
    <t>00 Other Resources</t>
  </si>
  <si>
    <t>00 Other Uses</t>
  </si>
  <si>
    <t>EST FUND BALANCE 08/31/14</t>
  </si>
  <si>
    <r>
      <t xml:space="preserve">EST FUND BALANCE </t>
    </r>
    <r>
      <rPr>
        <b/>
        <sz val="10"/>
        <color rgb="FF0070C0"/>
        <rFont val="Geneva"/>
      </rPr>
      <t>09/30/14</t>
    </r>
  </si>
  <si>
    <t>Page 2 of 2</t>
  </si>
  <si>
    <t>FOOD SERVICE FUND</t>
  </si>
  <si>
    <t>CHILD CARE</t>
  </si>
  <si>
    <t>Statement of Unaudited Revenues and Expenditures - Budget vs. Actual</t>
  </si>
  <si>
    <t>As of September 30, 2014</t>
  </si>
  <si>
    <t>Fund 1XX</t>
  </si>
  <si>
    <t>2014-2015</t>
  </si>
  <si>
    <t>PERIOD</t>
  </si>
  <si>
    <t>Y-T-D</t>
  </si>
  <si>
    <t>VARIANCE</t>
  </si>
  <si>
    <t>PERCENT</t>
  </si>
  <si>
    <t xml:space="preserve">PERCENT </t>
  </si>
  <si>
    <t>Approved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</si>
  <si>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</si>
  <si>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</si>
  <si>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</si>
  <si>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</si>
  <si>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</si>
  <si>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</si>
  <si>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</si>
  <si>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</si>
  <si>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</si>
  <si>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</si>
  <si>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</si>
  <si>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</si>
  <si>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</si>
  <si>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</si>
  <si>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</si>
  <si>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</si>
  <si>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</si>
  <si>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Curriculum &amp; Staff Development</t>
  </si>
  <si>
    <t>0021</t>
  </si>
  <si>
    <t>Instructional Leadership</t>
  </si>
  <si>
    <t>0023</t>
  </si>
  <si>
    <t>School Leadership</t>
  </si>
  <si>
    <t>0031</t>
  </si>
  <si>
    <t>Guidance &amp; Counseling</t>
  </si>
  <si>
    <t>0032</t>
  </si>
  <si>
    <t>Social Work Services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</si>
  <si>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</si>
  <si>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</si>
  <si>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</si>
  <si>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</si>
  <si>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</si>
  <si>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</si>
  <si>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</si>
  <si>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</si>
  <si>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</si>
  <si>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</si>
  <si>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</si>
  <si>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</si>
  <si>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</si>
  <si>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Security &amp; Monitoring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</si>
  <si>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</si>
  <si>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</si>
  <si>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</si>
  <si>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</si>
  <si>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</si>
  <si>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</si>
  <si>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</si>
  <si>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</si>
  <si>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</si>
  <si>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</si>
  <si>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0099</t>
  </si>
  <si>
    <t>Intergovernmental Charges</t>
  </si>
  <si>
    <t>OPERATING TRANSFERS</t>
  </si>
  <si>
    <t>Other Resources</t>
  </si>
  <si>
    <t>Other Uses</t>
  </si>
  <si>
    <t xml:space="preserve">    TOTAL OPERATING TRANSFERS</t>
  </si>
  <si>
    <t>0100</t>
  </si>
  <si>
    <t>Est. Fund Balance 08/31/14</t>
  </si>
  <si>
    <t>Year to Date Fund Bal. (unaudited)</t>
  </si>
  <si>
    <t>General Operating Cash Flow Statement</t>
  </si>
  <si>
    <t>FY 2014-2015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</si>
  <si>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</si>
  <si>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</si>
  <si>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</si>
  <si>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</si>
  <si>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</si>
  <si>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</si>
  <si>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</si>
  <si>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</si>
  <si>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</si>
  <si>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</si>
  <si>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</si>
  <si>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</si>
  <si>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</si>
  <si>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</si>
  <si>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</si>
  <si>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</si>
  <si>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</si>
  <si>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</si>
  <si>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</si>
  <si>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</si>
  <si>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</si>
  <si>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</si>
  <si>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</si>
  <si>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</si>
  <si>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</si>
  <si>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</si>
  <si>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Payroll Deposits</t>
  </si>
  <si>
    <t>Proceeds Maintenance Tax Notes</t>
  </si>
  <si>
    <t>Transfers from Debt Service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</si>
  <si>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</si>
  <si>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</si>
  <si>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</si>
  <si>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</si>
  <si>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</si>
  <si>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</si>
  <si>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</si>
  <si>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</si>
  <si>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</si>
  <si>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</si>
  <si>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</si>
  <si>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Transfers to Investment Accounts</t>
  </si>
  <si>
    <t>Other</t>
  </si>
  <si>
    <t>Total Expenditures &amp; Transfers</t>
  </si>
  <si>
    <t>Net Change in Cash</t>
  </si>
  <si>
    <t>Ending Cash Balance in bank</t>
  </si>
  <si>
    <t>Beginning Cash Balance Lone Star</t>
  </si>
  <si>
    <t>Beginning Cash Balance TexStar</t>
  </si>
  <si>
    <t>Beginning Cash Balance MBIA</t>
  </si>
  <si>
    <t>Interest Earned Lone Star</t>
  </si>
  <si>
    <t>Interest Earned TexStar</t>
  </si>
  <si>
    <t>Interest Earned MBIA</t>
  </si>
  <si>
    <t>Transfers out</t>
  </si>
  <si>
    <t>Transfers in</t>
  </si>
  <si>
    <t>Ending Cash Balance Invested</t>
  </si>
  <si>
    <t>TOTAL CASH AVAILABLE</t>
  </si>
  <si>
    <t>Debt Service Cash Flow Statement</t>
  </si>
  <si>
    <t>Bond Refunding</t>
  </si>
  <si>
    <t>Transfer from General Operating</t>
  </si>
  <si>
    <t>Transfer to General Operating</t>
  </si>
  <si>
    <t>Beginning Cash Balance TexPool</t>
  </si>
  <si>
    <t>Interest Earned TexPool</t>
  </si>
  <si>
    <t>Cash and Investments Reconciliation</t>
  </si>
  <si>
    <t>Operating Fund:</t>
  </si>
  <si>
    <t xml:space="preserve">  Balance per bank</t>
  </si>
  <si>
    <t xml:space="preserve">  Add:  </t>
  </si>
  <si>
    <t>Texas Class/MBIA</t>
  </si>
  <si>
    <t>Lone Star</t>
  </si>
  <si>
    <t>TexStar</t>
  </si>
  <si>
    <t>Deposits in Transit</t>
  </si>
  <si>
    <t>Taxes in Transit</t>
  </si>
  <si>
    <t xml:space="preserve">  Less:</t>
  </si>
  <si>
    <t>Outstanding Checks/Wires</t>
  </si>
  <si>
    <t>Balance per Books</t>
  </si>
  <si>
    <t>Interest &amp; Sinking Fund:</t>
  </si>
  <si>
    <t>Texpool</t>
  </si>
  <si>
    <t>Outstanding Checks</t>
  </si>
  <si>
    <t>Total Balance per Books</t>
  </si>
  <si>
    <t>SUMMARY OF CURRENT INVESTMENTS - BY FUND</t>
  </si>
  <si>
    <t>MONTH ENDED:  September 30, 2014</t>
  </si>
  <si>
    <t>General Fund 199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</si>
  <si>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</si>
  <si>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</si>
  <si>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</si>
  <si>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</si>
  <si>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</si>
  <si>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</si>
  <si>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</si>
  <si>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</si>
  <si>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</si>
  <si>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</si>
  <si>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</si>
  <si>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</si>
  <si>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</si>
  <si>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</si>
  <si>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</si>
  <si>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</si>
  <si>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</si>
  <si>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</si>
  <si>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</si>
  <si>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</si>
  <si>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</si>
  <si>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</si>
  <si>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</si>
  <si>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</si>
  <si>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</si>
  <si>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</si>
  <si>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</si>
  <si>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>Investment Pool</t>
  </si>
  <si>
    <t>Investment</t>
  </si>
  <si>
    <t>Withdrawal</t>
  </si>
  <si>
    <t xml:space="preserve">FOR </t>
  </si>
  <si>
    <t>TexSTAR</t>
  </si>
  <si>
    <t>Construction Fund 647</t>
  </si>
  <si>
    <t>MBIA-Texas CLASS</t>
  </si>
  <si>
    <t>MONTH ENDED: September 30, 2014</t>
  </si>
  <si>
    <t>Debt Service Fund 511</t>
  </si>
  <si>
    <t>TexPool</t>
  </si>
  <si>
    <t>Summary of Revenue &amp; Expenditures As Of  09/30/14</t>
  </si>
  <si>
    <t>Accounting Period: 09</t>
  </si>
  <si>
    <t>Fund:  1XX</t>
  </si>
  <si>
    <t>%</t>
  </si>
  <si>
    <t>Fund:  211</t>
  </si>
  <si>
    <t>Fund:  224</t>
  </si>
  <si>
    <t>Fund:  225</t>
  </si>
  <si>
    <t>Fund:  244</t>
  </si>
  <si>
    <t>Fund:  255</t>
  </si>
  <si>
    <t>Fund:  263</t>
  </si>
  <si>
    <t>Fund 289</t>
  </si>
  <si>
    <t>Fund 397</t>
  </si>
  <si>
    <t>Fund 404</t>
  </si>
  <si>
    <t>Fund 410</t>
  </si>
  <si>
    <t>Fund:  240</t>
  </si>
  <si>
    <t>Fund:  511</t>
  </si>
  <si>
    <t>Fund:  647</t>
  </si>
  <si>
    <t>Fund:  720</t>
  </si>
  <si>
    <t>General Operating</t>
  </si>
  <si>
    <t>Title I-A</t>
  </si>
  <si>
    <t>IDEA-B Formula</t>
  </si>
  <si>
    <t>IDEA-B Pre-School</t>
  </si>
  <si>
    <t>Voc Ed</t>
  </si>
  <si>
    <t>Title II TPTR</t>
  </si>
  <si>
    <t>Title III, Part A</t>
  </si>
  <si>
    <t>Summer School LEP</t>
  </si>
  <si>
    <t>APIB Campus Awards</t>
  </si>
  <si>
    <t>Accelerated Reading</t>
  </si>
  <si>
    <t>Instructional Materials</t>
  </si>
  <si>
    <t>Food Service</t>
  </si>
  <si>
    <t>Debt Service</t>
  </si>
  <si>
    <t>2012-13 Bonds</t>
  </si>
  <si>
    <t>Child Care</t>
  </si>
  <si>
    <t>Improving Basic</t>
  </si>
  <si>
    <t>(Spec Ed)</t>
  </si>
  <si>
    <t>Basic Grant</t>
  </si>
  <si>
    <t>LEP/Immigrant</t>
  </si>
  <si>
    <t>Revenue Budget</t>
  </si>
  <si>
    <t>Period Receipts</t>
  </si>
  <si>
    <t>Revenue Received to Date</t>
  </si>
  <si>
    <t>Revenues Receivable:</t>
  </si>
  <si>
    <t>`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</si>
  <si>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</si>
  <si>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</si>
  <si>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</si>
  <si>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</si>
  <si>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</si>
  <si>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</si>
  <si>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</si>
  <si>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1</t>
  </si>
  <si>
    <t>page 2</t>
  </si>
  <si>
    <t>page 3</t>
  </si>
  <si>
    <t>page 4</t>
  </si>
  <si>
    <t xml:space="preserve">          Page 1</t>
  </si>
  <si>
    <t>Page 2</t>
  </si>
  <si>
    <t xml:space="preserve">        Page 3</t>
  </si>
  <si>
    <t>Denton County</t>
  </si>
  <si>
    <t>Monthly Collection Status Report</t>
  </si>
  <si>
    <t>Cumulative Comparative Collection Status Report</t>
  </si>
  <si>
    <t>Levy Outstanding Status Report</t>
  </si>
  <si>
    <t>Tax Year 2013</t>
  </si>
  <si>
    <t>Tax Year 2012</t>
  </si>
  <si>
    <t>Collections</t>
  </si>
  <si>
    <t>Cumulative Total</t>
  </si>
  <si>
    <t xml:space="preserve">% of </t>
  </si>
  <si>
    <t>Collections thru</t>
  </si>
  <si>
    <t>% of</t>
  </si>
  <si>
    <t>Current Tax Year</t>
  </si>
  <si>
    <t>Delinquent Tax Years</t>
  </si>
  <si>
    <t>Month of September</t>
  </si>
  <si>
    <t>10/1/13 thru 09/30/14</t>
  </si>
  <si>
    <t>Tax Levy</t>
  </si>
  <si>
    <t>September 2014</t>
  </si>
  <si>
    <t>September 2013</t>
  </si>
  <si>
    <t xml:space="preserve">  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</si>
  <si>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</si>
  <si>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</si>
  <si>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</si>
  <si>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</si>
  <si>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</si>
  <si>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</si>
  <si>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</si>
  <si>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</si>
  <si>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r>
      <t>Tax Levy Remaining as of</t>
    </r>
    <r>
      <rPr>
        <sz val="12"/>
        <color theme="4"/>
        <rFont val="Arial"/>
        <family val="2"/>
      </rPr>
      <t xml:space="preserve"> 09/01/14</t>
    </r>
  </si>
  <si>
    <t xml:space="preserve">      P&amp;I I&amp;S </t>
  </si>
  <si>
    <t xml:space="preserve">      P&amp;I I&amp;S Bond</t>
  </si>
  <si>
    <t>Base M&amp;O + I&amp;S Collections</t>
  </si>
  <si>
    <t xml:space="preserve">      Attorney Fee </t>
  </si>
  <si>
    <t xml:space="preserve">      Attorney Fee</t>
  </si>
  <si>
    <t xml:space="preserve">   </t>
  </si>
  <si>
    <t xml:space="preserve">Supplement/Adjustments </t>
  </si>
  <si>
    <t>Subtotal</t>
  </si>
  <si>
    <r>
      <t xml:space="preserve">Remaining Levy as of </t>
    </r>
    <r>
      <rPr>
        <sz val="12"/>
        <color theme="4"/>
        <rFont val="Arial"/>
        <family val="2"/>
      </rPr>
      <t xml:space="preserve"> 09/30/14</t>
    </r>
  </si>
  <si>
    <t>Delinquent TaxYears Collections</t>
  </si>
  <si>
    <t>Delinquent Tax Years Collections</t>
  </si>
  <si>
    <t xml:space="preserve">      Base I&amp;S   </t>
  </si>
  <si>
    <t xml:space="preserve">          Other*</t>
  </si>
  <si>
    <r>
      <t xml:space="preserve">Cumulative (From 10/01/13 thru </t>
    </r>
    <r>
      <rPr>
        <sz val="12"/>
        <color theme="4"/>
        <rFont val="Arial"/>
        <family val="2"/>
      </rPr>
      <t>09/30/14</t>
    </r>
    <r>
      <rPr>
        <sz val="12"/>
        <color indexed="8"/>
        <rFont val="Arial"/>
        <family val="2"/>
      </rPr>
      <t>)</t>
    </r>
  </si>
  <si>
    <t>Combined Current &amp; Delinquent:</t>
  </si>
  <si>
    <t>Original 2013 Tax Levy (as of 10-1-13)</t>
  </si>
  <si>
    <t>Supplement/Adjustments</t>
  </si>
  <si>
    <r>
      <t xml:space="preserve">Remaining Levy as of  </t>
    </r>
    <r>
      <rPr>
        <sz val="12"/>
        <color theme="4"/>
        <rFont val="Arial"/>
        <family val="2"/>
      </rPr>
      <t>09/30/14</t>
    </r>
  </si>
  <si>
    <t xml:space="preserve">          Other</t>
  </si>
  <si>
    <t>Total Collections</t>
  </si>
  <si>
    <t>Adjusted 2012 Tax Levy</t>
  </si>
  <si>
    <t>Original 2013 Tax Levy</t>
  </si>
  <si>
    <t>Current 2013 Tax Levy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</si>
  <si>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</si>
  <si>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</si>
  <si>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</si>
  <si>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</si>
  <si>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</si>
  <si>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11/04/14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</si>
  <si>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</si>
  <si>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</si>
  <si>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</si>
  <si>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</si>
  <si>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</si>
  <si>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</si>
  <si>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</si>
  <si>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>Total  Project Cost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</si>
  <si>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</si>
  <si>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</si>
  <si>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</si>
  <si>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</si>
  <si>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</si>
  <si>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</si>
  <si>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</si>
  <si>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</si>
  <si>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</si>
  <si>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</si>
  <si>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</si>
  <si>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</si>
  <si>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</si>
  <si>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</si>
  <si>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</si>
  <si>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</si>
  <si>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</si>
  <si>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</si>
  <si>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</si>
  <si>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</si>
  <si>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</si>
  <si>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</si>
  <si>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</si>
  <si>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</si>
  <si>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</si>
  <si>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</si>
  <si>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</si>
  <si>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</si>
  <si>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</si>
  <si>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</si>
  <si>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</si>
  <si>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</si>
  <si>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</si>
  <si>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</si>
  <si>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</si>
  <si>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</si>
  <si>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</si>
  <si>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</si>
  <si>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</si>
  <si>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</si>
  <si>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</si>
  <si>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</si>
  <si>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</si>
  <si>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</si>
  <si>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</si>
  <si>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</si>
  <si>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</si>
  <si>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ZELLARS RENOVATION PROJECT</t>
  </si>
  <si>
    <t>Renovations</t>
  </si>
  <si>
    <t>Carpet</t>
  </si>
  <si>
    <t>Child Care Doors &amp; Windows</t>
  </si>
  <si>
    <t>199-81-6629-01-102-499000</t>
  </si>
  <si>
    <t>Zellars Renovations</t>
  </si>
  <si>
    <t>720-81-6629-01-102-499000</t>
  </si>
  <si>
    <t>ROOF REPAIRS PROJECT</t>
  </si>
  <si>
    <t>199-81-6629-01-001-599000</t>
  </si>
  <si>
    <t>Roof - LEHS</t>
  </si>
  <si>
    <t>199-81-6629-01-103-599000</t>
  </si>
  <si>
    <t>Roof - Brent</t>
  </si>
  <si>
    <t>199-81-6629-01-104-599000</t>
  </si>
  <si>
    <t>Roof - Chavez</t>
  </si>
  <si>
    <t>199-81-6629-01-105-599000</t>
  </si>
  <si>
    <t>Roof - Hackberry</t>
  </si>
  <si>
    <t>199-81-6629-01-108-599000</t>
  </si>
  <si>
    <t>Roof - Oak Point</t>
  </si>
  <si>
    <t>HVAC PROJECT</t>
  </si>
  <si>
    <t>199-81-6629-02-103-599000</t>
  </si>
  <si>
    <t>HVAC - Brent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</si>
</sst>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mmmm\ d\,\ yyyy"/>
    <numFmt numFmtId="167" formatCode="_(* #,##0.0_);_(* \(#,##0.0\);_(* &quot;-&quot;??_);_(@_)"/>
    <numFmt numFmtId="168" formatCode="0.0000%"/>
    <numFmt numFmtId="169" formatCode="mm/dd/yy"/>
    <numFmt numFmtId="170" formatCode="#,##0.00;[Red]#,##0.00"/>
    <numFmt numFmtId="171" formatCode="mmmm\ yyyy"/>
    <numFmt numFmtId="172" formatCode="[$$-409]#,##0.00"/>
    <numFmt numFmtId="173" formatCode=";;;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0"/>
      <name val="Arial"/>
    </font>
    <font>
      <b/>
      <sz val="12"/>
      <name val="Geneva"/>
    </font>
    <font>
      <b/>
      <sz val="10"/>
      <name val="Geneva"/>
    </font>
    <font>
      <b/>
      <sz val="9"/>
      <name val="Geneva"/>
    </font>
    <font>
      <sz val="10"/>
      <color indexed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10"/>
      <color rgb="FF0070C0"/>
      <name val="Geneva"/>
    </font>
    <font>
      <b/>
      <sz val="11"/>
      <name val="Geneva"/>
    </font>
    <font>
      <b/>
      <sz val="9"/>
      <color indexed="81"/>
      <name val="Tahoma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sz val="8"/>
      <name val="Geneva"/>
    </font>
    <font>
      <b/>
      <sz val="11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b/>
      <sz val="8"/>
      <name val="Arial"/>
      <family val="2"/>
    </font>
    <font>
      <sz val="12"/>
      <color indexed="8"/>
      <name val="Arial"/>
      <family val="2"/>
    </font>
    <font>
      <sz val="12"/>
      <color rgb="FF0070C0"/>
      <name val="Arial"/>
      <family val="2"/>
    </font>
    <font>
      <b/>
      <sz val="12"/>
      <color indexed="8"/>
      <name val="Arial"/>
      <family val="2"/>
    </font>
    <font>
      <sz val="12"/>
      <color theme="4"/>
      <name val="Arial"/>
      <family val="2"/>
    </font>
    <font>
      <sz val="12"/>
      <color indexed="10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9" fillId="0" borderId="0"/>
    <xf numFmtId="40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6" fontId="3" fillId="0" borderId="0"/>
    <xf numFmtId="0" fontId="7" fillId="0" borderId="0"/>
  </cellStyleXfs>
  <cellXfs count="61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Fill="1" applyBorder="1"/>
    <xf numFmtId="44" fontId="0" fillId="0" borderId="1" xfId="1" applyNumberFormat="1" applyFont="1" applyBorder="1"/>
    <xf numFmtId="44" fontId="0" fillId="0" borderId="4" xfId="1" applyFont="1" applyBorder="1"/>
    <xf numFmtId="44" fontId="0" fillId="0" borderId="2" xfId="0" applyNumberFormat="1" applyBorder="1"/>
    <xf numFmtId="0" fontId="2" fillId="0" borderId="1" xfId="2" applyFont="1" applyBorder="1" applyAlignment="1">
      <alignment horizontal="center"/>
    </xf>
    <xf numFmtId="3" fontId="2" fillId="0" borderId="1" xfId="2" applyNumberFormat="1" applyFont="1" applyBorder="1" applyAlignment="1">
      <alignment horizontal="center"/>
    </xf>
    <xf numFmtId="3" fontId="2" fillId="0" borderId="1" xfId="2" applyNumberFormat="1" applyFont="1" applyBorder="1" applyAlignment="1">
      <alignment horizontal="center" wrapText="1"/>
    </xf>
    <xf numFmtId="0" fontId="3" fillId="0" borderId="0" xfId="3"/>
    <xf numFmtId="0" fontId="4" fillId="0" borderId="1" xfId="2" applyFont="1" applyBorder="1" applyAlignment="1">
      <alignment horizontal="center"/>
    </xf>
    <xf numFmtId="3" fontId="4" fillId="0" borderId="1" xfId="2" applyNumberFormat="1" applyFont="1" applyBorder="1" applyAlignment="1"/>
    <xf numFmtId="3" fontId="4" fillId="0" borderId="1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2" fillId="0" borderId="1" xfId="2" applyNumberFormat="1" applyFont="1" applyBorder="1" applyAlignment="1">
      <alignment horizontal="right"/>
    </xf>
    <xf numFmtId="0" fontId="2" fillId="0" borderId="1" xfId="2" applyFont="1" applyBorder="1" applyAlignment="1">
      <alignment wrapText="1"/>
    </xf>
    <xf numFmtId="3" fontId="2" fillId="0" borderId="1" xfId="2" applyNumberFormat="1" applyFont="1" applyBorder="1"/>
    <xf numFmtId="3" fontId="2" fillId="0" borderId="1" xfId="2" applyNumberFormat="1" applyFont="1" applyBorder="1" applyAlignment="1"/>
    <xf numFmtId="0" fontId="2" fillId="0" borderId="1" xfId="2" applyFont="1" applyBorder="1"/>
    <xf numFmtId="3" fontId="2" fillId="0" borderId="0" xfId="2" applyNumberFormat="1" applyFont="1" applyBorder="1" applyAlignment="1">
      <alignment horizontal="center"/>
    </xf>
    <xf numFmtId="3" fontId="2" fillId="0" borderId="0" xfId="2" applyNumberFormat="1" applyFont="1" applyBorder="1" applyAlignment="1"/>
    <xf numFmtId="0" fontId="5" fillId="0" borderId="1" xfId="2" applyFont="1" applyBorder="1"/>
    <xf numFmtId="0" fontId="6" fillId="0" borderId="0" xfId="2" applyFont="1" applyAlignment="1">
      <alignment horizontal="center"/>
    </xf>
    <xf numFmtId="3" fontId="7" fillId="0" borderId="0" xfId="2" applyNumberFormat="1" applyFont="1" applyAlignment="1">
      <alignment horizontal="center"/>
    </xf>
    <xf numFmtId="3" fontId="7" fillId="0" borderId="0" xfId="2" applyNumberFormat="1" applyFont="1" applyAlignment="1">
      <alignment horizontal="right"/>
    </xf>
    <xf numFmtId="3" fontId="7" fillId="0" borderId="0" xfId="2" applyNumberFormat="1" applyFont="1" applyAlignment="1"/>
    <xf numFmtId="3" fontId="6" fillId="0" borderId="0" xfId="2" applyNumberFormat="1" applyFont="1" applyAlignment="1"/>
    <xf numFmtId="0" fontId="6" fillId="0" borderId="0" xfId="2" applyFont="1" applyAlignment="1">
      <alignment horizontal="left"/>
    </xf>
    <xf numFmtId="0" fontId="8" fillId="0" borderId="0" xfId="2" applyFont="1"/>
    <xf numFmtId="0" fontId="8" fillId="0" borderId="0" xfId="2" applyFont="1" applyAlignment="1">
      <alignment horizontal="center"/>
    </xf>
    <xf numFmtId="3" fontId="8" fillId="0" borderId="0" xfId="2" applyNumberFormat="1" applyFont="1"/>
    <xf numFmtId="3" fontId="8" fillId="0" borderId="0" xfId="2" applyNumberFormat="1" applyFont="1" applyAlignment="1">
      <alignment horizontal="center"/>
    </xf>
    <xf numFmtId="3" fontId="8" fillId="0" borderId="0" xfId="2" applyNumberFormat="1" applyFont="1" applyAlignment="1"/>
    <xf numFmtId="0" fontId="8" fillId="0" borderId="0" xfId="2" applyFont="1" applyAlignment="1">
      <alignment horizontal="left"/>
    </xf>
    <xf numFmtId="49" fontId="7" fillId="0" borderId="0" xfId="2" applyNumberFormat="1" applyFont="1" applyAlignment="1">
      <alignment horizontal="center"/>
    </xf>
    <xf numFmtId="0" fontId="7" fillId="0" borderId="0" xfId="2" applyFont="1" applyAlignment="1">
      <alignment horizontal="left"/>
    </xf>
    <xf numFmtId="0" fontId="10" fillId="0" borderId="0" xfId="3" applyFont="1" applyFill="1"/>
    <xf numFmtId="0" fontId="10" fillId="0" borderId="0" xfId="3" applyFont="1" applyFill="1" applyAlignment="1">
      <alignment horizontal="centerContinuous"/>
    </xf>
    <xf numFmtId="0" fontId="3" fillId="0" borderId="0" xfId="3" applyFill="1"/>
    <xf numFmtId="0" fontId="11" fillId="0" borderId="0" xfId="3" applyFont="1" applyFill="1" applyAlignment="1">
      <alignment horizontal="center"/>
    </xf>
    <xf numFmtId="0" fontId="11" fillId="0" borderId="0" xfId="3" applyFont="1" applyFill="1"/>
    <xf numFmtId="0" fontId="11" fillId="0" borderId="0" xfId="3" applyFont="1" applyFill="1" applyAlignment="1">
      <alignment horizontal="centerContinuous"/>
    </xf>
    <xf numFmtId="0" fontId="11" fillId="0" borderId="0" xfId="3" quotePrefix="1" applyFont="1" applyFill="1" applyAlignment="1">
      <alignment horizontal="center"/>
    </xf>
    <xf numFmtId="0" fontId="3" fillId="0" borderId="0" xfId="3" applyFont="1" applyFill="1"/>
    <xf numFmtId="0" fontId="3" fillId="0" borderId="13" xfId="3" applyFill="1" applyBorder="1"/>
    <xf numFmtId="0" fontId="11" fillId="0" borderId="13" xfId="3" applyFont="1" applyFill="1" applyBorder="1" applyAlignment="1">
      <alignment horizontal="centerContinuous"/>
    </xf>
    <xf numFmtId="164" fontId="11" fillId="0" borderId="13" xfId="3" applyNumberFormat="1" applyFont="1" applyFill="1" applyBorder="1" applyAlignment="1">
      <alignment horizontal="centerContinuous"/>
    </xf>
    <xf numFmtId="0" fontId="3" fillId="0" borderId="0" xfId="3" applyFill="1" applyAlignment="1">
      <alignment horizontal="center"/>
    </xf>
    <xf numFmtId="0" fontId="3" fillId="0" borderId="13" xfId="3" applyBorder="1"/>
    <xf numFmtId="0" fontId="3" fillId="0" borderId="13" xfId="3" applyFill="1" applyBorder="1" applyAlignment="1">
      <alignment horizontal="center"/>
    </xf>
    <xf numFmtId="14" fontId="11" fillId="0" borderId="12" xfId="3" applyNumberFormat="1" applyFont="1" applyFill="1" applyBorder="1" applyAlignment="1">
      <alignment horizontal="center"/>
    </xf>
    <xf numFmtId="0" fontId="11" fillId="0" borderId="13" xfId="3" applyFont="1" applyFill="1" applyBorder="1" applyAlignment="1">
      <alignment horizontal="center"/>
    </xf>
    <xf numFmtId="0" fontId="11" fillId="0" borderId="0" xfId="3" applyFont="1" applyAlignment="1">
      <alignment horizontal="center"/>
    </xf>
    <xf numFmtId="0" fontId="3" fillId="0" borderId="0" xfId="3" applyAlignment="1">
      <alignment horizontal="center"/>
    </xf>
    <xf numFmtId="165" fontId="3" fillId="0" borderId="0" xfId="3" applyNumberFormat="1" applyFill="1"/>
    <xf numFmtId="165" fontId="3" fillId="4" borderId="9" xfId="3" applyNumberFormat="1" applyFill="1" applyBorder="1"/>
    <xf numFmtId="165" fontId="3" fillId="0" borderId="0" xfId="28" applyNumberFormat="1" applyFill="1"/>
    <xf numFmtId="41" fontId="3" fillId="0" borderId="0" xfId="28" applyNumberFormat="1" applyFill="1"/>
    <xf numFmtId="41" fontId="3" fillId="4" borderId="9" xfId="28" applyNumberFormat="1" applyFill="1" applyBorder="1" applyAlignment="1">
      <alignment horizontal="centerContinuous"/>
    </xf>
    <xf numFmtId="41" fontId="3" fillId="0" borderId="0" xfId="3" applyNumberFormat="1" applyFill="1" applyBorder="1"/>
    <xf numFmtId="41" fontId="3" fillId="4" borderId="9" xfId="3" applyNumberFormat="1" applyFill="1" applyBorder="1" applyAlignment="1">
      <alignment horizontal="centerContinuous"/>
    </xf>
    <xf numFmtId="165" fontId="11" fillId="0" borderId="6" xfId="3" applyNumberFormat="1" applyFont="1" applyFill="1" applyBorder="1"/>
    <xf numFmtId="165" fontId="12" fillId="0" borderId="4" xfId="3" applyNumberFormat="1" applyFont="1" applyFill="1" applyBorder="1"/>
    <xf numFmtId="41" fontId="11" fillId="0" borderId="6" xfId="3" applyNumberFormat="1" applyFont="1" applyFill="1" applyBorder="1"/>
    <xf numFmtId="41" fontId="11" fillId="0" borderId="4" xfId="3" applyNumberFormat="1" applyFont="1" applyFill="1" applyBorder="1" applyAlignment="1">
      <alignment horizontal="center"/>
    </xf>
    <xf numFmtId="41" fontId="11" fillId="0" borderId="5" xfId="3" applyNumberFormat="1" applyFont="1" applyFill="1" applyBorder="1"/>
    <xf numFmtId="165" fontId="3" fillId="0" borderId="9" xfId="3" applyNumberFormat="1" applyFill="1" applyBorder="1"/>
    <xf numFmtId="41" fontId="3" fillId="0" borderId="0" xfId="3" applyNumberFormat="1" applyFill="1"/>
    <xf numFmtId="41" fontId="3" fillId="0" borderId="9" xfId="3" applyNumberFormat="1" applyFill="1" applyBorder="1"/>
    <xf numFmtId="0" fontId="11" fillId="0" borderId="13" xfId="3" applyFont="1" applyBorder="1"/>
    <xf numFmtId="41" fontId="3" fillId="0" borderId="13" xfId="3" applyNumberFormat="1" applyFill="1" applyBorder="1"/>
    <xf numFmtId="41" fontId="3" fillId="0" borderId="12" xfId="3" applyNumberFormat="1" applyFill="1" applyBorder="1"/>
    <xf numFmtId="37" fontId="3" fillId="0" borderId="0" xfId="3" applyNumberFormat="1" applyFill="1"/>
    <xf numFmtId="41" fontId="0" fillId="0" borderId="0" xfId="28" applyNumberFormat="1" applyFont="1" applyFill="1"/>
    <xf numFmtId="37" fontId="13" fillId="0" borderId="0" xfId="3" applyNumberFormat="1" applyFont="1" applyFill="1"/>
    <xf numFmtId="165" fontId="3" fillId="4" borderId="9" xfId="3" applyNumberFormat="1" applyFill="1" applyBorder="1" applyAlignment="1"/>
    <xf numFmtId="41" fontId="3" fillId="4" borderId="9" xfId="3" applyNumberFormat="1" applyFill="1" applyBorder="1"/>
    <xf numFmtId="165" fontId="3" fillId="3" borderId="0" xfId="28" applyNumberFormat="1" applyFill="1"/>
    <xf numFmtId="41" fontId="13" fillId="0" borderId="0" xfId="3" applyNumberFormat="1" applyFont="1" applyFill="1"/>
    <xf numFmtId="40" fontId="0" fillId="0" borderId="0" xfId="28" applyFont="1"/>
    <xf numFmtId="165" fontId="3" fillId="4" borderId="12" xfId="3" applyNumberFormat="1" applyFill="1" applyBorder="1" applyAlignment="1"/>
    <xf numFmtId="165" fontId="11" fillId="0" borderId="9" xfId="3" applyNumberFormat="1" applyFont="1" applyFill="1" applyBorder="1"/>
    <xf numFmtId="41" fontId="11" fillId="0" borderId="4" xfId="3" applyNumberFormat="1" applyFont="1" applyFill="1" applyBorder="1" applyAlignment="1">
      <alignment horizontal="centerContinuous"/>
    </xf>
    <xf numFmtId="0" fontId="11" fillId="0" borderId="0" xfId="3" applyFont="1"/>
    <xf numFmtId="165" fontId="14" fillId="3" borderId="13" xfId="29" applyNumberFormat="1" applyFont="1" applyFill="1" applyBorder="1"/>
    <xf numFmtId="165" fontId="3" fillId="0" borderId="12" xfId="3" applyNumberFormat="1" applyFill="1" applyBorder="1"/>
    <xf numFmtId="165" fontId="3" fillId="0" borderId="13" xfId="3" applyNumberFormat="1" applyFill="1" applyBorder="1"/>
    <xf numFmtId="5" fontId="3" fillId="0" borderId="0" xfId="3" applyNumberFormat="1" applyFill="1"/>
    <xf numFmtId="41" fontId="15" fillId="0" borderId="13" xfId="3" applyNumberFormat="1" applyFont="1" applyFill="1" applyBorder="1"/>
    <xf numFmtId="41" fontId="3" fillId="0" borderId="12" xfId="3" applyNumberFormat="1" applyFill="1" applyBorder="1" applyAlignment="1">
      <alignment horizontal="center"/>
    </xf>
    <xf numFmtId="40" fontId="3" fillId="0" borderId="0" xfId="3" applyNumberFormat="1"/>
    <xf numFmtId="165" fontId="3" fillId="0" borderId="0" xfId="3" applyNumberFormat="1" applyFill="1" applyAlignment="1">
      <alignment horizontal="center"/>
    </xf>
    <xf numFmtId="165" fontId="3" fillId="0" borderId="9" xfId="3" applyNumberFormat="1" applyFill="1" applyBorder="1" applyAlignment="1">
      <alignment horizontal="center"/>
    </xf>
    <xf numFmtId="41" fontId="3" fillId="0" borderId="0" xfId="3" applyNumberFormat="1" applyFill="1" applyAlignment="1">
      <alignment horizontal="center"/>
    </xf>
    <xf numFmtId="41" fontId="3" fillId="0" borderId="9" xfId="3" applyNumberFormat="1" applyFill="1" applyBorder="1" applyAlignment="1">
      <alignment horizontal="center"/>
    </xf>
    <xf numFmtId="165" fontId="11" fillId="0" borderId="0" xfId="3" applyNumberFormat="1" applyFont="1" applyFill="1" applyAlignment="1">
      <alignment horizontal="right"/>
    </xf>
    <xf numFmtId="165" fontId="11" fillId="0" borderId="9" xfId="3" applyNumberFormat="1" applyFont="1" applyFill="1" applyBorder="1" applyAlignment="1">
      <alignment horizontal="center"/>
    </xf>
    <xf numFmtId="165" fontId="11" fillId="0" borderId="0" xfId="3" applyNumberFormat="1" applyFont="1" applyFill="1" applyAlignment="1">
      <alignment horizontal="center"/>
    </xf>
    <xf numFmtId="41" fontId="11" fillId="0" borderId="0" xfId="3" applyNumberFormat="1" applyFont="1" applyFill="1" applyAlignment="1">
      <alignment horizontal="center"/>
    </xf>
    <xf numFmtId="5" fontId="10" fillId="0" borderId="0" xfId="3" applyNumberFormat="1" applyFont="1" applyFill="1" applyAlignment="1">
      <alignment horizontal="center"/>
    </xf>
    <xf numFmtId="5" fontId="10" fillId="0" borderId="0" xfId="3" applyNumberFormat="1" applyFont="1" applyFill="1" applyBorder="1" applyAlignment="1">
      <alignment horizontal="center"/>
    </xf>
    <xf numFmtId="5" fontId="17" fillId="0" borderId="0" xfId="3" applyNumberFormat="1" applyFont="1" applyFill="1" applyAlignment="1">
      <alignment horizontal="center"/>
    </xf>
    <xf numFmtId="5" fontId="11" fillId="0" borderId="0" xfId="3" applyNumberFormat="1" applyFont="1" applyFill="1" applyAlignment="1">
      <alignment horizontal="center"/>
    </xf>
    <xf numFmtId="5" fontId="11" fillId="0" borderId="0" xfId="3" applyNumberFormat="1" applyFont="1" applyFill="1" applyBorder="1" applyAlignment="1">
      <alignment horizontal="center"/>
    </xf>
    <xf numFmtId="165" fontId="17" fillId="0" borderId="0" xfId="3" applyNumberFormat="1" applyFont="1" applyFill="1" applyAlignment="1">
      <alignment horizontal="center"/>
    </xf>
    <xf numFmtId="0" fontId="10" fillId="0" borderId="0" xfId="3" applyFont="1" applyFill="1" applyAlignment="1">
      <alignment horizontal="center"/>
    </xf>
    <xf numFmtId="0" fontId="3" fillId="0" borderId="0" xfId="3" applyFill="1" applyBorder="1"/>
    <xf numFmtId="41" fontId="3" fillId="0" borderId="0" xfId="3" applyNumberFormat="1"/>
    <xf numFmtId="41" fontId="3" fillId="0" borderId="13" xfId="3" applyNumberFormat="1" applyFont="1" applyFill="1" applyBorder="1"/>
    <xf numFmtId="41" fontId="3" fillId="4" borderId="12" xfId="3" applyNumberFormat="1" applyFont="1" applyFill="1" applyBorder="1"/>
    <xf numFmtId="41" fontId="3" fillId="0" borderId="0" xfId="3" applyNumberFormat="1" applyFont="1" applyFill="1"/>
    <xf numFmtId="41" fontId="3" fillId="0" borderId="9" xfId="3" applyNumberFormat="1" applyFont="1" applyFill="1" applyBorder="1"/>
    <xf numFmtId="41" fontId="3" fillId="4" borderId="9" xfId="3" applyNumberFormat="1" applyFill="1" applyBorder="1" applyAlignment="1"/>
    <xf numFmtId="41" fontId="3" fillId="4" borderId="9" xfId="3" applyNumberFormat="1" applyFill="1" applyBorder="1" applyAlignment="1">
      <alignment horizontal="center"/>
    </xf>
    <xf numFmtId="41" fontId="3" fillId="4" borderId="12" xfId="3" applyNumberFormat="1" applyFill="1" applyBorder="1" applyAlignment="1"/>
    <xf numFmtId="41" fontId="11" fillId="0" borderId="9" xfId="3" applyNumberFormat="1" applyFont="1" applyFill="1" applyBorder="1" applyAlignment="1">
      <alignment horizontal="center"/>
    </xf>
    <xf numFmtId="41" fontId="11" fillId="0" borderId="0" xfId="3" applyNumberFormat="1" applyFont="1" applyFill="1"/>
    <xf numFmtId="41" fontId="15" fillId="0" borderId="13" xfId="3" applyNumberFormat="1" applyFont="1" applyFill="1" applyBorder="1" applyAlignment="1">
      <alignment horizontal="center"/>
    </xf>
    <xf numFmtId="41" fontId="3" fillId="0" borderId="12" xfId="3" applyNumberFormat="1" applyFill="1" applyBorder="1" applyAlignment="1">
      <alignment horizontal="centerContinuous"/>
    </xf>
    <xf numFmtId="41" fontId="3" fillId="0" borderId="13" xfId="3" applyNumberFormat="1" applyFill="1" applyBorder="1" applyAlignment="1">
      <alignment horizontal="centerContinuous"/>
    </xf>
    <xf numFmtId="41" fontId="3" fillId="0" borderId="13" xfId="3" applyNumberFormat="1" applyFill="1" applyBorder="1" applyAlignment="1">
      <alignment horizontal="center"/>
    </xf>
    <xf numFmtId="41" fontId="3" fillId="0" borderId="0" xfId="3" applyNumberFormat="1" applyFont="1" applyFill="1" applyAlignment="1">
      <alignment horizontal="center"/>
    </xf>
    <xf numFmtId="14" fontId="11" fillId="0" borderId="0" xfId="3" applyNumberFormat="1" applyFont="1"/>
    <xf numFmtId="0" fontId="2" fillId="0" borderId="0" xfId="29"/>
    <xf numFmtId="0" fontId="19" fillId="0" borderId="0" xfId="29" applyFont="1"/>
    <xf numFmtId="0" fontId="20" fillId="0" borderId="15" xfId="29" applyFont="1" applyBorder="1" applyAlignment="1">
      <alignment horizontal="center"/>
    </xf>
    <xf numFmtId="0" fontId="4" fillId="0" borderId="15" xfId="29" applyFont="1" applyBorder="1" applyAlignment="1">
      <alignment horizontal="center"/>
    </xf>
    <xf numFmtId="0" fontId="4" fillId="0" borderId="16" xfId="29" applyFont="1" applyBorder="1" applyAlignment="1">
      <alignment horizontal="center"/>
    </xf>
    <xf numFmtId="0" fontId="4" fillId="0" borderId="0" xfId="29" applyFont="1"/>
    <xf numFmtId="0" fontId="20" fillId="0" borderId="0" xfId="29" applyFont="1" applyAlignment="1">
      <alignment horizontal="center"/>
    </xf>
    <xf numFmtId="0" fontId="4" fillId="0" borderId="0" xfId="29" applyFont="1" applyAlignment="1">
      <alignment horizontal="center"/>
    </xf>
    <xf numFmtId="0" fontId="4" fillId="0" borderId="8" xfId="29" applyFont="1" applyBorder="1" applyAlignment="1">
      <alignment horizontal="center"/>
    </xf>
    <xf numFmtId="0" fontId="4" fillId="0" borderId="13" xfId="29" applyFont="1" applyBorder="1"/>
    <xf numFmtId="0" fontId="20" fillId="0" borderId="17" xfId="29" applyFont="1" applyBorder="1" applyAlignment="1">
      <alignment horizontal="center"/>
    </xf>
    <xf numFmtId="0" fontId="4" fillId="0" borderId="17" xfId="29" applyFont="1" applyBorder="1" applyAlignment="1">
      <alignment horizontal="center"/>
    </xf>
    <xf numFmtId="0" fontId="4" fillId="0" borderId="18" xfId="29" applyFont="1" applyBorder="1" applyAlignment="1">
      <alignment horizontal="center"/>
    </xf>
    <xf numFmtId="43" fontId="2" fillId="0" borderId="0" xfId="29" applyNumberFormat="1" applyFont="1" applyFill="1"/>
    <xf numFmtId="43" fontId="2" fillId="0" borderId="0" xfId="29" applyNumberFormat="1" applyFont="1"/>
    <xf numFmtId="10" fontId="2" fillId="0" borderId="8" xfId="29" applyNumberFormat="1" applyFont="1" applyBorder="1"/>
    <xf numFmtId="9" fontId="2" fillId="0" borderId="0" xfId="29" applyNumberFormat="1" applyAlignment="1">
      <alignment horizontal="center"/>
    </xf>
    <xf numFmtId="43" fontId="2" fillId="0" borderId="13" xfId="29" applyNumberFormat="1" applyFont="1" applyFill="1" applyBorder="1"/>
    <xf numFmtId="43" fontId="2" fillId="0" borderId="13" xfId="29" applyNumberFormat="1" applyFont="1" applyBorder="1"/>
    <xf numFmtId="10" fontId="2" fillId="0" borderId="11" xfId="29" applyNumberFormat="1" applyFont="1" applyBorder="1"/>
    <xf numFmtId="9" fontId="2" fillId="0" borderId="13" xfId="29" applyNumberFormat="1" applyBorder="1" applyAlignment="1">
      <alignment horizontal="center"/>
    </xf>
    <xf numFmtId="43" fontId="20" fillId="0" borderId="0" xfId="29" applyNumberFormat="1" applyFont="1" applyFill="1"/>
    <xf numFmtId="43" fontId="20" fillId="0" borderId="0" xfId="29" applyNumberFormat="1" applyFont="1"/>
    <xf numFmtId="10" fontId="20" fillId="0" borderId="8" xfId="29" applyNumberFormat="1" applyFont="1" applyBorder="1"/>
    <xf numFmtId="9" fontId="20" fillId="0" borderId="0" xfId="29" applyNumberFormat="1" applyFont="1" applyAlignment="1">
      <alignment horizontal="center"/>
    </xf>
    <xf numFmtId="43" fontId="4" fillId="0" borderId="0" xfId="29" applyNumberFormat="1" applyFont="1" applyFill="1"/>
    <xf numFmtId="43" fontId="2" fillId="0" borderId="0" xfId="29" applyNumberFormat="1"/>
    <xf numFmtId="0" fontId="2" fillId="0" borderId="8" xfId="29" applyFont="1" applyBorder="1"/>
    <xf numFmtId="9" fontId="2" fillId="0" borderId="0" xfId="29" applyNumberFormat="1" applyFont="1" applyAlignment="1">
      <alignment horizontal="center"/>
    </xf>
    <xf numFmtId="49" fontId="4" fillId="0" borderId="0" xfId="29" applyNumberFormat="1" applyFont="1" applyAlignment="1">
      <alignment horizontal="center"/>
    </xf>
    <xf numFmtId="10" fontId="2" fillId="0" borderId="8" xfId="29" applyNumberFormat="1" applyFont="1" applyFill="1" applyBorder="1"/>
    <xf numFmtId="0" fontId="2" fillId="0" borderId="0" xfId="29" applyFont="1"/>
    <xf numFmtId="10" fontId="21" fillId="0" borderId="8" xfId="29" applyNumberFormat="1" applyFont="1" applyBorder="1"/>
    <xf numFmtId="43" fontId="2" fillId="0" borderId="14" xfId="29" applyNumberFormat="1" applyFont="1" applyBorder="1"/>
    <xf numFmtId="10" fontId="21" fillId="0" borderId="11" xfId="29" applyNumberFormat="1" applyFont="1" applyBorder="1"/>
    <xf numFmtId="0" fontId="2" fillId="0" borderId="0" xfId="29" applyAlignment="1">
      <alignment horizontal="center"/>
    </xf>
    <xf numFmtId="43" fontId="2" fillId="0" borderId="13" xfId="29" applyNumberFormat="1" applyBorder="1"/>
    <xf numFmtId="10" fontId="2" fillId="0" borderId="0" xfId="29" applyNumberFormat="1"/>
    <xf numFmtId="0" fontId="22" fillId="0" borderId="0" xfId="29" applyFont="1"/>
    <xf numFmtId="0" fontId="14" fillId="0" borderId="0" xfId="29" applyFont="1"/>
    <xf numFmtId="0" fontId="23" fillId="0" borderId="0" xfId="29" applyFont="1" applyFill="1"/>
    <xf numFmtId="0" fontId="4" fillId="0" borderId="0" xfId="29" applyFont="1" applyFill="1"/>
    <xf numFmtId="43" fontId="4" fillId="0" borderId="0" xfId="29" applyNumberFormat="1" applyFont="1"/>
    <xf numFmtId="0" fontId="20" fillId="0" borderId="0" xfId="29" applyFont="1"/>
    <xf numFmtId="0" fontId="20" fillId="0" borderId="0" xfId="29" applyFont="1" applyFill="1"/>
    <xf numFmtId="0" fontId="24" fillId="0" borderId="0" xfId="29" applyFont="1"/>
    <xf numFmtId="14" fontId="4" fillId="0" borderId="0" xfId="36" applyNumberFormat="1" applyFont="1"/>
    <xf numFmtId="0" fontId="4" fillId="0" borderId="0" xfId="36" applyFont="1" applyAlignment="1">
      <alignment horizontal="right"/>
    </xf>
    <xf numFmtId="43" fontId="4" fillId="0" borderId="0" xfId="36" applyNumberFormat="1" applyFont="1"/>
    <xf numFmtId="43" fontId="4" fillId="0" borderId="0" xfId="36" applyNumberFormat="1" applyFont="1" applyFill="1" applyBorder="1" applyAlignment="1">
      <alignment horizontal="right"/>
    </xf>
    <xf numFmtId="43" fontId="4" fillId="0" borderId="0" xfId="36" applyNumberFormat="1" applyFont="1" applyFill="1" applyBorder="1" applyAlignment="1">
      <alignment horizontal="center"/>
    </xf>
    <xf numFmtId="43" fontId="4" fillId="0" borderId="0" xfId="36" applyNumberFormat="1" applyFont="1" applyAlignment="1">
      <alignment horizontal="center"/>
    </xf>
    <xf numFmtId="43" fontId="6" fillId="0" borderId="0" xfId="36" applyNumberFormat="1" applyFont="1" applyAlignment="1">
      <alignment horizontal="center"/>
    </xf>
    <xf numFmtId="43" fontId="4" fillId="0" borderId="0" xfId="36" applyNumberFormat="1" applyFont="1" applyAlignment="1">
      <alignment horizontal="right"/>
    </xf>
    <xf numFmtId="43" fontId="4" fillId="0" borderId="0" xfId="36" applyNumberFormat="1" applyFont="1" applyFill="1" applyBorder="1"/>
    <xf numFmtId="0" fontId="4" fillId="0" borderId="0" xfId="36" applyFont="1"/>
    <xf numFmtId="0" fontId="6" fillId="0" borderId="0" xfId="36" applyFont="1"/>
    <xf numFmtId="0" fontId="2" fillId="0" borderId="0" xfId="36"/>
    <xf numFmtId="0" fontId="2" fillId="0" borderId="0" xfId="36" applyAlignment="1">
      <alignment horizontal="right"/>
    </xf>
    <xf numFmtId="43" fontId="2" fillId="0" borderId="0" xfId="36" applyNumberFormat="1"/>
    <xf numFmtId="43" fontId="2" fillId="0" borderId="0" xfId="36" applyNumberFormat="1" applyFill="1" applyBorder="1" applyAlignment="1">
      <alignment horizontal="right"/>
    </xf>
    <xf numFmtId="43" fontId="2" fillId="0" borderId="0" xfId="36" applyNumberFormat="1" applyAlignment="1">
      <alignment horizontal="right"/>
    </xf>
    <xf numFmtId="43" fontId="2" fillId="0" borderId="0" xfId="36" applyNumberFormat="1" applyFill="1" applyBorder="1"/>
    <xf numFmtId="43" fontId="2" fillId="0" borderId="0" xfId="36" applyNumberFormat="1" applyAlignment="1">
      <alignment horizontal="center"/>
    </xf>
    <xf numFmtId="43" fontId="2" fillId="0" borderId="0" xfId="36" applyNumberFormat="1" applyFill="1" applyBorder="1" applyAlignment="1">
      <alignment horizontal="center"/>
    </xf>
    <xf numFmtId="43" fontId="2" fillId="0" borderId="13" xfId="36" applyNumberFormat="1" applyBorder="1" applyAlignment="1">
      <alignment horizontal="center"/>
    </xf>
    <xf numFmtId="43" fontId="2" fillId="0" borderId="13" xfId="36" applyNumberFormat="1" applyBorder="1"/>
    <xf numFmtId="0" fontId="25" fillId="0" borderId="0" xfId="36" applyFont="1"/>
    <xf numFmtId="43" fontId="2" fillId="0" borderId="0" xfId="32" applyNumberFormat="1"/>
    <xf numFmtId="43" fontId="2" fillId="0" borderId="0" xfId="30" applyNumberFormat="1"/>
    <xf numFmtId="43" fontId="2" fillId="0" borderId="0" xfId="36" applyNumberFormat="1" applyBorder="1"/>
    <xf numFmtId="43" fontId="2" fillId="0" borderId="0" xfId="36" applyNumberFormat="1" applyFont="1"/>
    <xf numFmtId="43" fontId="2" fillId="0" borderId="0" xfId="36" applyNumberFormat="1" applyFill="1"/>
    <xf numFmtId="0" fontId="2" fillId="0" borderId="0" xfId="36" applyFont="1"/>
    <xf numFmtId="43" fontId="2" fillId="0" borderId="13" xfId="30" applyNumberFormat="1" applyBorder="1"/>
    <xf numFmtId="43" fontId="2" fillId="0" borderId="0" xfId="36" applyNumberFormat="1" applyFont="1" applyBorder="1"/>
    <xf numFmtId="0" fontId="2" fillId="0" borderId="13" xfId="36" applyBorder="1" applyAlignment="1">
      <alignment horizontal="right"/>
    </xf>
    <xf numFmtId="43" fontId="2" fillId="0" borderId="13" xfId="36" applyNumberFormat="1" applyFont="1" applyBorder="1"/>
    <xf numFmtId="43" fontId="2" fillId="0" borderId="0" xfId="36" applyNumberFormat="1" applyFont="1" applyFill="1" applyBorder="1" applyAlignment="1">
      <alignment horizontal="right"/>
    </xf>
    <xf numFmtId="43" fontId="2" fillId="0" borderId="0" xfId="36" applyNumberFormat="1" applyBorder="1" applyAlignment="1">
      <alignment horizontal="right"/>
    </xf>
    <xf numFmtId="43" fontId="2" fillId="0" borderId="0" xfId="36" applyNumberFormat="1" applyFont="1" applyFill="1"/>
    <xf numFmtId="0" fontId="2" fillId="0" borderId="0" xfId="36" applyAlignment="1">
      <alignment horizontal="left" indent="2"/>
    </xf>
    <xf numFmtId="0" fontId="2" fillId="0" borderId="0" xfId="36" applyBorder="1"/>
    <xf numFmtId="0" fontId="26" fillId="0" borderId="0" xfId="36" applyFont="1"/>
    <xf numFmtId="43" fontId="2" fillId="5" borderId="19" xfId="32" applyNumberFormat="1" applyFill="1" applyBorder="1"/>
    <xf numFmtId="43" fontId="2" fillId="0" borderId="0" xfId="32" applyNumberFormat="1" applyFill="1" applyBorder="1"/>
    <xf numFmtId="43" fontId="2" fillId="6" borderId="20" xfId="32" applyNumberFormat="1" applyFill="1" applyBorder="1"/>
    <xf numFmtId="43" fontId="2" fillId="3" borderId="0" xfId="36" applyNumberFormat="1" applyFill="1"/>
    <xf numFmtId="166" fontId="27" fillId="0" borderId="0" xfId="38" applyFont="1" applyBorder="1" applyAlignment="1">
      <alignment horizontal="centerContinuous"/>
    </xf>
    <xf numFmtId="166" fontId="11" fillId="0" borderId="0" xfId="38" applyFont="1" applyBorder="1" applyAlignment="1">
      <alignment horizontal="centerContinuous"/>
    </xf>
    <xf numFmtId="0" fontId="2" fillId="0" borderId="0" xfId="34" applyAlignment="1">
      <alignment horizontal="centerContinuous"/>
    </xf>
    <xf numFmtId="43" fontId="3" fillId="0" borderId="0" xfId="38" applyNumberFormat="1" applyFont="1" applyBorder="1" applyAlignment="1">
      <alignment horizontal="centerContinuous"/>
    </xf>
    <xf numFmtId="166" fontId="3" fillId="0" borderId="0" xfId="38" applyBorder="1"/>
    <xf numFmtId="167" fontId="2" fillId="0" borderId="0" xfId="28" applyNumberFormat="1" applyFont="1"/>
    <xf numFmtId="167" fontId="2" fillId="0" borderId="0" xfId="34" applyNumberFormat="1"/>
    <xf numFmtId="0" fontId="2" fillId="0" borderId="0" xfId="34"/>
    <xf numFmtId="166" fontId="10" fillId="0" borderId="0" xfId="38" applyFont="1" applyBorder="1" applyAlignment="1">
      <alignment horizontal="centerContinuous"/>
    </xf>
    <xf numFmtId="166" fontId="17" fillId="0" borderId="0" xfId="38" applyFont="1" applyBorder="1" applyAlignment="1">
      <alignment horizontal="centerContinuous"/>
    </xf>
    <xf numFmtId="166" fontId="11" fillId="0" borderId="0" xfId="38" applyFont="1" applyBorder="1"/>
    <xf numFmtId="166" fontId="27" fillId="0" borderId="0" xfId="38" applyFont="1" applyAlignment="1">
      <alignment horizontal="center"/>
    </xf>
    <xf numFmtId="43" fontId="3" fillId="0" borderId="0" xfId="38" applyNumberFormat="1" applyFont="1" applyBorder="1"/>
    <xf numFmtId="166" fontId="3" fillId="0" borderId="0" xfId="38" applyNumberFormat="1" applyFont="1" applyFill="1" applyBorder="1" applyAlignment="1" applyProtection="1"/>
    <xf numFmtId="166" fontId="28" fillId="0" borderId="17" xfId="38" applyFont="1" applyBorder="1"/>
    <xf numFmtId="166" fontId="29" fillId="0" borderId="17" xfId="38" applyFont="1" applyBorder="1"/>
    <xf numFmtId="166" fontId="28" fillId="0" borderId="0" xfId="38" applyFont="1" applyBorder="1"/>
    <xf numFmtId="166" fontId="29" fillId="0" borderId="0" xfId="38" applyFont="1" applyBorder="1"/>
    <xf numFmtId="7" fontId="11" fillId="0" borderId="0" xfId="38" applyNumberFormat="1" applyFont="1" applyBorder="1"/>
    <xf numFmtId="43" fontId="11" fillId="0" borderId="0" xfId="33" applyNumberFormat="1" applyFont="1" applyBorder="1" applyAlignment="1">
      <alignment horizontal="center"/>
    </xf>
    <xf numFmtId="166" fontId="3" fillId="0" borderId="0" xfId="38" applyFont="1" applyBorder="1"/>
    <xf numFmtId="43" fontId="2" fillId="0" borderId="0" xfId="28" applyNumberFormat="1" applyFont="1"/>
    <xf numFmtId="167" fontId="2" fillId="0" borderId="0" xfId="34" applyNumberFormat="1" applyFont="1"/>
    <xf numFmtId="0" fontId="2" fillId="0" borderId="0" xfId="34" applyFont="1"/>
    <xf numFmtId="166" fontId="3" fillId="0" borderId="0" xfId="38" applyFont="1"/>
    <xf numFmtId="166" fontId="3" fillId="0" borderId="0" xfId="38" applyFont="1" applyFill="1"/>
    <xf numFmtId="166" fontId="11" fillId="0" borderId="0" xfId="38" applyFont="1" applyFill="1" applyBorder="1"/>
    <xf numFmtId="8" fontId="3" fillId="0" borderId="0" xfId="33" applyFont="1" applyFill="1" applyBorder="1"/>
    <xf numFmtId="43" fontId="3" fillId="0" borderId="0" xfId="33" applyNumberFormat="1" applyFont="1" applyFill="1" applyBorder="1"/>
    <xf numFmtId="8" fontId="3" fillId="0" borderId="0" xfId="33" applyFont="1" applyBorder="1"/>
    <xf numFmtId="43" fontId="3" fillId="0" borderId="0" xfId="33" applyNumberFormat="1" applyFont="1" applyBorder="1"/>
    <xf numFmtId="43" fontId="3" fillId="0" borderId="0" xfId="38" applyNumberFormat="1" applyFont="1" applyFill="1" applyBorder="1"/>
    <xf numFmtId="43" fontId="0" fillId="0" borderId="0" xfId="38" applyNumberFormat="1" applyFont="1" applyFill="1" applyBorder="1"/>
    <xf numFmtId="39" fontId="3" fillId="0" borderId="0" xfId="38" applyNumberFormat="1" applyFont="1" applyBorder="1"/>
    <xf numFmtId="43" fontId="3" fillId="0" borderId="0" xfId="33" applyNumberFormat="1" applyFont="1" applyBorder="1" applyAlignment="1">
      <alignment horizontal="center"/>
    </xf>
    <xf numFmtId="43" fontId="3" fillId="0" borderId="13" xfId="33" applyNumberFormat="1" applyFont="1" applyBorder="1" applyAlignment="1">
      <alignment horizontal="center"/>
    </xf>
    <xf numFmtId="166" fontId="11" fillId="0" borderId="21" xfId="38" applyFont="1" applyBorder="1"/>
    <xf numFmtId="166" fontId="3" fillId="0" borderId="21" xfId="38" applyFont="1" applyBorder="1"/>
    <xf numFmtId="43" fontId="11" fillId="0" borderId="21" xfId="38" applyNumberFormat="1" applyFont="1" applyBorder="1" applyAlignment="1">
      <alignment horizontal="center"/>
    </xf>
    <xf numFmtId="166" fontId="11" fillId="0" borderId="0" xfId="38" applyFont="1" applyBorder="1" applyAlignment="1">
      <alignment horizontal="center"/>
    </xf>
    <xf numFmtId="43" fontId="2" fillId="0" borderId="0" xfId="34" applyNumberFormat="1"/>
    <xf numFmtId="43" fontId="2" fillId="0" borderId="0" xfId="34" applyNumberFormat="1" applyFont="1"/>
    <xf numFmtId="166" fontId="11" fillId="0" borderId="0" xfId="38" applyFont="1"/>
    <xf numFmtId="43" fontId="11" fillId="0" borderId="0" xfId="38" applyNumberFormat="1" applyFont="1" applyBorder="1" applyAlignment="1">
      <alignment horizontal="center"/>
    </xf>
    <xf numFmtId="39" fontId="11" fillId="0" borderId="0" xfId="38" applyNumberFormat="1" applyFont="1" applyBorder="1" applyAlignment="1">
      <alignment horizontal="center"/>
    </xf>
    <xf numFmtId="43" fontId="3" fillId="0" borderId="0" xfId="33" applyNumberFormat="1" applyFont="1" applyBorder="1" applyAlignment="1">
      <alignment horizontal="centerContinuous"/>
    </xf>
    <xf numFmtId="43" fontId="3" fillId="0" borderId="13" xfId="33" applyNumberFormat="1" applyFont="1" applyBorder="1" applyAlignment="1">
      <alignment horizontal="centerContinuous"/>
    </xf>
    <xf numFmtId="166" fontId="10" fillId="0" borderId="0" xfId="38" applyFont="1" applyBorder="1" applyAlignment="1">
      <alignment horizontal="center"/>
    </xf>
    <xf numFmtId="166" fontId="11" fillId="0" borderId="0" xfId="38" applyFont="1" applyFill="1" applyBorder="1" applyAlignment="1">
      <alignment horizontal="center"/>
    </xf>
    <xf numFmtId="3" fontId="3" fillId="0" borderId="0" xfId="38" applyNumberFormat="1" applyFont="1" applyFill="1" applyBorder="1"/>
    <xf numFmtId="3" fontId="3" fillId="0" borderId="0" xfId="38" applyNumberFormat="1" applyFill="1" applyBorder="1"/>
    <xf numFmtId="166" fontId="11" fillId="0" borderId="21" xfId="38" applyFont="1" applyBorder="1" applyAlignment="1">
      <alignment horizontal="center"/>
    </xf>
    <xf numFmtId="3" fontId="3" fillId="0" borderId="21" xfId="38" applyNumberFormat="1" applyFont="1" applyBorder="1"/>
    <xf numFmtId="43" fontId="11" fillId="0" borderId="21" xfId="38" applyNumberFormat="1" applyFont="1" applyBorder="1"/>
    <xf numFmtId="3" fontId="3" fillId="0" borderId="0" xfId="38" applyNumberFormat="1" applyFont="1" applyBorder="1"/>
    <xf numFmtId="43" fontId="11" fillId="0" borderId="0" xfId="38" applyNumberFormat="1" applyFont="1" applyBorder="1"/>
    <xf numFmtId="43" fontId="3" fillId="0" borderId="0" xfId="38" applyNumberFormat="1" applyFont="1" applyFill="1" applyBorder="1" applyAlignment="1" applyProtection="1"/>
    <xf numFmtId="166" fontId="30" fillId="0" borderId="0" xfId="38" applyFont="1" applyFill="1" applyAlignment="1">
      <alignment horizontal="center"/>
    </xf>
    <xf numFmtId="0" fontId="4" fillId="0" borderId="0" xfId="35" applyFont="1" applyAlignment="1">
      <alignment horizontal="left"/>
    </xf>
    <xf numFmtId="0" fontId="2" fillId="0" borderId="0" xfId="35" applyAlignment="1">
      <alignment horizontal="center"/>
    </xf>
    <xf numFmtId="43" fontId="2" fillId="0" borderId="0" xfId="35" applyNumberFormat="1" applyAlignment="1">
      <alignment horizontal="center"/>
    </xf>
    <xf numFmtId="168" fontId="2" fillId="0" borderId="0" xfId="35" applyNumberFormat="1" applyAlignment="1">
      <alignment horizontal="center"/>
    </xf>
    <xf numFmtId="43" fontId="4" fillId="0" borderId="0" xfId="35" applyNumberFormat="1" applyFont="1" applyAlignment="1">
      <alignment horizontal="right"/>
    </xf>
    <xf numFmtId="0" fontId="2" fillId="0" borderId="0" xfId="35"/>
    <xf numFmtId="43" fontId="2" fillId="0" borderId="0" xfId="35" applyNumberFormat="1"/>
    <xf numFmtId="0" fontId="20" fillId="0" borderId="0" xfId="35" applyFont="1" applyAlignment="1">
      <alignment horizontal="left"/>
    </xf>
    <xf numFmtId="0" fontId="31" fillId="0" borderId="0" xfId="35" applyFont="1" applyFill="1" applyAlignment="1">
      <alignment horizontal="left"/>
    </xf>
    <xf numFmtId="0" fontId="2" fillId="0" borderId="0" xfId="35" applyFill="1" applyAlignment="1">
      <alignment horizontal="center"/>
    </xf>
    <xf numFmtId="43" fontId="2" fillId="0" borderId="0" xfId="35" applyNumberFormat="1" applyFill="1" applyAlignment="1">
      <alignment horizontal="center"/>
    </xf>
    <xf numFmtId="168" fontId="2" fillId="0" borderId="0" xfId="35" applyNumberFormat="1" applyFill="1" applyAlignment="1">
      <alignment horizontal="center"/>
    </xf>
    <xf numFmtId="43" fontId="2" fillId="0" borderId="0" xfId="35" applyNumberFormat="1" applyFill="1"/>
    <xf numFmtId="0" fontId="2" fillId="0" borderId="0" xfId="35" applyFill="1"/>
    <xf numFmtId="0" fontId="4" fillId="0" borderId="22" xfId="35" applyFont="1" applyBorder="1" applyAlignment="1">
      <alignment horizontal="center"/>
    </xf>
    <xf numFmtId="0" fontId="4" fillId="0" borderId="15" xfId="35" applyFont="1" applyBorder="1" applyAlignment="1">
      <alignment horizontal="center"/>
    </xf>
    <xf numFmtId="43" fontId="4" fillId="0" borderId="15" xfId="35" applyNumberFormat="1" applyFont="1" applyBorder="1" applyAlignment="1">
      <alignment horizontal="center"/>
    </xf>
    <xf numFmtId="168" fontId="4" fillId="0" borderId="15" xfId="35" applyNumberFormat="1" applyFont="1" applyBorder="1" applyAlignment="1">
      <alignment horizontal="center"/>
    </xf>
    <xf numFmtId="43" fontId="4" fillId="0" borderId="23" xfId="35" applyNumberFormat="1" applyFont="1" applyBorder="1" applyAlignment="1">
      <alignment horizontal="center"/>
    </xf>
    <xf numFmtId="0" fontId="32" fillId="0" borderId="24" xfId="35" applyFont="1" applyBorder="1" applyAlignment="1">
      <alignment horizontal="center"/>
    </xf>
    <xf numFmtId="0" fontId="4" fillId="0" borderId="0" xfId="35" applyFont="1" applyBorder="1" applyAlignment="1">
      <alignment horizontal="center"/>
    </xf>
    <xf numFmtId="43" fontId="4" fillId="0" borderId="0" xfId="35" applyNumberFormat="1" applyFont="1" applyBorder="1" applyAlignment="1">
      <alignment horizontal="center"/>
    </xf>
    <xf numFmtId="168" fontId="4" fillId="0" borderId="0" xfId="35" applyNumberFormat="1" applyFont="1" applyBorder="1" applyAlignment="1">
      <alignment horizontal="center"/>
    </xf>
    <xf numFmtId="43" fontId="4" fillId="0" borderId="25" xfId="35" applyNumberFormat="1" applyFont="1" applyBorder="1" applyAlignment="1">
      <alignment horizontal="center"/>
    </xf>
    <xf numFmtId="0" fontId="4" fillId="0" borderId="26" xfId="35" applyFont="1" applyBorder="1" applyAlignment="1">
      <alignment horizontal="center"/>
    </xf>
    <xf numFmtId="0" fontId="4" fillId="0" borderId="17" xfId="35" applyFont="1" applyBorder="1" applyAlignment="1">
      <alignment horizontal="center"/>
    </xf>
    <xf numFmtId="43" fontId="4" fillId="0" borderId="17" xfId="35" applyNumberFormat="1" applyFont="1" applyBorder="1" applyAlignment="1">
      <alignment horizontal="center"/>
    </xf>
    <xf numFmtId="168" fontId="4" fillId="0" borderId="17" xfId="35" applyNumberFormat="1" applyFont="1" applyBorder="1" applyAlignment="1">
      <alignment horizontal="center"/>
    </xf>
    <xf numFmtId="43" fontId="4" fillId="0" borderId="27" xfId="35" applyNumberFormat="1" applyFont="1" applyBorder="1" applyAlignment="1">
      <alignment horizontal="center"/>
    </xf>
    <xf numFmtId="0" fontId="4" fillId="0" borderId="24" xfId="35" applyFont="1" applyBorder="1" applyAlignment="1">
      <alignment horizontal="center"/>
    </xf>
    <xf numFmtId="169" fontId="2" fillId="0" borderId="24" xfId="35" applyNumberFormat="1" applyBorder="1" applyAlignment="1">
      <alignment horizontal="center"/>
    </xf>
    <xf numFmtId="169" fontId="2" fillId="0" borderId="0" xfId="35" applyNumberFormat="1" applyFont="1" applyBorder="1" applyAlignment="1">
      <alignment horizontal="center"/>
    </xf>
    <xf numFmtId="43" fontId="2" fillId="0" borderId="0" xfId="35" applyNumberFormat="1" applyFont="1" applyBorder="1" applyAlignment="1">
      <alignment horizontal="right"/>
    </xf>
    <xf numFmtId="168" fontId="2" fillId="0" borderId="0" xfId="35" applyNumberFormat="1" applyBorder="1" applyAlignment="1">
      <alignment horizontal="center"/>
    </xf>
    <xf numFmtId="0" fontId="2" fillId="0" borderId="0" xfId="35" applyBorder="1" applyAlignment="1">
      <alignment horizontal="center"/>
    </xf>
    <xf numFmtId="43" fontId="2" fillId="0" borderId="0" xfId="35" applyNumberFormat="1" applyBorder="1" applyAlignment="1">
      <alignment horizontal="center"/>
    </xf>
    <xf numFmtId="43" fontId="2" fillId="0" borderId="25" xfId="35" applyNumberFormat="1" applyBorder="1" applyAlignment="1">
      <alignment horizontal="center"/>
    </xf>
    <xf numFmtId="8" fontId="2" fillId="0" borderId="0" xfId="35" applyNumberFormat="1" applyAlignment="1">
      <alignment horizontal="right"/>
    </xf>
    <xf numFmtId="169" fontId="2" fillId="0" borderId="24" xfId="35" applyNumberFormat="1" applyFont="1" applyBorder="1" applyAlignment="1">
      <alignment horizontal="center"/>
    </xf>
    <xf numFmtId="43" fontId="2" fillId="0" borderId="0" xfId="35" applyNumberFormat="1" applyBorder="1" applyAlignment="1">
      <alignment horizontal="right"/>
    </xf>
    <xf numFmtId="43" fontId="33" fillId="0" borderId="25" xfId="35" applyNumberFormat="1" applyFont="1" applyBorder="1" applyAlignment="1">
      <alignment horizontal="center"/>
    </xf>
    <xf numFmtId="169" fontId="33" fillId="0" borderId="0" xfId="35" applyNumberFormat="1" applyFont="1" applyBorder="1" applyAlignment="1">
      <alignment horizontal="center"/>
    </xf>
    <xf numFmtId="43" fontId="2" fillId="0" borderId="13" xfId="35" applyNumberFormat="1" applyBorder="1" applyAlignment="1">
      <alignment horizontal="right"/>
    </xf>
    <xf numFmtId="43" fontId="2" fillId="0" borderId="0" xfId="35" applyNumberFormat="1" applyBorder="1"/>
    <xf numFmtId="43" fontId="33" fillId="0" borderId="28" xfId="35" applyNumberFormat="1" applyFont="1" applyBorder="1" applyAlignment="1">
      <alignment horizontal="center"/>
    </xf>
    <xf numFmtId="0" fontId="4" fillId="0" borderId="24" xfId="35" applyFont="1" applyBorder="1" applyAlignment="1">
      <alignment horizontal="left"/>
    </xf>
    <xf numFmtId="0" fontId="4" fillId="0" borderId="0" xfId="35" applyFont="1" applyBorder="1" applyAlignment="1">
      <alignment horizontal="left"/>
    </xf>
    <xf numFmtId="43" fontId="2" fillId="0" borderId="25" xfId="35" applyNumberFormat="1" applyBorder="1"/>
    <xf numFmtId="169" fontId="2" fillId="0" borderId="24" xfId="35" applyNumberFormat="1" applyFill="1" applyBorder="1" applyAlignment="1">
      <alignment horizontal="center"/>
    </xf>
    <xf numFmtId="169" fontId="2" fillId="0" borderId="0" xfId="35" applyNumberFormat="1" applyFill="1" applyBorder="1" applyAlignment="1">
      <alignment horizontal="center"/>
    </xf>
    <xf numFmtId="0" fontId="2" fillId="0" borderId="0" xfId="35" applyFill="1" applyBorder="1" applyAlignment="1">
      <alignment horizontal="center"/>
    </xf>
    <xf numFmtId="43" fontId="2" fillId="0" borderId="29" xfId="35" applyNumberFormat="1" applyFill="1" applyBorder="1" applyAlignment="1">
      <alignment horizontal="right"/>
    </xf>
    <xf numFmtId="168" fontId="2" fillId="0" borderId="0" xfId="35" applyNumberFormat="1" applyFill="1" applyBorder="1" applyAlignment="1">
      <alignment horizontal="center"/>
    </xf>
    <xf numFmtId="38" fontId="2" fillId="0" borderId="0" xfId="35" applyNumberFormat="1" applyFill="1" applyBorder="1" applyAlignment="1">
      <alignment horizontal="center"/>
    </xf>
    <xf numFmtId="43" fontId="2" fillId="0" borderId="30" xfId="35" applyNumberFormat="1" applyFill="1" applyBorder="1" applyAlignment="1">
      <alignment horizontal="center"/>
    </xf>
    <xf numFmtId="0" fontId="2" fillId="0" borderId="26" xfId="35" applyBorder="1"/>
    <xf numFmtId="0" fontId="2" fillId="0" borderId="17" xfId="35" applyBorder="1"/>
    <xf numFmtId="43" fontId="2" fillId="0" borderId="17" xfId="35" applyNumberFormat="1" applyBorder="1"/>
    <xf numFmtId="43" fontId="2" fillId="0" borderId="27" xfId="35" applyNumberFormat="1" applyBorder="1"/>
    <xf numFmtId="169" fontId="2" fillId="0" borderId="0" xfId="35" applyNumberFormat="1" applyBorder="1" applyAlignment="1">
      <alignment horizontal="center"/>
    </xf>
    <xf numFmtId="43" fontId="34" fillId="0" borderId="25" xfId="31" applyNumberFormat="1" applyFont="1" applyBorder="1" applyAlignment="1">
      <alignment horizontal="center"/>
    </xf>
    <xf numFmtId="43" fontId="33" fillId="0" borderId="28" xfId="35" applyNumberFormat="1" applyFont="1" applyBorder="1" applyAlignment="1">
      <alignment horizontal="right"/>
    </xf>
    <xf numFmtId="43" fontId="2" fillId="0" borderId="30" xfId="35" applyNumberFormat="1" applyFill="1" applyBorder="1" applyAlignment="1">
      <alignment horizontal="right"/>
    </xf>
    <xf numFmtId="43" fontId="2" fillId="0" borderId="13" xfId="35" applyNumberFormat="1" applyFont="1" applyBorder="1" applyAlignment="1">
      <alignment horizontal="right"/>
    </xf>
    <xf numFmtId="43" fontId="2" fillId="0" borderId="0" xfId="35" applyNumberFormat="1" applyFont="1" applyBorder="1" applyAlignment="1">
      <alignment horizontal="center"/>
    </xf>
    <xf numFmtId="168" fontId="2" fillId="3" borderId="0" xfId="35" applyNumberFormat="1" applyFill="1" applyBorder="1" applyAlignment="1">
      <alignment horizontal="center"/>
    </xf>
    <xf numFmtId="43" fontId="2" fillId="0" borderId="0" xfId="37" applyNumberFormat="1" applyAlignment="1">
      <alignment horizontal="centerContinuous"/>
    </xf>
    <xf numFmtId="0" fontId="2" fillId="0" borderId="0" xfId="37" applyAlignment="1">
      <alignment horizontal="centerContinuous"/>
    </xf>
    <xf numFmtId="0" fontId="2" fillId="0" borderId="0" xfId="37"/>
    <xf numFmtId="43" fontId="2" fillId="0" borderId="0" xfId="37" applyNumberFormat="1" applyBorder="1" applyAlignment="1">
      <alignment horizontal="centerContinuous"/>
    </xf>
    <xf numFmtId="0" fontId="2" fillId="0" borderId="0" xfId="37" applyBorder="1" applyAlignment="1">
      <alignment horizontal="centerContinuous"/>
    </xf>
    <xf numFmtId="0" fontId="2" fillId="0" borderId="0" xfId="37" applyBorder="1"/>
    <xf numFmtId="0" fontId="2" fillId="0" borderId="31" xfId="37" applyBorder="1"/>
    <xf numFmtId="43" fontId="2" fillId="0" borderId="0" xfId="37" applyNumberFormat="1"/>
    <xf numFmtId="43" fontId="2" fillId="0" borderId="16" xfId="37" applyNumberFormat="1" applyBorder="1"/>
    <xf numFmtId="43" fontId="2" fillId="3" borderId="16" xfId="37" applyNumberFormat="1" applyFill="1" applyBorder="1"/>
    <xf numFmtId="43" fontId="2" fillId="3" borderId="0" xfId="37" applyNumberFormat="1" applyFill="1"/>
    <xf numFmtId="0" fontId="2" fillId="3" borderId="31" xfId="37" applyFill="1" applyBorder="1"/>
    <xf numFmtId="0" fontId="2" fillId="0" borderId="10" xfId="37" applyBorder="1"/>
    <xf numFmtId="0" fontId="2" fillId="0" borderId="32" xfId="37" applyBorder="1"/>
    <xf numFmtId="43" fontId="2" fillId="0" borderId="0" xfId="37" applyNumberFormat="1" applyBorder="1"/>
    <xf numFmtId="43" fontId="4" fillId="0" borderId="17" xfId="37" applyNumberFormat="1" applyFont="1" applyBorder="1" applyAlignment="1">
      <alignment horizontal="left"/>
    </xf>
    <xf numFmtId="0" fontId="2" fillId="0" borderId="17" xfId="37" applyBorder="1"/>
    <xf numFmtId="0" fontId="4" fillId="0" borderId="33" xfId="37" applyFont="1" applyBorder="1" applyAlignment="1">
      <alignment horizontal="center"/>
    </xf>
    <xf numFmtId="0" fontId="33" fillId="0" borderId="17" xfId="37" applyFont="1" applyFill="1" applyBorder="1"/>
    <xf numFmtId="43" fontId="4" fillId="0" borderId="17" xfId="37" applyNumberFormat="1" applyFont="1" applyBorder="1"/>
    <xf numFmtId="43" fontId="4" fillId="0" borderId="18" xfId="37" applyNumberFormat="1" applyFont="1" applyBorder="1"/>
    <xf numFmtId="0" fontId="4" fillId="0" borderId="17" xfId="37" applyFont="1" applyBorder="1" applyAlignment="1">
      <alignment horizontal="center"/>
    </xf>
    <xf numFmtId="43" fontId="4" fillId="3" borderId="18" xfId="37" applyNumberFormat="1" applyFont="1" applyFill="1" applyBorder="1"/>
    <xf numFmtId="0" fontId="2" fillId="3" borderId="17" xfId="37" applyFill="1" applyBorder="1"/>
    <xf numFmtId="0" fontId="4" fillId="3" borderId="33" xfId="37" applyFont="1" applyFill="1" applyBorder="1" applyAlignment="1">
      <alignment horizontal="center"/>
    </xf>
    <xf numFmtId="0" fontId="4" fillId="0" borderId="34" xfId="37" applyFont="1" applyBorder="1" applyAlignment="1">
      <alignment horizontal="center"/>
    </xf>
    <xf numFmtId="43" fontId="4" fillId="0" borderId="0" xfId="37" applyNumberFormat="1" applyFont="1" applyBorder="1"/>
    <xf numFmtId="0" fontId="33" fillId="0" borderId="0" xfId="37" applyFont="1" applyFill="1" applyBorder="1"/>
    <xf numFmtId="0" fontId="4" fillId="0" borderId="0" xfId="37" applyFont="1" applyBorder="1" applyAlignment="1">
      <alignment horizontal="center"/>
    </xf>
    <xf numFmtId="43" fontId="4" fillId="0" borderId="0" xfId="37" applyNumberFormat="1" applyFont="1"/>
    <xf numFmtId="0" fontId="33" fillId="0" borderId="0" xfId="37" applyFont="1" applyFill="1"/>
    <xf numFmtId="0" fontId="4" fillId="0" borderId="8" xfId="37" applyFont="1" applyBorder="1"/>
    <xf numFmtId="43" fontId="4" fillId="0" borderId="8" xfId="37" applyNumberFormat="1" applyFont="1" applyBorder="1"/>
    <xf numFmtId="43" fontId="4" fillId="3" borderId="8" xfId="37" applyNumberFormat="1" applyFont="1" applyFill="1" applyBorder="1"/>
    <xf numFmtId="0" fontId="2" fillId="3" borderId="0" xfId="37" applyFill="1"/>
    <xf numFmtId="0" fontId="2" fillId="3" borderId="10" xfId="37" applyFill="1" applyBorder="1"/>
    <xf numFmtId="0" fontId="2" fillId="0" borderId="10" xfId="37" applyBorder="1" applyAlignment="1">
      <alignment horizontal="center"/>
    </xf>
    <xf numFmtId="0" fontId="2" fillId="0" borderId="35" xfId="37" applyBorder="1"/>
    <xf numFmtId="0" fontId="4" fillId="0" borderId="0" xfId="37" applyFont="1"/>
    <xf numFmtId="43" fontId="2" fillId="0" borderId="8" xfId="37" applyNumberFormat="1" applyBorder="1"/>
    <xf numFmtId="0" fontId="2" fillId="0" borderId="35" xfId="37" applyBorder="1" applyAlignment="1">
      <alignment horizontal="center"/>
    </xf>
    <xf numFmtId="43" fontId="2" fillId="3" borderId="8" xfId="37" applyNumberFormat="1" applyFill="1" applyBorder="1"/>
    <xf numFmtId="0" fontId="36" fillId="0" borderId="0" xfId="37" applyFont="1" applyFill="1"/>
    <xf numFmtId="0" fontId="21" fillId="0" borderId="10" xfId="37" applyFont="1" applyFill="1" applyBorder="1" applyAlignment="1">
      <alignment horizontal="center"/>
    </xf>
    <xf numFmtId="43" fontId="21" fillId="0" borderId="0" xfId="37" applyNumberFormat="1" applyFont="1" applyFill="1"/>
    <xf numFmtId="0" fontId="21" fillId="0" borderId="0" xfId="37" applyFont="1" applyFill="1"/>
    <xf numFmtId="10" fontId="21" fillId="0" borderId="10" xfId="37" applyNumberFormat="1" applyFont="1" applyFill="1" applyBorder="1"/>
    <xf numFmtId="44" fontId="21" fillId="0" borderId="0" xfId="37" applyNumberFormat="1" applyFont="1" applyFill="1"/>
    <xf numFmtId="43" fontId="21" fillId="0" borderId="8" xfId="37" applyNumberFormat="1" applyFont="1" applyFill="1" applyBorder="1"/>
    <xf numFmtId="10" fontId="21" fillId="0" borderId="0" xfId="37" applyNumberFormat="1" applyFont="1" applyFill="1"/>
    <xf numFmtId="43" fontId="21" fillId="3" borderId="8" xfId="37" applyNumberFormat="1" applyFont="1" applyFill="1" applyBorder="1"/>
    <xf numFmtId="0" fontId="21" fillId="3" borderId="0" xfId="37" applyFont="1" applyFill="1"/>
    <xf numFmtId="10" fontId="21" fillId="3" borderId="10" xfId="37" applyNumberFormat="1" applyFont="1" applyFill="1" applyBorder="1"/>
    <xf numFmtId="10" fontId="21" fillId="0" borderId="35" xfId="37" applyNumberFormat="1" applyFont="1" applyFill="1" applyBorder="1"/>
    <xf numFmtId="43" fontId="21" fillId="0" borderId="0" xfId="37" applyNumberFormat="1" applyFont="1" applyFill="1" applyBorder="1"/>
    <xf numFmtId="44" fontId="21" fillId="0" borderId="0" xfId="37" applyNumberFormat="1" applyFont="1" applyFill="1" applyBorder="1"/>
    <xf numFmtId="10" fontId="21" fillId="0" borderId="0" xfId="37" applyNumberFormat="1" applyFont="1" applyFill="1" applyBorder="1"/>
    <xf numFmtId="10" fontId="2" fillId="0" borderId="10" xfId="37" applyNumberFormat="1" applyBorder="1"/>
    <xf numFmtId="44" fontId="33" fillId="0" borderId="0" xfId="37" applyNumberFormat="1" applyFont="1" applyFill="1"/>
    <xf numFmtId="10" fontId="2" fillId="0" borderId="0" xfId="37" applyNumberFormat="1"/>
    <xf numFmtId="10" fontId="2" fillId="3" borderId="10" xfId="37" applyNumberFormat="1" applyFill="1" applyBorder="1"/>
    <xf numFmtId="44" fontId="33" fillId="0" borderId="0" xfId="37" applyNumberFormat="1" applyFont="1" applyFill="1" applyBorder="1"/>
    <xf numFmtId="10" fontId="2" fillId="0" borderId="0" xfId="37" applyNumberFormat="1" applyBorder="1"/>
    <xf numFmtId="43" fontId="2" fillId="0" borderId="17" xfId="37" applyNumberFormat="1" applyBorder="1"/>
    <xf numFmtId="10" fontId="2" fillId="0" borderId="33" xfId="37" applyNumberFormat="1" applyBorder="1"/>
    <xf numFmtId="44" fontId="33" fillId="0" borderId="17" xfId="37" applyNumberFormat="1" applyFont="1" applyFill="1" applyBorder="1"/>
    <xf numFmtId="43" fontId="2" fillId="0" borderId="18" xfId="37" applyNumberFormat="1" applyBorder="1"/>
    <xf numFmtId="43" fontId="2" fillId="3" borderId="18" xfId="37" applyNumberFormat="1" applyFill="1" applyBorder="1"/>
    <xf numFmtId="10" fontId="2" fillId="0" borderId="34" xfId="37" applyNumberFormat="1" applyBorder="1"/>
    <xf numFmtId="10" fontId="2" fillId="0" borderId="35" xfId="37" applyNumberFormat="1" applyBorder="1"/>
    <xf numFmtId="0" fontId="2" fillId="0" borderId="10" xfId="37" applyFont="1" applyBorder="1"/>
    <xf numFmtId="10" fontId="4" fillId="0" borderId="10" xfId="37" applyNumberFormat="1" applyFont="1" applyBorder="1"/>
    <xf numFmtId="44" fontId="4" fillId="0" borderId="0" xfId="37" applyNumberFormat="1" applyFont="1" applyFill="1"/>
    <xf numFmtId="0" fontId="4" fillId="3" borderId="0" xfId="37" applyFont="1" applyFill="1"/>
    <xf numFmtId="10" fontId="2" fillId="0" borderId="10" xfId="37" applyNumberFormat="1" applyFont="1" applyBorder="1"/>
    <xf numFmtId="10" fontId="4" fillId="0" borderId="35" xfId="37" applyNumberFormat="1" applyFont="1" applyBorder="1"/>
    <xf numFmtId="44" fontId="4" fillId="0" borderId="0" xfId="37" applyNumberFormat="1" applyFont="1" applyFill="1" applyBorder="1"/>
    <xf numFmtId="10" fontId="4" fillId="0" borderId="0" xfId="37" applyNumberFormat="1" applyFont="1" applyBorder="1"/>
    <xf numFmtId="0" fontId="2" fillId="0" borderId="0" xfId="37" applyFont="1"/>
    <xf numFmtId="43" fontId="33" fillId="0" borderId="0" xfId="37" applyNumberFormat="1" applyFont="1" applyFill="1"/>
    <xf numFmtId="43" fontId="2" fillId="0" borderId="17" xfId="37" applyNumberFormat="1" applyFont="1" applyBorder="1"/>
    <xf numFmtId="10" fontId="2" fillId="3" borderId="33" xfId="37" applyNumberFormat="1" applyFill="1" applyBorder="1"/>
    <xf numFmtId="44" fontId="32" fillId="0" borderId="0" xfId="37" applyNumberFormat="1" applyFont="1" applyFill="1"/>
    <xf numFmtId="10" fontId="4" fillId="0" borderId="0" xfId="37" applyNumberFormat="1" applyFont="1"/>
    <xf numFmtId="10" fontId="4" fillId="3" borderId="10" xfId="37" applyNumberFormat="1" applyFont="1" applyFill="1" applyBorder="1"/>
    <xf numFmtId="44" fontId="32" fillId="0" borderId="0" xfId="37" applyNumberFormat="1" applyFont="1" applyFill="1" applyBorder="1"/>
    <xf numFmtId="0" fontId="37" fillId="0" borderId="0" xfId="37" applyFont="1"/>
    <xf numFmtId="43" fontId="4" fillId="3" borderId="0" xfId="37" applyNumberFormat="1" applyFont="1" applyFill="1"/>
    <xf numFmtId="8" fontId="2" fillId="0" borderId="0" xfId="37" applyNumberFormat="1"/>
    <xf numFmtId="8" fontId="2" fillId="0" borderId="10" xfId="37" applyNumberFormat="1" applyBorder="1"/>
    <xf numFmtId="43" fontId="4" fillId="0" borderId="0" xfId="37" applyNumberFormat="1" applyFont="1" applyFill="1"/>
    <xf numFmtId="170" fontId="33" fillId="0" borderId="0" xfId="37" applyNumberFormat="1" applyFont="1" applyFill="1"/>
    <xf numFmtId="170" fontId="2" fillId="0" borderId="10" xfId="37" applyNumberFormat="1" applyBorder="1"/>
    <xf numFmtId="8" fontId="2" fillId="3" borderId="0" xfId="37" applyNumberFormat="1" applyFill="1"/>
    <xf numFmtId="8" fontId="2" fillId="3" borderId="10" xfId="37" applyNumberFormat="1" applyFill="1" applyBorder="1"/>
    <xf numFmtId="8" fontId="2" fillId="0" borderId="35" xfId="37" applyNumberFormat="1" applyBorder="1"/>
    <xf numFmtId="43" fontId="4" fillId="0" borderId="0" xfId="37" applyNumberFormat="1" applyFont="1" applyFill="1" applyBorder="1"/>
    <xf numFmtId="170" fontId="33" fillId="0" borderId="0" xfId="37" applyNumberFormat="1" applyFont="1" applyFill="1" applyBorder="1"/>
    <xf numFmtId="170" fontId="2" fillId="0" borderId="0" xfId="37" applyNumberFormat="1" applyBorder="1"/>
    <xf numFmtId="43" fontId="33" fillId="0" borderId="0" xfId="37" applyNumberFormat="1" applyFont="1" applyFill="1" applyBorder="1"/>
    <xf numFmtId="43" fontId="2" fillId="0" borderId="0" xfId="37" applyNumberFormat="1" applyFill="1"/>
    <xf numFmtId="43" fontId="20" fillId="0" borderId="0" xfId="37" applyNumberFormat="1" applyFont="1"/>
    <xf numFmtId="0" fontId="32" fillId="0" borderId="0" xfId="37" applyFont="1" applyAlignment="1">
      <alignment horizontal="center"/>
    </xf>
    <xf numFmtId="0" fontId="6" fillId="0" borderId="0" xfId="37" applyFont="1"/>
    <xf numFmtId="0" fontId="20" fillId="0" borderId="0" xfId="37" applyFont="1" applyFill="1"/>
    <xf numFmtId="43" fontId="2" fillId="0" borderId="0" xfId="37" applyNumberFormat="1" applyAlignment="1">
      <alignment horizontal="center"/>
    </xf>
    <xf numFmtId="43" fontId="2" fillId="0" borderId="0" xfId="37" applyNumberFormat="1" applyFont="1" applyAlignment="1">
      <alignment horizontal="center"/>
    </xf>
    <xf numFmtId="0" fontId="38" fillId="0" borderId="36" xfId="39" applyNumberFormat="1" applyFont="1" applyBorder="1" applyAlignment="1"/>
    <xf numFmtId="0" fontId="38" fillId="0" borderId="37" xfId="39" applyNumberFormat="1" applyFont="1" applyBorder="1" applyAlignment="1"/>
    <xf numFmtId="0" fontId="38" fillId="0" borderId="38" xfId="39" applyNumberFormat="1" applyFont="1" applyBorder="1" applyAlignment="1"/>
    <xf numFmtId="43" fontId="38" fillId="0" borderId="37" xfId="39" applyNumberFormat="1" applyFont="1" applyBorder="1" applyAlignment="1"/>
    <xf numFmtId="0" fontId="7" fillId="0" borderId="37" xfId="39" applyNumberFormat="1" applyFont="1" applyBorder="1" applyAlignment="1"/>
    <xf numFmtId="0" fontId="7" fillId="0" borderId="39" xfId="39" applyNumberFormat="1" applyFont="1" applyBorder="1"/>
    <xf numFmtId="0" fontId="7" fillId="0" borderId="0" xfId="39" applyNumberFormat="1" applyFont="1" applyAlignment="1"/>
    <xf numFmtId="0" fontId="38" fillId="0" borderId="39" xfId="39" applyNumberFormat="1" applyFont="1" applyBorder="1" applyAlignment="1"/>
    <xf numFmtId="0" fontId="38" fillId="0" borderId="0" xfId="39" applyNumberFormat="1" applyFont="1" applyAlignment="1"/>
    <xf numFmtId="0" fontId="38" fillId="0" borderId="40" xfId="39" applyNumberFormat="1" applyFont="1" applyBorder="1" applyAlignment="1"/>
    <xf numFmtId="43" fontId="38" fillId="0" borderId="0" xfId="39" applyNumberFormat="1" applyFont="1" applyAlignment="1"/>
    <xf numFmtId="0" fontId="38" fillId="0" borderId="0" xfId="39" applyNumberFormat="1" applyFont="1" applyAlignment="1">
      <alignment horizontal="centerContinuous"/>
    </xf>
    <xf numFmtId="0" fontId="7" fillId="0" borderId="0" xfId="39" applyNumberFormat="1" applyFont="1" applyAlignment="1">
      <alignment horizontal="centerContinuous"/>
    </xf>
    <xf numFmtId="43" fontId="38" fillId="0" borderId="0" xfId="39" applyNumberFormat="1" applyFont="1" applyAlignment="1">
      <alignment horizontal="centerContinuous"/>
    </xf>
    <xf numFmtId="171" fontId="38" fillId="0" borderId="0" xfId="39" applyNumberFormat="1" applyFont="1" applyAlignment="1">
      <alignment horizontal="centerContinuous"/>
    </xf>
    <xf numFmtId="171" fontId="7" fillId="0" borderId="0" xfId="39" applyNumberFormat="1" applyFont="1" applyAlignment="1" applyProtection="1">
      <alignment horizontal="centerContinuous"/>
      <protection locked="0"/>
    </xf>
    <xf numFmtId="0" fontId="38" fillId="0" borderId="41" xfId="39" applyNumberFormat="1" applyFont="1" applyBorder="1" applyAlignment="1"/>
    <xf numFmtId="0" fontId="38" fillId="0" borderId="42" xfId="39" applyNumberFormat="1" applyFont="1" applyBorder="1" applyAlignment="1"/>
    <xf numFmtId="0" fontId="38" fillId="0" borderId="43" xfId="39" applyNumberFormat="1" applyFont="1" applyBorder="1" applyAlignment="1"/>
    <xf numFmtId="43" fontId="38" fillId="0" borderId="42" xfId="39" applyNumberFormat="1" applyFont="1" applyBorder="1" applyAlignment="1"/>
    <xf numFmtId="0" fontId="7" fillId="0" borderId="42" xfId="39" applyNumberFormat="1" applyFont="1" applyBorder="1" applyAlignment="1"/>
    <xf numFmtId="0" fontId="38" fillId="0" borderId="0" xfId="39" applyNumberFormat="1" applyFont="1" applyBorder="1" applyAlignment="1"/>
    <xf numFmtId="43" fontId="38" fillId="0" borderId="0" xfId="39" applyNumberFormat="1" applyFont="1" applyBorder="1" applyAlignment="1">
      <alignment horizontal="center"/>
    </xf>
    <xf numFmtId="43" fontId="38" fillId="0" borderId="0" xfId="39" applyNumberFormat="1" applyFont="1" applyBorder="1" applyAlignment="1"/>
    <xf numFmtId="0" fontId="7" fillId="0" borderId="0" xfId="39" applyNumberFormat="1" applyFont="1" applyBorder="1" applyAlignment="1"/>
    <xf numFmtId="0" fontId="38" fillId="0" borderId="0" xfId="39" applyNumberFormat="1" applyFont="1" applyAlignment="1">
      <alignment horizontal="center"/>
    </xf>
    <xf numFmtId="43" fontId="38" fillId="0" borderId="0" xfId="39" applyNumberFormat="1" applyFont="1" applyAlignment="1">
      <alignment horizontal="center"/>
    </xf>
    <xf numFmtId="0" fontId="38" fillId="0" borderId="0" xfId="39" applyNumberFormat="1" applyFont="1" applyAlignment="1">
      <alignment horizontal="fill"/>
    </xf>
    <xf numFmtId="0" fontId="39" fillId="0" borderId="0" xfId="39" applyNumberFormat="1" applyFont="1" applyAlignment="1">
      <alignment horizontal="center"/>
    </xf>
    <xf numFmtId="0" fontId="39" fillId="0" borderId="0" xfId="39" applyNumberFormat="1" applyFont="1" applyBorder="1" applyAlignment="1">
      <alignment horizontal="center"/>
    </xf>
    <xf numFmtId="17" fontId="39" fillId="3" borderId="0" xfId="39" quotePrefix="1" applyNumberFormat="1" applyFont="1" applyFill="1" applyAlignment="1">
      <alignment horizontal="center"/>
    </xf>
    <xf numFmtId="0" fontId="7" fillId="0" borderId="0" xfId="39" applyNumberFormat="1" applyFont="1" applyAlignment="1">
      <alignment horizontal="center"/>
    </xf>
    <xf numFmtId="17" fontId="39" fillId="0" borderId="0" xfId="39" quotePrefix="1" applyNumberFormat="1" applyFont="1" applyAlignment="1">
      <alignment horizontal="center"/>
    </xf>
    <xf numFmtId="43" fontId="38" fillId="0" borderId="0" xfId="39" applyNumberFormat="1" applyFont="1" applyAlignment="1">
      <alignment horizontal="fill"/>
    </xf>
    <xf numFmtId="43" fontId="7" fillId="0" borderId="0" xfId="39" applyNumberFormat="1" applyFont="1" applyAlignment="1"/>
    <xf numFmtId="0" fontId="38" fillId="0" borderId="40" xfId="39" applyNumberFormat="1" applyFont="1" applyBorder="1" applyAlignment="1">
      <alignment horizontal="fill"/>
    </xf>
    <xf numFmtId="0" fontId="40" fillId="0" borderId="39" xfId="39" applyNumberFormat="1" applyFont="1" applyBorder="1" applyAlignment="1">
      <alignment horizontal="right"/>
    </xf>
    <xf numFmtId="0" fontId="38" fillId="0" borderId="39" xfId="39" applyNumberFormat="1" applyFont="1" applyBorder="1" applyAlignment="1">
      <alignment horizontal="right"/>
    </xf>
    <xf numFmtId="172" fontId="38" fillId="0" borderId="0" xfId="39" applyNumberFormat="1" applyFont="1" applyAlignment="1"/>
    <xf numFmtId="10" fontId="38" fillId="0" borderId="0" xfId="39" applyNumberFormat="1" applyFont="1" applyAlignment="1"/>
    <xf numFmtId="43" fontId="38" fillId="3" borderId="0" xfId="39" applyNumberFormat="1" applyFont="1" applyFill="1" applyAlignment="1"/>
    <xf numFmtId="10" fontId="38" fillId="0" borderId="0" xfId="39" applyNumberFormat="1" applyFont="1" applyAlignment="1">
      <alignment horizontal="center"/>
    </xf>
    <xf numFmtId="0" fontId="38" fillId="0" borderId="0" xfId="39" applyNumberFormat="1" applyFont="1" applyAlignment="1">
      <alignment horizontal="left"/>
    </xf>
    <xf numFmtId="43" fontId="38" fillId="0" borderId="0" xfId="39" applyNumberFormat="1" applyFont="1" applyFill="1" applyAlignment="1"/>
    <xf numFmtId="172" fontId="7" fillId="0" borderId="0" xfId="39" applyNumberFormat="1" applyFont="1" applyFill="1" applyAlignment="1"/>
    <xf numFmtId="4" fontId="7" fillId="0" borderId="0" xfId="39" applyNumberFormat="1" applyFont="1" applyAlignment="1"/>
    <xf numFmtId="4" fontId="38" fillId="0" borderId="40" xfId="39" applyNumberFormat="1" applyFont="1" applyBorder="1" applyAlignment="1"/>
    <xf numFmtId="43" fontId="7" fillId="0" borderId="0" xfId="39" applyNumberFormat="1" applyFont="1"/>
    <xf numFmtId="43" fontId="38" fillId="0" borderId="44" xfId="39" applyNumberFormat="1" applyFont="1" applyBorder="1" applyAlignment="1"/>
    <xf numFmtId="43" fontId="38" fillId="3" borderId="44" xfId="39" applyNumberFormat="1" applyFont="1" applyFill="1" applyBorder="1" applyAlignment="1"/>
    <xf numFmtId="43" fontId="7" fillId="0" borderId="13" xfId="39" applyNumberFormat="1" applyFont="1" applyBorder="1" applyAlignment="1"/>
    <xf numFmtId="172" fontId="7" fillId="0" borderId="0" xfId="39" applyNumberFormat="1" applyFont="1" applyAlignment="1"/>
    <xf numFmtId="0" fontId="7" fillId="0" borderId="40" xfId="39" applyNumberFormat="1" applyFont="1" applyBorder="1" applyAlignment="1"/>
    <xf numFmtId="43" fontId="7" fillId="3" borderId="0" xfId="39" applyNumberFormat="1" applyFont="1" applyFill="1" applyAlignment="1"/>
    <xf numFmtId="0" fontId="42" fillId="0" borderId="0" xfId="39" applyNumberFormat="1" applyFont="1" applyAlignment="1"/>
    <xf numFmtId="43" fontId="42" fillId="0" borderId="0" xfId="39" applyNumberFormat="1" applyFont="1" applyAlignment="1"/>
    <xf numFmtId="173" fontId="38" fillId="0" borderId="0" xfId="39" applyNumberFormat="1" applyFont="1" applyAlignment="1" applyProtection="1">
      <protection hidden="1"/>
    </xf>
    <xf numFmtId="4" fontId="42" fillId="0" borderId="40" xfId="39" applyNumberFormat="1" applyFont="1" applyBorder="1" applyAlignment="1"/>
    <xf numFmtId="0" fontId="7" fillId="0" borderId="0" xfId="39" applyNumberFormat="1" applyFont="1" applyFill="1" applyAlignment="1"/>
    <xf numFmtId="43" fontId="38" fillId="0" borderId="0" xfId="39" applyNumberFormat="1" applyFont="1" applyAlignment="1" applyProtection="1">
      <protection hidden="1"/>
    </xf>
    <xf numFmtId="10" fontId="38" fillId="0" borderId="0" xfId="39" applyNumberFormat="1" applyFont="1" applyFill="1" applyAlignment="1"/>
    <xf numFmtId="43" fontId="7" fillId="0" borderId="44" xfId="39" applyNumberFormat="1" applyFont="1" applyBorder="1" applyAlignment="1"/>
    <xf numFmtId="43" fontId="7" fillId="3" borderId="44" xfId="39" applyNumberFormat="1" applyFont="1" applyFill="1" applyBorder="1" applyAlignment="1"/>
    <xf numFmtId="10" fontId="7" fillId="0" borderId="0" xfId="39" applyNumberFormat="1" applyFont="1" applyAlignment="1"/>
    <xf numFmtId="0" fontId="38" fillId="0" borderId="0" xfId="39" applyNumberFormat="1" applyFont="1" applyFill="1" applyAlignment="1">
      <alignment horizontal="center"/>
    </xf>
    <xf numFmtId="10" fontId="38" fillId="0" borderId="40" xfId="39" applyNumberFormat="1" applyFont="1" applyBorder="1" applyAlignment="1"/>
    <xf numFmtId="10" fontId="38" fillId="0" borderId="0" xfId="39" applyNumberFormat="1" applyFont="1" applyFill="1" applyAlignment="1">
      <alignment horizontal="center"/>
    </xf>
    <xf numFmtId="43" fontId="38" fillId="3" borderId="0" xfId="39" applyNumberFormat="1" applyFont="1" applyFill="1" applyAlignment="1">
      <alignment horizontal="fill"/>
    </xf>
    <xf numFmtId="43" fontId="38" fillId="0" borderId="13" xfId="39" applyNumberFormat="1" applyFont="1" applyBorder="1" applyAlignment="1"/>
    <xf numFmtId="4" fontId="38" fillId="0" borderId="0" xfId="39" applyNumberFormat="1" applyFont="1" applyAlignment="1"/>
    <xf numFmtId="4" fontId="42" fillId="0" borderId="0" xfId="39" applyNumberFormat="1" applyFont="1" applyAlignment="1"/>
    <xf numFmtId="40" fontId="7" fillId="0" borderId="0" xfId="28" applyFont="1"/>
    <xf numFmtId="10" fontId="7" fillId="0" borderId="0" xfId="39" applyNumberFormat="1" applyFont="1" applyFill="1" applyAlignment="1"/>
    <xf numFmtId="43" fontId="38" fillId="3" borderId="42" xfId="39" applyNumberFormat="1" applyFont="1" applyFill="1" applyBorder="1" applyAlignment="1"/>
    <xf numFmtId="172" fontId="38" fillId="0" borderId="42" xfId="39" applyNumberFormat="1" applyFont="1" applyBorder="1" applyAlignment="1"/>
    <xf numFmtId="40" fontId="38" fillId="0" borderId="0" xfId="28" applyFont="1" applyFill="1" applyAlignment="1"/>
    <xf numFmtId="40" fontId="38" fillId="0" borderId="42" xfId="28" applyFont="1" applyBorder="1" applyAlignment="1"/>
    <xf numFmtId="10" fontId="7" fillId="0" borderId="0" xfId="39" applyNumberFormat="1" applyFont="1"/>
    <xf numFmtId="40" fontId="38" fillId="0" borderId="29" xfId="28" applyFont="1" applyFill="1" applyBorder="1" applyAlignment="1"/>
    <xf numFmtId="40" fontId="7" fillId="0" borderId="29" xfId="28" applyFont="1" applyBorder="1" applyAlignment="1"/>
    <xf numFmtId="0" fontId="6" fillId="0" borderId="39" xfId="39" applyNumberFormat="1" applyFont="1" applyBorder="1" applyAlignment="1">
      <alignment horizontal="right"/>
    </xf>
    <xf numFmtId="0" fontId="7" fillId="0" borderId="39" xfId="39" applyNumberFormat="1" applyFont="1" applyBorder="1" applyAlignment="1"/>
    <xf numFmtId="0" fontId="7" fillId="0" borderId="45" xfId="39" applyNumberFormat="1" applyFont="1" applyBorder="1" applyAlignment="1"/>
    <xf numFmtId="0" fontId="7" fillId="0" borderId="17" xfId="39" applyNumberFormat="1" applyFont="1" applyBorder="1" applyAlignment="1"/>
    <xf numFmtId="0" fontId="38" fillId="0" borderId="17" xfId="39" applyNumberFormat="1" applyFont="1" applyBorder="1" applyAlignment="1"/>
    <xf numFmtId="4" fontId="38" fillId="0" borderId="17" xfId="39" applyNumberFormat="1" applyFont="1" applyBorder="1" applyAlignment="1"/>
    <xf numFmtId="10" fontId="38" fillId="0" borderId="17" xfId="39" applyNumberFormat="1" applyFont="1" applyBorder="1" applyAlignment="1"/>
    <xf numFmtId="0" fontId="38" fillId="0" borderId="46" xfId="39" applyNumberFormat="1" applyFont="1" applyBorder="1" applyAlignment="1"/>
    <xf numFmtId="0" fontId="38" fillId="0" borderId="45" xfId="39" applyNumberFormat="1" applyFont="1" applyBorder="1" applyAlignment="1"/>
    <xf numFmtId="43" fontId="38" fillId="0" borderId="17" xfId="39" applyNumberFormat="1" applyFont="1" applyBorder="1" applyAlignment="1"/>
    <xf numFmtId="4" fontId="38" fillId="0" borderId="46" xfId="39" applyNumberFormat="1" applyFont="1" applyBorder="1" applyAlignment="1"/>
    <xf numFmtId="0" fontId="7" fillId="0" borderId="0" xfId="39" applyNumberFormat="1" applyFont="1" applyBorder="1"/>
    <xf numFmtId="43" fontId="7" fillId="0" borderId="0" xfId="39" applyNumberFormat="1" applyFont="1" applyBorder="1"/>
    <xf numFmtId="0" fontId="7" fillId="0" borderId="0" xfId="39" applyNumberFormat="1" applyFont="1"/>
    <xf numFmtId="0" fontId="43" fillId="0" borderId="0" xfId="14" applyFont="1"/>
    <xf numFmtId="0" fontId="44" fillId="0" borderId="0" xfId="14" applyFont="1"/>
    <xf numFmtId="43" fontId="44" fillId="0" borderId="0" xfId="5" applyFont="1"/>
    <xf numFmtId="43" fontId="2" fillId="0" borderId="0" xfId="5" applyFont="1"/>
    <xf numFmtId="0" fontId="2" fillId="0" borderId="0" xfId="14"/>
    <xf numFmtId="43" fontId="45" fillId="0" borderId="0" xfId="5" applyFont="1" applyBorder="1"/>
    <xf numFmtId="0" fontId="2" fillId="0" borderId="0" xfId="14" applyFont="1"/>
    <xf numFmtId="43" fontId="45" fillId="0" borderId="6" xfId="5" applyFont="1" applyBorder="1"/>
    <xf numFmtId="44" fontId="45" fillId="0" borderId="0" xfId="7" applyFont="1" applyBorder="1"/>
    <xf numFmtId="0" fontId="46" fillId="0" borderId="0" xfId="14" applyFont="1"/>
    <xf numFmtId="43" fontId="2" fillId="7" borderId="3" xfId="5" applyFont="1" applyFill="1" applyBorder="1" applyAlignment="1">
      <alignment horizontal="centerContinuous"/>
    </xf>
    <xf numFmtId="43" fontId="2" fillId="7" borderId="47" xfId="5" applyFont="1" applyFill="1" applyBorder="1" applyAlignment="1">
      <alignment horizontal="centerContinuous"/>
    </xf>
    <xf numFmtId="43" fontId="2" fillId="7" borderId="48" xfId="5" applyFont="1" applyFill="1" applyBorder="1" applyAlignment="1">
      <alignment horizontal="centerContinuous"/>
    </xf>
    <xf numFmtId="0" fontId="2" fillId="8" borderId="3" xfId="14" applyFont="1" applyFill="1" applyBorder="1" applyAlignment="1">
      <alignment horizontal="centerContinuous"/>
    </xf>
    <xf numFmtId="0" fontId="2" fillId="8" borderId="47" xfId="14" applyFont="1" applyFill="1" applyBorder="1" applyAlignment="1">
      <alignment horizontal="centerContinuous"/>
    </xf>
    <xf numFmtId="0" fontId="2" fillId="8" borderId="47" xfId="14" applyFill="1" applyBorder="1" applyAlignment="1">
      <alignment horizontal="centerContinuous"/>
    </xf>
    <xf numFmtId="0" fontId="2" fillId="8" borderId="7" xfId="14" applyFont="1" applyFill="1" applyBorder="1" applyAlignment="1">
      <alignment horizontal="centerContinuous"/>
    </xf>
    <xf numFmtId="0" fontId="2" fillId="8" borderId="3" xfId="14" applyFont="1" applyFill="1" applyBorder="1" applyAlignment="1">
      <alignment horizontal="center"/>
    </xf>
    <xf numFmtId="0" fontId="2" fillId="8" borderId="4" xfId="14" applyFont="1" applyFill="1" applyBorder="1" applyAlignment="1"/>
    <xf numFmtId="0" fontId="45" fillId="9" borderId="1" xfId="14" applyFont="1" applyFill="1" applyBorder="1" applyAlignment="1">
      <alignment horizontal="center" wrapText="1"/>
    </xf>
    <xf numFmtId="0" fontId="45" fillId="9" borderId="1" xfId="14" applyFont="1" applyFill="1" applyBorder="1" applyAlignment="1">
      <alignment horizontal="center"/>
    </xf>
    <xf numFmtId="43" fontId="45" fillId="7" borderId="1" xfId="5" applyFont="1" applyFill="1" applyBorder="1" applyAlignment="1">
      <alignment horizontal="center"/>
    </xf>
    <xf numFmtId="43" fontId="45" fillId="7" borderId="48" xfId="5" applyFont="1" applyFill="1" applyBorder="1" applyAlignment="1">
      <alignment horizontal="center"/>
    </xf>
    <xf numFmtId="43" fontId="45" fillId="7" borderId="1" xfId="5" applyFont="1" applyFill="1" applyBorder="1" applyAlignment="1">
      <alignment horizontal="center" wrapText="1"/>
    </xf>
    <xf numFmtId="0" fontId="45" fillId="8" borderId="1" xfId="14" applyFont="1" applyFill="1" applyBorder="1" applyAlignment="1">
      <alignment horizontal="center" wrapText="1"/>
    </xf>
    <xf numFmtId="0" fontId="45" fillId="8" borderId="3" xfId="14" applyFont="1" applyFill="1" applyBorder="1" applyAlignment="1">
      <alignment horizontal="center" wrapText="1"/>
    </xf>
    <xf numFmtId="0" fontId="45" fillId="8" borderId="12" xfId="14" applyFont="1" applyFill="1" applyBorder="1" applyAlignment="1">
      <alignment horizontal="center" wrapText="1"/>
    </xf>
    <xf numFmtId="0" fontId="45" fillId="9" borderId="48" xfId="14" applyFont="1" applyFill="1" applyBorder="1" applyAlignment="1">
      <alignment horizontal="center" wrapText="1"/>
    </xf>
    <xf numFmtId="43" fontId="45" fillId="9" borderId="1" xfId="5" applyFont="1" applyFill="1" applyBorder="1" applyAlignment="1">
      <alignment horizontal="center" wrapText="1"/>
    </xf>
    <xf numFmtId="0" fontId="45" fillId="0" borderId="1" xfId="14" applyFont="1" applyBorder="1"/>
    <xf numFmtId="6" fontId="45" fillId="0" borderId="1" xfId="14" applyNumberFormat="1" applyFont="1" applyBorder="1"/>
    <xf numFmtId="43" fontId="45" fillId="0" borderId="1" xfId="5" applyFont="1" applyBorder="1"/>
    <xf numFmtId="43" fontId="45" fillId="0" borderId="48" xfId="5" applyFont="1" applyBorder="1"/>
    <xf numFmtId="1" fontId="45" fillId="0" borderId="1" xfId="14" applyNumberFormat="1" applyFont="1" applyBorder="1" applyAlignment="1">
      <alignment horizontal="center"/>
    </xf>
    <xf numFmtId="43" fontId="45" fillId="0" borderId="1" xfId="6" applyFont="1" applyBorder="1"/>
    <xf numFmtId="9" fontId="45" fillId="0" borderId="1" xfId="26" applyFont="1" applyBorder="1"/>
    <xf numFmtId="43" fontId="45" fillId="0" borderId="9" xfId="5" applyFont="1" applyBorder="1"/>
    <xf numFmtId="0" fontId="45" fillId="0" borderId="1" xfId="14" applyFont="1" applyBorder="1" applyAlignment="1">
      <alignment wrapText="1"/>
    </xf>
    <xf numFmtId="165" fontId="45" fillId="0" borderId="48" xfId="5" applyNumberFormat="1" applyFont="1" applyBorder="1" applyAlignment="1">
      <alignment wrapText="1"/>
    </xf>
    <xf numFmtId="1" fontId="45" fillId="0" borderId="1" xfId="14" applyNumberFormat="1" applyFont="1" applyBorder="1"/>
    <xf numFmtId="43" fontId="31" fillId="0" borderId="1" xfId="6" applyFont="1" applyBorder="1"/>
    <xf numFmtId="0" fontId="45" fillId="9" borderId="1" xfId="14" applyFont="1" applyFill="1" applyBorder="1"/>
    <xf numFmtId="43" fontId="45" fillId="7" borderId="1" xfId="5" applyFont="1" applyFill="1" applyBorder="1"/>
    <xf numFmtId="43" fontId="45" fillId="8" borderId="1" xfId="5" applyFont="1" applyFill="1" applyBorder="1"/>
    <xf numFmtId="43" fontId="45" fillId="9" borderId="1" xfId="6" applyFont="1" applyFill="1" applyBorder="1"/>
    <xf numFmtId="43" fontId="45" fillId="9" borderId="1" xfId="5" applyFont="1" applyFill="1" applyBorder="1"/>
    <xf numFmtId="9" fontId="45" fillId="9" borderId="1" xfId="26" applyFont="1" applyFill="1" applyBorder="1"/>
    <xf numFmtId="43" fontId="45" fillId="0" borderId="1" xfId="4" applyFont="1" applyBorder="1"/>
    <xf numFmtId="43" fontId="45" fillId="0" borderId="48" xfId="5" applyFont="1" applyBorder="1" applyAlignment="1">
      <alignment wrapText="1"/>
    </xf>
    <xf numFmtId="43" fontId="31" fillId="0" borderId="1" xfId="4" applyFont="1" applyBorder="1"/>
    <xf numFmtId="43" fontId="45" fillId="9" borderId="1" xfId="4" applyFont="1" applyFill="1" applyBorder="1"/>
    <xf numFmtId="44" fontId="45" fillId="0" borderId="1" xfId="7" applyFont="1" applyBorder="1"/>
    <xf numFmtId="43" fontId="31" fillId="0" borderId="1" xfId="5" applyFont="1" applyBorder="1"/>
    <xf numFmtId="7" fontId="45" fillId="0" borderId="0" xfId="7" applyNumberFormat="1" applyFont="1" applyBorder="1"/>
    <xf numFmtId="43" fontId="45" fillId="0" borderId="0" xfId="5" applyFont="1"/>
    <xf numFmtId="7" fontId="45" fillId="0" borderId="6" xfId="7" applyNumberFormat="1" applyFont="1" applyBorder="1"/>
    <xf numFmtId="0" fontId="47" fillId="0" borderId="0" xfId="14" applyFont="1"/>
    <xf numFmtId="0" fontId="2" fillId="0" borderId="0" xfId="14" applyBorder="1"/>
    <xf numFmtId="0" fontId="4" fillId="0" borderId="0" xfId="29" applyFont="1" applyAlignment="1">
      <alignment horizontal="center"/>
    </xf>
    <xf numFmtId="0" fontId="2" fillId="0" borderId="0" xfId="35" applyFont="1" applyBorder="1" applyAlignment="1">
      <alignment horizontal="center"/>
    </xf>
    <xf numFmtId="0" fontId="2" fillId="0" borderId="0" xfId="35" applyBorder="1" applyAlignment="1">
      <alignment horizontal="center"/>
    </xf>
    <xf numFmtId="169" fontId="2" fillId="0" borderId="0" xfId="35" applyNumberFormat="1" applyFont="1" applyBorder="1" applyAlignment="1">
      <alignment horizontal="center"/>
    </xf>
    <xf numFmtId="0" fontId="35" fillId="0" borderId="0" xfId="37" applyFont="1" applyAlignment="1">
      <alignment horizontal="center"/>
    </xf>
    <xf numFmtId="0" fontId="35" fillId="0" borderId="0" xfId="37" applyFont="1" applyBorder="1" applyAlignment="1">
      <alignment horizontal="center"/>
    </xf>
    <xf numFmtId="0" fontId="35" fillId="0" borderId="17" xfId="37" applyFont="1" applyBorder="1" applyAlignment="1">
      <alignment horizontal="center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</cellXfs>
  <cellStyles count="40">
    <cellStyle name="Comma 2" xfId="4"/>
    <cellStyle name="Comma 2 2" xfId="5"/>
    <cellStyle name="Comma 2 2 2" xfId="6"/>
    <cellStyle name="Comma 3" xfId="28"/>
    <cellStyle name="Comma_NISH Cash Flow Statement" xfId="30"/>
    <cellStyle name="Currency" xfId="1" builtinId="4"/>
    <cellStyle name="Currency 2" xfId="7"/>
    <cellStyle name="Currency 3" xfId="8"/>
    <cellStyle name="Currency 3 2" xfId="9"/>
    <cellStyle name="Currency 4" xfId="10"/>
    <cellStyle name="Currency 5" xfId="11"/>
    <cellStyle name="Currency 6" xfId="12"/>
    <cellStyle name="Currency_Investment Report" xfId="31"/>
    <cellStyle name="Currency_NISH Cash Flow Statement" xfId="32"/>
    <cellStyle name="Currency_Sheet1" xfId="33"/>
    <cellStyle name="Normal" xfId="0" builtinId="0"/>
    <cellStyle name="Normal 10" xfId="13"/>
    <cellStyle name="Normal 11" xfId="27"/>
    <cellStyle name="Normal 2" xfId="3"/>
    <cellStyle name="Normal 2 2" xfId="14"/>
    <cellStyle name="Normal 3" xfId="15"/>
    <cellStyle name="Normal 4" xfId="16"/>
    <cellStyle name="Normal 4 2" xfId="17"/>
    <cellStyle name="Normal 5" xfId="18"/>
    <cellStyle name="Normal 5 2" xfId="19"/>
    <cellStyle name="Normal 6" xfId="20"/>
    <cellStyle name="Normal 6 2" xfId="21"/>
    <cellStyle name="Normal 7" xfId="22"/>
    <cellStyle name="Normal 7 2" xfId="23"/>
    <cellStyle name="Normal 8" xfId="24"/>
    <cellStyle name="Normal 9" xfId="25"/>
    <cellStyle name="Normal_BankRec" xfId="34"/>
    <cellStyle name="Normal_Budget Amendments" xfId="2"/>
    <cellStyle name="Normal_Investment Report" xfId="35"/>
    <cellStyle name="Normal_NISH Cash Flow Statement" xfId="36"/>
    <cellStyle name="Normal_Rev - Exp 2007 Report for Board" xfId="37"/>
    <cellStyle name="Normal_Sheet1" xfId="38"/>
    <cellStyle name="Normal_Stat of Rev &amp; Exp" xfId="29"/>
    <cellStyle name="Normal_tax collection sample monthly status report" xfId="39"/>
    <cellStyle name="Percent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Users/rmiller.LEISD/Downloads/LEISD%20Board%20Report%20Sep%202014--November%20bd%20mtg%2011-20-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eisd.ws/Users/rmiller.LEISD/Downloads/Construction%20Balances%20Updated%20Template%2011%2004%2014---11-20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 Bal Comp"/>
      <sheetName val="Stat of Unaudited"/>
      <sheetName val="GO Cash Flow"/>
      <sheetName val="Debt Srv Cash Flow"/>
      <sheetName val="Bank Rec"/>
      <sheetName val="General Fund Inv"/>
      <sheetName val="Debt Srv Fund Inv"/>
      <sheetName val="Rev Exp all fds"/>
      <sheetName val="tax coll rep"/>
    </sheetNames>
    <sheetDataSet>
      <sheetData sheetId="0" refreshError="1"/>
      <sheetData sheetId="1"/>
      <sheetData sheetId="2">
        <row r="43">
          <cell r="AB43">
            <v>17659566.719999991</v>
          </cell>
        </row>
      </sheetData>
      <sheetData sheetId="3">
        <row r="27">
          <cell r="AB27">
            <v>2476984.8400000003</v>
          </cell>
        </row>
      </sheetData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ZELLARS"/>
      <sheetName val="ROOFS"/>
      <sheetName val="HVAC"/>
    </sheetNames>
    <sheetDataSet>
      <sheetData sheetId="0">
        <row r="12">
          <cell r="A12" t="str">
            <v>Expenditures as of 11/04/14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workbookViewId="0">
      <selection activeCell="I21" sqref="I21"/>
    </sheetView>
  </sheetViews>
  <sheetFormatPr defaultRowHeight="12.75"/>
  <cols>
    <col min="1" max="1" width="4" style="16" customWidth="1"/>
    <col min="2" max="2" width="6.28515625" style="16" customWidth="1"/>
    <col min="3" max="3" width="3.7109375" style="16" customWidth="1"/>
    <col min="4" max="4" width="14" style="16" customWidth="1"/>
    <col min="5" max="5" width="5" style="16" customWidth="1"/>
    <col min="6" max="6" width="11.42578125" style="16" bestFit="1" customWidth="1"/>
    <col min="7" max="7" width="5.85546875" style="16" customWidth="1"/>
    <col min="8" max="8" width="11.42578125" style="16" bestFit="1" customWidth="1"/>
    <col min="9" max="9" width="21.28515625" style="16" customWidth="1"/>
    <col min="10" max="256" width="8.85546875" style="16"/>
    <col min="257" max="257" width="4" style="16" customWidth="1"/>
    <col min="258" max="258" width="6.28515625" style="16" customWidth="1"/>
    <col min="259" max="259" width="3.7109375" style="16" customWidth="1"/>
    <col min="260" max="260" width="14" style="16" customWidth="1"/>
    <col min="261" max="261" width="5" style="16" customWidth="1"/>
    <col min="262" max="262" width="11.42578125" style="16" bestFit="1" customWidth="1"/>
    <col min="263" max="263" width="5.85546875" style="16" customWidth="1"/>
    <col min="264" max="264" width="11.42578125" style="16" bestFit="1" customWidth="1"/>
    <col min="265" max="265" width="21.28515625" style="16" customWidth="1"/>
    <col min="266" max="512" width="8.85546875" style="16"/>
    <col min="513" max="513" width="4" style="16" customWidth="1"/>
    <col min="514" max="514" width="6.28515625" style="16" customWidth="1"/>
    <col min="515" max="515" width="3.7109375" style="16" customWidth="1"/>
    <col min="516" max="516" width="14" style="16" customWidth="1"/>
    <col min="517" max="517" width="5" style="16" customWidth="1"/>
    <col min="518" max="518" width="11.42578125" style="16" bestFit="1" customWidth="1"/>
    <col min="519" max="519" width="5.85546875" style="16" customWidth="1"/>
    <col min="520" max="520" width="11.42578125" style="16" bestFit="1" customWidth="1"/>
    <col min="521" max="521" width="21.28515625" style="16" customWidth="1"/>
    <col min="522" max="768" width="8.85546875" style="16"/>
    <col min="769" max="769" width="4" style="16" customWidth="1"/>
    <col min="770" max="770" width="6.28515625" style="16" customWidth="1"/>
    <col min="771" max="771" width="3.7109375" style="16" customWidth="1"/>
    <col min="772" max="772" width="14" style="16" customWidth="1"/>
    <col min="773" max="773" width="5" style="16" customWidth="1"/>
    <col min="774" max="774" width="11.42578125" style="16" bestFit="1" customWidth="1"/>
    <col min="775" max="775" width="5.85546875" style="16" customWidth="1"/>
    <col min="776" max="776" width="11.42578125" style="16" bestFit="1" customWidth="1"/>
    <col min="777" max="777" width="21.28515625" style="16" customWidth="1"/>
    <col min="778" max="1024" width="8.85546875" style="16"/>
    <col min="1025" max="1025" width="4" style="16" customWidth="1"/>
    <col min="1026" max="1026" width="6.28515625" style="16" customWidth="1"/>
    <col min="1027" max="1027" width="3.7109375" style="16" customWidth="1"/>
    <col min="1028" max="1028" width="14" style="16" customWidth="1"/>
    <col min="1029" max="1029" width="5" style="16" customWidth="1"/>
    <col min="1030" max="1030" width="11.42578125" style="16" bestFit="1" customWidth="1"/>
    <col min="1031" max="1031" width="5.85546875" style="16" customWidth="1"/>
    <col min="1032" max="1032" width="11.42578125" style="16" bestFit="1" customWidth="1"/>
    <col min="1033" max="1033" width="21.28515625" style="16" customWidth="1"/>
    <col min="1034" max="1280" width="8.85546875" style="16"/>
    <col min="1281" max="1281" width="4" style="16" customWidth="1"/>
    <col min="1282" max="1282" width="6.28515625" style="16" customWidth="1"/>
    <col min="1283" max="1283" width="3.7109375" style="16" customWidth="1"/>
    <col min="1284" max="1284" width="14" style="16" customWidth="1"/>
    <col min="1285" max="1285" width="5" style="16" customWidth="1"/>
    <col min="1286" max="1286" width="11.42578125" style="16" bestFit="1" customWidth="1"/>
    <col min="1287" max="1287" width="5.85546875" style="16" customWidth="1"/>
    <col min="1288" max="1288" width="11.42578125" style="16" bestFit="1" customWidth="1"/>
    <col min="1289" max="1289" width="21.28515625" style="16" customWidth="1"/>
    <col min="1290" max="1536" width="8.85546875" style="16"/>
    <col min="1537" max="1537" width="4" style="16" customWidth="1"/>
    <col min="1538" max="1538" width="6.28515625" style="16" customWidth="1"/>
    <col min="1539" max="1539" width="3.7109375" style="16" customWidth="1"/>
    <col min="1540" max="1540" width="14" style="16" customWidth="1"/>
    <col min="1541" max="1541" width="5" style="16" customWidth="1"/>
    <col min="1542" max="1542" width="11.42578125" style="16" bestFit="1" customWidth="1"/>
    <col min="1543" max="1543" width="5.85546875" style="16" customWidth="1"/>
    <col min="1544" max="1544" width="11.42578125" style="16" bestFit="1" customWidth="1"/>
    <col min="1545" max="1545" width="21.28515625" style="16" customWidth="1"/>
    <col min="1546" max="1792" width="8.85546875" style="16"/>
    <col min="1793" max="1793" width="4" style="16" customWidth="1"/>
    <col min="1794" max="1794" width="6.28515625" style="16" customWidth="1"/>
    <col min="1795" max="1795" width="3.7109375" style="16" customWidth="1"/>
    <col min="1796" max="1796" width="14" style="16" customWidth="1"/>
    <col min="1797" max="1797" width="5" style="16" customWidth="1"/>
    <col min="1798" max="1798" width="11.42578125" style="16" bestFit="1" customWidth="1"/>
    <col min="1799" max="1799" width="5.85546875" style="16" customWidth="1"/>
    <col min="1800" max="1800" width="11.42578125" style="16" bestFit="1" customWidth="1"/>
    <col min="1801" max="1801" width="21.28515625" style="16" customWidth="1"/>
    <col min="1802" max="2048" width="8.85546875" style="16"/>
    <col min="2049" max="2049" width="4" style="16" customWidth="1"/>
    <col min="2050" max="2050" width="6.28515625" style="16" customWidth="1"/>
    <col min="2051" max="2051" width="3.7109375" style="16" customWidth="1"/>
    <col min="2052" max="2052" width="14" style="16" customWidth="1"/>
    <col min="2053" max="2053" width="5" style="16" customWidth="1"/>
    <col min="2054" max="2054" width="11.42578125" style="16" bestFit="1" customWidth="1"/>
    <col min="2055" max="2055" width="5.85546875" style="16" customWidth="1"/>
    <col min="2056" max="2056" width="11.42578125" style="16" bestFit="1" customWidth="1"/>
    <col min="2057" max="2057" width="21.28515625" style="16" customWidth="1"/>
    <col min="2058" max="2304" width="8.85546875" style="16"/>
    <col min="2305" max="2305" width="4" style="16" customWidth="1"/>
    <col min="2306" max="2306" width="6.28515625" style="16" customWidth="1"/>
    <col min="2307" max="2307" width="3.7109375" style="16" customWidth="1"/>
    <col min="2308" max="2308" width="14" style="16" customWidth="1"/>
    <col min="2309" max="2309" width="5" style="16" customWidth="1"/>
    <col min="2310" max="2310" width="11.42578125" style="16" bestFit="1" customWidth="1"/>
    <col min="2311" max="2311" width="5.85546875" style="16" customWidth="1"/>
    <col min="2312" max="2312" width="11.42578125" style="16" bestFit="1" customWidth="1"/>
    <col min="2313" max="2313" width="21.28515625" style="16" customWidth="1"/>
    <col min="2314" max="2560" width="8.85546875" style="16"/>
    <col min="2561" max="2561" width="4" style="16" customWidth="1"/>
    <col min="2562" max="2562" width="6.28515625" style="16" customWidth="1"/>
    <col min="2563" max="2563" width="3.7109375" style="16" customWidth="1"/>
    <col min="2564" max="2564" width="14" style="16" customWidth="1"/>
    <col min="2565" max="2565" width="5" style="16" customWidth="1"/>
    <col min="2566" max="2566" width="11.42578125" style="16" bestFit="1" customWidth="1"/>
    <col min="2567" max="2567" width="5.85546875" style="16" customWidth="1"/>
    <col min="2568" max="2568" width="11.42578125" style="16" bestFit="1" customWidth="1"/>
    <col min="2569" max="2569" width="21.28515625" style="16" customWidth="1"/>
    <col min="2570" max="2816" width="8.85546875" style="16"/>
    <col min="2817" max="2817" width="4" style="16" customWidth="1"/>
    <col min="2818" max="2818" width="6.28515625" style="16" customWidth="1"/>
    <col min="2819" max="2819" width="3.7109375" style="16" customWidth="1"/>
    <col min="2820" max="2820" width="14" style="16" customWidth="1"/>
    <col min="2821" max="2821" width="5" style="16" customWidth="1"/>
    <col min="2822" max="2822" width="11.42578125" style="16" bestFit="1" customWidth="1"/>
    <col min="2823" max="2823" width="5.85546875" style="16" customWidth="1"/>
    <col min="2824" max="2824" width="11.42578125" style="16" bestFit="1" customWidth="1"/>
    <col min="2825" max="2825" width="21.28515625" style="16" customWidth="1"/>
    <col min="2826" max="3072" width="8.85546875" style="16"/>
    <col min="3073" max="3073" width="4" style="16" customWidth="1"/>
    <col min="3074" max="3074" width="6.28515625" style="16" customWidth="1"/>
    <col min="3075" max="3075" width="3.7109375" style="16" customWidth="1"/>
    <col min="3076" max="3076" width="14" style="16" customWidth="1"/>
    <col min="3077" max="3077" width="5" style="16" customWidth="1"/>
    <col min="3078" max="3078" width="11.42578125" style="16" bestFit="1" customWidth="1"/>
    <col min="3079" max="3079" width="5.85546875" style="16" customWidth="1"/>
    <col min="3080" max="3080" width="11.42578125" style="16" bestFit="1" customWidth="1"/>
    <col min="3081" max="3081" width="21.28515625" style="16" customWidth="1"/>
    <col min="3082" max="3328" width="8.85546875" style="16"/>
    <col min="3329" max="3329" width="4" style="16" customWidth="1"/>
    <col min="3330" max="3330" width="6.28515625" style="16" customWidth="1"/>
    <col min="3331" max="3331" width="3.7109375" style="16" customWidth="1"/>
    <col min="3332" max="3332" width="14" style="16" customWidth="1"/>
    <col min="3333" max="3333" width="5" style="16" customWidth="1"/>
    <col min="3334" max="3334" width="11.42578125" style="16" bestFit="1" customWidth="1"/>
    <col min="3335" max="3335" width="5.85546875" style="16" customWidth="1"/>
    <col min="3336" max="3336" width="11.42578125" style="16" bestFit="1" customWidth="1"/>
    <col min="3337" max="3337" width="21.28515625" style="16" customWidth="1"/>
    <col min="3338" max="3584" width="8.85546875" style="16"/>
    <col min="3585" max="3585" width="4" style="16" customWidth="1"/>
    <col min="3586" max="3586" width="6.28515625" style="16" customWidth="1"/>
    <col min="3587" max="3587" width="3.7109375" style="16" customWidth="1"/>
    <col min="3588" max="3588" width="14" style="16" customWidth="1"/>
    <col min="3589" max="3589" width="5" style="16" customWidth="1"/>
    <col min="3590" max="3590" width="11.42578125" style="16" bestFit="1" customWidth="1"/>
    <col min="3591" max="3591" width="5.85546875" style="16" customWidth="1"/>
    <col min="3592" max="3592" width="11.42578125" style="16" bestFit="1" customWidth="1"/>
    <col min="3593" max="3593" width="21.28515625" style="16" customWidth="1"/>
    <col min="3594" max="3840" width="8.85546875" style="16"/>
    <col min="3841" max="3841" width="4" style="16" customWidth="1"/>
    <col min="3842" max="3842" width="6.28515625" style="16" customWidth="1"/>
    <col min="3843" max="3843" width="3.7109375" style="16" customWidth="1"/>
    <col min="3844" max="3844" width="14" style="16" customWidth="1"/>
    <col min="3845" max="3845" width="5" style="16" customWidth="1"/>
    <col min="3846" max="3846" width="11.42578125" style="16" bestFit="1" customWidth="1"/>
    <col min="3847" max="3847" width="5.85546875" style="16" customWidth="1"/>
    <col min="3848" max="3848" width="11.42578125" style="16" bestFit="1" customWidth="1"/>
    <col min="3849" max="3849" width="21.28515625" style="16" customWidth="1"/>
    <col min="3850" max="4096" width="8.85546875" style="16"/>
    <col min="4097" max="4097" width="4" style="16" customWidth="1"/>
    <col min="4098" max="4098" width="6.28515625" style="16" customWidth="1"/>
    <col min="4099" max="4099" width="3.7109375" style="16" customWidth="1"/>
    <col min="4100" max="4100" width="14" style="16" customWidth="1"/>
    <col min="4101" max="4101" width="5" style="16" customWidth="1"/>
    <col min="4102" max="4102" width="11.42578125" style="16" bestFit="1" customWidth="1"/>
    <col min="4103" max="4103" width="5.85546875" style="16" customWidth="1"/>
    <col min="4104" max="4104" width="11.42578125" style="16" bestFit="1" customWidth="1"/>
    <col min="4105" max="4105" width="21.28515625" style="16" customWidth="1"/>
    <col min="4106" max="4352" width="8.85546875" style="16"/>
    <col min="4353" max="4353" width="4" style="16" customWidth="1"/>
    <col min="4354" max="4354" width="6.28515625" style="16" customWidth="1"/>
    <col min="4355" max="4355" width="3.7109375" style="16" customWidth="1"/>
    <col min="4356" max="4356" width="14" style="16" customWidth="1"/>
    <col min="4357" max="4357" width="5" style="16" customWidth="1"/>
    <col min="4358" max="4358" width="11.42578125" style="16" bestFit="1" customWidth="1"/>
    <col min="4359" max="4359" width="5.85546875" style="16" customWidth="1"/>
    <col min="4360" max="4360" width="11.42578125" style="16" bestFit="1" customWidth="1"/>
    <col min="4361" max="4361" width="21.28515625" style="16" customWidth="1"/>
    <col min="4362" max="4608" width="8.85546875" style="16"/>
    <col min="4609" max="4609" width="4" style="16" customWidth="1"/>
    <col min="4610" max="4610" width="6.28515625" style="16" customWidth="1"/>
    <col min="4611" max="4611" width="3.7109375" style="16" customWidth="1"/>
    <col min="4612" max="4612" width="14" style="16" customWidth="1"/>
    <col min="4613" max="4613" width="5" style="16" customWidth="1"/>
    <col min="4614" max="4614" width="11.42578125" style="16" bestFit="1" customWidth="1"/>
    <col min="4615" max="4615" width="5.85546875" style="16" customWidth="1"/>
    <col min="4616" max="4616" width="11.42578125" style="16" bestFit="1" customWidth="1"/>
    <col min="4617" max="4617" width="21.28515625" style="16" customWidth="1"/>
    <col min="4618" max="4864" width="8.85546875" style="16"/>
    <col min="4865" max="4865" width="4" style="16" customWidth="1"/>
    <col min="4866" max="4866" width="6.28515625" style="16" customWidth="1"/>
    <col min="4867" max="4867" width="3.7109375" style="16" customWidth="1"/>
    <col min="4868" max="4868" width="14" style="16" customWidth="1"/>
    <col min="4869" max="4869" width="5" style="16" customWidth="1"/>
    <col min="4870" max="4870" width="11.42578125" style="16" bestFit="1" customWidth="1"/>
    <col min="4871" max="4871" width="5.85546875" style="16" customWidth="1"/>
    <col min="4872" max="4872" width="11.42578125" style="16" bestFit="1" customWidth="1"/>
    <col min="4873" max="4873" width="21.28515625" style="16" customWidth="1"/>
    <col min="4874" max="5120" width="8.85546875" style="16"/>
    <col min="5121" max="5121" width="4" style="16" customWidth="1"/>
    <col min="5122" max="5122" width="6.28515625" style="16" customWidth="1"/>
    <col min="5123" max="5123" width="3.7109375" style="16" customWidth="1"/>
    <col min="5124" max="5124" width="14" style="16" customWidth="1"/>
    <col min="5125" max="5125" width="5" style="16" customWidth="1"/>
    <col min="5126" max="5126" width="11.42578125" style="16" bestFit="1" customWidth="1"/>
    <col min="5127" max="5127" width="5.85546875" style="16" customWidth="1"/>
    <col min="5128" max="5128" width="11.42578125" style="16" bestFit="1" customWidth="1"/>
    <col min="5129" max="5129" width="21.28515625" style="16" customWidth="1"/>
    <col min="5130" max="5376" width="8.85546875" style="16"/>
    <col min="5377" max="5377" width="4" style="16" customWidth="1"/>
    <col min="5378" max="5378" width="6.28515625" style="16" customWidth="1"/>
    <col min="5379" max="5379" width="3.7109375" style="16" customWidth="1"/>
    <col min="5380" max="5380" width="14" style="16" customWidth="1"/>
    <col min="5381" max="5381" width="5" style="16" customWidth="1"/>
    <col min="5382" max="5382" width="11.42578125" style="16" bestFit="1" customWidth="1"/>
    <col min="5383" max="5383" width="5.85546875" style="16" customWidth="1"/>
    <col min="5384" max="5384" width="11.42578125" style="16" bestFit="1" customWidth="1"/>
    <col min="5385" max="5385" width="21.28515625" style="16" customWidth="1"/>
    <col min="5386" max="5632" width="8.85546875" style="16"/>
    <col min="5633" max="5633" width="4" style="16" customWidth="1"/>
    <col min="5634" max="5634" width="6.28515625" style="16" customWidth="1"/>
    <col min="5635" max="5635" width="3.7109375" style="16" customWidth="1"/>
    <col min="5636" max="5636" width="14" style="16" customWidth="1"/>
    <col min="5637" max="5637" width="5" style="16" customWidth="1"/>
    <col min="5638" max="5638" width="11.42578125" style="16" bestFit="1" customWidth="1"/>
    <col min="5639" max="5639" width="5.85546875" style="16" customWidth="1"/>
    <col min="5640" max="5640" width="11.42578125" style="16" bestFit="1" customWidth="1"/>
    <col min="5641" max="5641" width="21.28515625" style="16" customWidth="1"/>
    <col min="5642" max="5888" width="8.85546875" style="16"/>
    <col min="5889" max="5889" width="4" style="16" customWidth="1"/>
    <col min="5890" max="5890" width="6.28515625" style="16" customWidth="1"/>
    <col min="5891" max="5891" width="3.7109375" style="16" customWidth="1"/>
    <col min="5892" max="5892" width="14" style="16" customWidth="1"/>
    <col min="5893" max="5893" width="5" style="16" customWidth="1"/>
    <col min="5894" max="5894" width="11.42578125" style="16" bestFit="1" customWidth="1"/>
    <col min="5895" max="5895" width="5.85546875" style="16" customWidth="1"/>
    <col min="5896" max="5896" width="11.42578125" style="16" bestFit="1" customWidth="1"/>
    <col min="5897" max="5897" width="21.28515625" style="16" customWidth="1"/>
    <col min="5898" max="6144" width="8.85546875" style="16"/>
    <col min="6145" max="6145" width="4" style="16" customWidth="1"/>
    <col min="6146" max="6146" width="6.28515625" style="16" customWidth="1"/>
    <col min="6147" max="6147" width="3.7109375" style="16" customWidth="1"/>
    <col min="6148" max="6148" width="14" style="16" customWidth="1"/>
    <col min="6149" max="6149" width="5" style="16" customWidth="1"/>
    <col min="6150" max="6150" width="11.42578125" style="16" bestFit="1" customWidth="1"/>
    <col min="6151" max="6151" width="5.85546875" style="16" customWidth="1"/>
    <col min="6152" max="6152" width="11.42578125" style="16" bestFit="1" customWidth="1"/>
    <col min="6153" max="6153" width="21.28515625" style="16" customWidth="1"/>
    <col min="6154" max="6400" width="8.85546875" style="16"/>
    <col min="6401" max="6401" width="4" style="16" customWidth="1"/>
    <col min="6402" max="6402" width="6.28515625" style="16" customWidth="1"/>
    <col min="6403" max="6403" width="3.7109375" style="16" customWidth="1"/>
    <col min="6404" max="6404" width="14" style="16" customWidth="1"/>
    <col min="6405" max="6405" width="5" style="16" customWidth="1"/>
    <col min="6406" max="6406" width="11.42578125" style="16" bestFit="1" customWidth="1"/>
    <col min="6407" max="6407" width="5.85546875" style="16" customWidth="1"/>
    <col min="6408" max="6408" width="11.42578125" style="16" bestFit="1" customWidth="1"/>
    <col min="6409" max="6409" width="21.28515625" style="16" customWidth="1"/>
    <col min="6410" max="6656" width="8.85546875" style="16"/>
    <col min="6657" max="6657" width="4" style="16" customWidth="1"/>
    <col min="6658" max="6658" width="6.28515625" style="16" customWidth="1"/>
    <col min="6659" max="6659" width="3.7109375" style="16" customWidth="1"/>
    <col min="6660" max="6660" width="14" style="16" customWidth="1"/>
    <col min="6661" max="6661" width="5" style="16" customWidth="1"/>
    <col min="6662" max="6662" width="11.42578125" style="16" bestFit="1" customWidth="1"/>
    <col min="6663" max="6663" width="5.85546875" style="16" customWidth="1"/>
    <col min="6664" max="6664" width="11.42578125" style="16" bestFit="1" customWidth="1"/>
    <col min="6665" max="6665" width="21.28515625" style="16" customWidth="1"/>
    <col min="6666" max="6912" width="8.85546875" style="16"/>
    <col min="6913" max="6913" width="4" style="16" customWidth="1"/>
    <col min="6914" max="6914" width="6.28515625" style="16" customWidth="1"/>
    <col min="6915" max="6915" width="3.7109375" style="16" customWidth="1"/>
    <col min="6916" max="6916" width="14" style="16" customWidth="1"/>
    <col min="6917" max="6917" width="5" style="16" customWidth="1"/>
    <col min="6918" max="6918" width="11.42578125" style="16" bestFit="1" customWidth="1"/>
    <col min="6919" max="6919" width="5.85546875" style="16" customWidth="1"/>
    <col min="6920" max="6920" width="11.42578125" style="16" bestFit="1" customWidth="1"/>
    <col min="6921" max="6921" width="21.28515625" style="16" customWidth="1"/>
    <col min="6922" max="7168" width="8.85546875" style="16"/>
    <col min="7169" max="7169" width="4" style="16" customWidth="1"/>
    <col min="7170" max="7170" width="6.28515625" style="16" customWidth="1"/>
    <col min="7171" max="7171" width="3.7109375" style="16" customWidth="1"/>
    <col min="7172" max="7172" width="14" style="16" customWidth="1"/>
    <col min="7173" max="7173" width="5" style="16" customWidth="1"/>
    <col min="7174" max="7174" width="11.42578125" style="16" bestFit="1" customWidth="1"/>
    <col min="7175" max="7175" width="5.85546875" style="16" customWidth="1"/>
    <col min="7176" max="7176" width="11.42578125" style="16" bestFit="1" customWidth="1"/>
    <col min="7177" max="7177" width="21.28515625" style="16" customWidth="1"/>
    <col min="7178" max="7424" width="8.85546875" style="16"/>
    <col min="7425" max="7425" width="4" style="16" customWidth="1"/>
    <col min="7426" max="7426" width="6.28515625" style="16" customWidth="1"/>
    <col min="7427" max="7427" width="3.7109375" style="16" customWidth="1"/>
    <col min="7428" max="7428" width="14" style="16" customWidth="1"/>
    <col min="7429" max="7429" width="5" style="16" customWidth="1"/>
    <col min="7430" max="7430" width="11.42578125" style="16" bestFit="1" customWidth="1"/>
    <col min="7431" max="7431" width="5.85546875" style="16" customWidth="1"/>
    <col min="7432" max="7432" width="11.42578125" style="16" bestFit="1" customWidth="1"/>
    <col min="7433" max="7433" width="21.28515625" style="16" customWidth="1"/>
    <col min="7434" max="7680" width="8.85546875" style="16"/>
    <col min="7681" max="7681" width="4" style="16" customWidth="1"/>
    <col min="7682" max="7682" width="6.28515625" style="16" customWidth="1"/>
    <col min="7683" max="7683" width="3.7109375" style="16" customWidth="1"/>
    <col min="7684" max="7684" width="14" style="16" customWidth="1"/>
    <col min="7685" max="7685" width="5" style="16" customWidth="1"/>
    <col min="7686" max="7686" width="11.42578125" style="16" bestFit="1" customWidth="1"/>
    <col min="7687" max="7687" width="5.85546875" style="16" customWidth="1"/>
    <col min="7688" max="7688" width="11.42578125" style="16" bestFit="1" customWidth="1"/>
    <col min="7689" max="7689" width="21.28515625" style="16" customWidth="1"/>
    <col min="7690" max="7936" width="8.85546875" style="16"/>
    <col min="7937" max="7937" width="4" style="16" customWidth="1"/>
    <col min="7938" max="7938" width="6.28515625" style="16" customWidth="1"/>
    <col min="7939" max="7939" width="3.7109375" style="16" customWidth="1"/>
    <col min="7940" max="7940" width="14" style="16" customWidth="1"/>
    <col min="7941" max="7941" width="5" style="16" customWidth="1"/>
    <col min="7942" max="7942" width="11.42578125" style="16" bestFit="1" customWidth="1"/>
    <col min="7943" max="7943" width="5.85546875" style="16" customWidth="1"/>
    <col min="7944" max="7944" width="11.42578125" style="16" bestFit="1" customWidth="1"/>
    <col min="7945" max="7945" width="21.28515625" style="16" customWidth="1"/>
    <col min="7946" max="8192" width="8.85546875" style="16"/>
    <col min="8193" max="8193" width="4" style="16" customWidth="1"/>
    <col min="8194" max="8194" width="6.28515625" style="16" customWidth="1"/>
    <col min="8195" max="8195" width="3.7109375" style="16" customWidth="1"/>
    <col min="8196" max="8196" width="14" style="16" customWidth="1"/>
    <col min="8197" max="8197" width="5" style="16" customWidth="1"/>
    <col min="8198" max="8198" width="11.42578125" style="16" bestFit="1" customWidth="1"/>
    <col min="8199" max="8199" width="5.85546875" style="16" customWidth="1"/>
    <col min="8200" max="8200" width="11.42578125" style="16" bestFit="1" customWidth="1"/>
    <col min="8201" max="8201" width="21.28515625" style="16" customWidth="1"/>
    <col min="8202" max="8448" width="8.85546875" style="16"/>
    <col min="8449" max="8449" width="4" style="16" customWidth="1"/>
    <col min="8450" max="8450" width="6.28515625" style="16" customWidth="1"/>
    <col min="8451" max="8451" width="3.7109375" style="16" customWidth="1"/>
    <col min="8452" max="8452" width="14" style="16" customWidth="1"/>
    <col min="8453" max="8453" width="5" style="16" customWidth="1"/>
    <col min="8454" max="8454" width="11.42578125" style="16" bestFit="1" customWidth="1"/>
    <col min="8455" max="8455" width="5.85546875" style="16" customWidth="1"/>
    <col min="8456" max="8456" width="11.42578125" style="16" bestFit="1" customWidth="1"/>
    <col min="8457" max="8457" width="21.28515625" style="16" customWidth="1"/>
    <col min="8458" max="8704" width="8.85546875" style="16"/>
    <col min="8705" max="8705" width="4" style="16" customWidth="1"/>
    <col min="8706" max="8706" width="6.28515625" style="16" customWidth="1"/>
    <col min="8707" max="8707" width="3.7109375" style="16" customWidth="1"/>
    <col min="8708" max="8708" width="14" style="16" customWidth="1"/>
    <col min="8709" max="8709" width="5" style="16" customWidth="1"/>
    <col min="8710" max="8710" width="11.42578125" style="16" bestFit="1" customWidth="1"/>
    <col min="8711" max="8711" width="5.85546875" style="16" customWidth="1"/>
    <col min="8712" max="8712" width="11.42578125" style="16" bestFit="1" customWidth="1"/>
    <col min="8713" max="8713" width="21.28515625" style="16" customWidth="1"/>
    <col min="8714" max="8960" width="8.85546875" style="16"/>
    <col min="8961" max="8961" width="4" style="16" customWidth="1"/>
    <col min="8962" max="8962" width="6.28515625" style="16" customWidth="1"/>
    <col min="8963" max="8963" width="3.7109375" style="16" customWidth="1"/>
    <col min="8964" max="8964" width="14" style="16" customWidth="1"/>
    <col min="8965" max="8965" width="5" style="16" customWidth="1"/>
    <col min="8966" max="8966" width="11.42578125" style="16" bestFit="1" customWidth="1"/>
    <col min="8967" max="8967" width="5.85546875" style="16" customWidth="1"/>
    <col min="8968" max="8968" width="11.42578125" style="16" bestFit="1" customWidth="1"/>
    <col min="8969" max="8969" width="21.28515625" style="16" customWidth="1"/>
    <col min="8970" max="9216" width="8.85546875" style="16"/>
    <col min="9217" max="9217" width="4" style="16" customWidth="1"/>
    <col min="9218" max="9218" width="6.28515625" style="16" customWidth="1"/>
    <col min="9219" max="9219" width="3.7109375" style="16" customWidth="1"/>
    <col min="9220" max="9220" width="14" style="16" customWidth="1"/>
    <col min="9221" max="9221" width="5" style="16" customWidth="1"/>
    <col min="9222" max="9222" width="11.42578125" style="16" bestFit="1" customWidth="1"/>
    <col min="9223" max="9223" width="5.85546875" style="16" customWidth="1"/>
    <col min="9224" max="9224" width="11.42578125" style="16" bestFit="1" customWidth="1"/>
    <col min="9225" max="9225" width="21.28515625" style="16" customWidth="1"/>
    <col min="9226" max="9472" width="8.85546875" style="16"/>
    <col min="9473" max="9473" width="4" style="16" customWidth="1"/>
    <col min="9474" max="9474" width="6.28515625" style="16" customWidth="1"/>
    <col min="9475" max="9475" width="3.7109375" style="16" customWidth="1"/>
    <col min="9476" max="9476" width="14" style="16" customWidth="1"/>
    <col min="9477" max="9477" width="5" style="16" customWidth="1"/>
    <col min="9478" max="9478" width="11.42578125" style="16" bestFit="1" customWidth="1"/>
    <col min="9479" max="9479" width="5.85546875" style="16" customWidth="1"/>
    <col min="9480" max="9480" width="11.42578125" style="16" bestFit="1" customWidth="1"/>
    <col min="9481" max="9481" width="21.28515625" style="16" customWidth="1"/>
    <col min="9482" max="9728" width="8.85546875" style="16"/>
    <col min="9729" max="9729" width="4" style="16" customWidth="1"/>
    <col min="9730" max="9730" width="6.28515625" style="16" customWidth="1"/>
    <col min="9731" max="9731" width="3.7109375" style="16" customWidth="1"/>
    <col min="9732" max="9732" width="14" style="16" customWidth="1"/>
    <col min="9733" max="9733" width="5" style="16" customWidth="1"/>
    <col min="9734" max="9734" width="11.42578125" style="16" bestFit="1" customWidth="1"/>
    <col min="9735" max="9735" width="5.85546875" style="16" customWidth="1"/>
    <col min="9736" max="9736" width="11.42578125" style="16" bestFit="1" customWidth="1"/>
    <col min="9737" max="9737" width="21.28515625" style="16" customWidth="1"/>
    <col min="9738" max="9984" width="8.85546875" style="16"/>
    <col min="9985" max="9985" width="4" style="16" customWidth="1"/>
    <col min="9986" max="9986" width="6.28515625" style="16" customWidth="1"/>
    <col min="9987" max="9987" width="3.7109375" style="16" customWidth="1"/>
    <col min="9988" max="9988" width="14" style="16" customWidth="1"/>
    <col min="9989" max="9989" width="5" style="16" customWidth="1"/>
    <col min="9990" max="9990" width="11.42578125" style="16" bestFit="1" customWidth="1"/>
    <col min="9991" max="9991" width="5.85546875" style="16" customWidth="1"/>
    <col min="9992" max="9992" width="11.42578125" style="16" bestFit="1" customWidth="1"/>
    <col min="9993" max="9993" width="21.28515625" style="16" customWidth="1"/>
    <col min="9994" max="10240" width="8.85546875" style="16"/>
    <col min="10241" max="10241" width="4" style="16" customWidth="1"/>
    <col min="10242" max="10242" width="6.28515625" style="16" customWidth="1"/>
    <col min="10243" max="10243" width="3.7109375" style="16" customWidth="1"/>
    <col min="10244" max="10244" width="14" style="16" customWidth="1"/>
    <col min="10245" max="10245" width="5" style="16" customWidth="1"/>
    <col min="10246" max="10246" width="11.42578125" style="16" bestFit="1" customWidth="1"/>
    <col min="10247" max="10247" width="5.85546875" style="16" customWidth="1"/>
    <col min="10248" max="10248" width="11.42578125" style="16" bestFit="1" customWidth="1"/>
    <col min="10249" max="10249" width="21.28515625" style="16" customWidth="1"/>
    <col min="10250" max="10496" width="8.85546875" style="16"/>
    <col min="10497" max="10497" width="4" style="16" customWidth="1"/>
    <col min="10498" max="10498" width="6.28515625" style="16" customWidth="1"/>
    <col min="10499" max="10499" width="3.7109375" style="16" customWidth="1"/>
    <col min="10500" max="10500" width="14" style="16" customWidth="1"/>
    <col min="10501" max="10501" width="5" style="16" customWidth="1"/>
    <col min="10502" max="10502" width="11.42578125" style="16" bestFit="1" customWidth="1"/>
    <col min="10503" max="10503" width="5.85546875" style="16" customWidth="1"/>
    <col min="10504" max="10504" width="11.42578125" style="16" bestFit="1" customWidth="1"/>
    <col min="10505" max="10505" width="21.28515625" style="16" customWidth="1"/>
    <col min="10506" max="10752" width="8.85546875" style="16"/>
    <col min="10753" max="10753" width="4" style="16" customWidth="1"/>
    <col min="10754" max="10754" width="6.28515625" style="16" customWidth="1"/>
    <col min="10755" max="10755" width="3.7109375" style="16" customWidth="1"/>
    <col min="10756" max="10756" width="14" style="16" customWidth="1"/>
    <col min="10757" max="10757" width="5" style="16" customWidth="1"/>
    <col min="10758" max="10758" width="11.42578125" style="16" bestFit="1" customWidth="1"/>
    <col min="10759" max="10759" width="5.85546875" style="16" customWidth="1"/>
    <col min="10760" max="10760" width="11.42578125" style="16" bestFit="1" customWidth="1"/>
    <col min="10761" max="10761" width="21.28515625" style="16" customWidth="1"/>
    <col min="10762" max="11008" width="8.85546875" style="16"/>
    <col min="11009" max="11009" width="4" style="16" customWidth="1"/>
    <col min="11010" max="11010" width="6.28515625" style="16" customWidth="1"/>
    <col min="11011" max="11011" width="3.7109375" style="16" customWidth="1"/>
    <col min="11012" max="11012" width="14" style="16" customWidth="1"/>
    <col min="11013" max="11013" width="5" style="16" customWidth="1"/>
    <col min="11014" max="11014" width="11.42578125" style="16" bestFit="1" customWidth="1"/>
    <col min="11015" max="11015" width="5.85546875" style="16" customWidth="1"/>
    <col min="11016" max="11016" width="11.42578125" style="16" bestFit="1" customWidth="1"/>
    <col min="11017" max="11017" width="21.28515625" style="16" customWidth="1"/>
    <col min="11018" max="11264" width="8.85546875" style="16"/>
    <col min="11265" max="11265" width="4" style="16" customWidth="1"/>
    <col min="11266" max="11266" width="6.28515625" style="16" customWidth="1"/>
    <col min="11267" max="11267" width="3.7109375" style="16" customWidth="1"/>
    <col min="11268" max="11268" width="14" style="16" customWidth="1"/>
    <col min="11269" max="11269" width="5" style="16" customWidth="1"/>
    <col min="11270" max="11270" width="11.42578125" style="16" bestFit="1" customWidth="1"/>
    <col min="11271" max="11271" width="5.85546875" style="16" customWidth="1"/>
    <col min="11272" max="11272" width="11.42578125" style="16" bestFit="1" customWidth="1"/>
    <col min="11273" max="11273" width="21.28515625" style="16" customWidth="1"/>
    <col min="11274" max="11520" width="8.85546875" style="16"/>
    <col min="11521" max="11521" width="4" style="16" customWidth="1"/>
    <col min="11522" max="11522" width="6.28515625" style="16" customWidth="1"/>
    <col min="11523" max="11523" width="3.7109375" style="16" customWidth="1"/>
    <col min="11524" max="11524" width="14" style="16" customWidth="1"/>
    <col min="11525" max="11525" width="5" style="16" customWidth="1"/>
    <col min="11526" max="11526" width="11.42578125" style="16" bestFit="1" customWidth="1"/>
    <col min="11527" max="11527" width="5.85546875" style="16" customWidth="1"/>
    <col min="11528" max="11528" width="11.42578125" style="16" bestFit="1" customWidth="1"/>
    <col min="11529" max="11529" width="21.28515625" style="16" customWidth="1"/>
    <col min="11530" max="11776" width="8.85546875" style="16"/>
    <col min="11777" max="11777" width="4" style="16" customWidth="1"/>
    <col min="11778" max="11778" width="6.28515625" style="16" customWidth="1"/>
    <col min="11779" max="11779" width="3.7109375" style="16" customWidth="1"/>
    <col min="11780" max="11780" width="14" style="16" customWidth="1"/>
    <col min="11781" max="11781" width="5" style="16" customWidth="1"/>
    <col min="11782" max="11782" width="11.42578125" style="16" bestFit="1" customWidth="1"/>
    <col min="11783" max="11783" width="5.85546875" style="16" customWidth="1"/>
    <col min="11784" max="11784" width="11.42578125" style="16" bestFit="1" customWidth="1"/>
    <col min="11785" max="11785" width="21.28515625" style="16" customWidth="1"/>
    <col min="11786" max="12032" width="8.85546875" style="16"/>
    <col min="12033" max="12033" width="4" style="16" customWidth="1"/>
    <col min="12034" max="12034" width="6.28515625" style="16" customWidth="1"/>
    <col min="12035" max="12035" width="3.7109375" style="16" customWidth="1"/>
    <col min="12036" max="12036" width="14" style="16" customWidth="1"/>
    <col min="12037" max="12037" width="5" style="16" customWidth="1"/>
    <col min="12038" max="12038" width="11.42578125" style="16" bestFit="1" customWidth="1"/>
    <col min="12039" max="12039" width="5.85546875" style="16" customWidth="1"/>
    <col min="12040" max="12040" width="11.42578125" style="16" bestFit="1" customWidth="1"/>
    <col min="12041" max="12041" width="21.28515625" style="16" customWidth="1"/>
    <col min="12042" max="12288" width="8.85546875" style="16"/>
    <col min="12289" max="12289" width="4" style="16" customWidth="1"/>
    <col min="12290" max="12290" width="6.28515625" style="16" customWidth="1"/>
    <col min="12291" max="12291" width="3.7109375" style="16" customWidth="1"/>
    <col min="12292" max="12292" width="14" style="16" customWidth="1"/>
    <col min="12293" max="12293" width="5" style="16" customWidth="1"/>
    <col min="12294" max="12294" width="11.42578125" style="16" bestFit="1" customWidth="1"/>
    <col min="12295" max="12295" width="5.85546875" style="16" customWidth="1"/>
    <col min="12296" max="12296" width="11.42578125" style="16" bestFit="1" customWidth="1"/>
    <col min="12297" max="12297" width="21.28515625" style="16" customWidth="1"/>
    <col min="12298" max="12544" width="8.85546875" style="16"/>
    <col min="12545" max="12545" width="4" style="16" customWidth="1"/>
    <col min="12546" max="12546" width="6.28515625" style="16" customWidth="1"/>
    <col min="12547" max="12547" width="3.7109375" style="16" customWidth="1"/>
    <col min="12548" max="12548" width="14" style="16" customWidth="1"/>
    <col min="12549" max="12549" width="5" style="16" customWidth="1"/>
    <col min="12550" max="12550" width="11.42578125" style="16" bestFit="1" customWidth="1"/>
    <col min="12551" max="12551" width="5.85546875" style="16" customWidth="1"/>
    <col min="12552" max="12552" width="11.42578125" style="16" bestFit="1" customWidth="1"/>
    <col min="12553" max="12553" width="21.28515625" style="16" customWidth="1"/>
    <col min="12554" max="12800" width="8.85546875" style="16"/>
    <col min="12801" max="12801" width="4" style="16" customWidth="1"/>
    <col min="12802" max="12802" width="6.28515625" style="16" customWidth="1"/>
    <col min="12803" max="12803" width="3.7109375" style="16" customWidth="1"/>
    <col min="12804" max="12804" width="14" style="16" customWidth="1"/>
    <col min="12805" max="12805" width="5" style="16" customWidth="1"/>
    <col min="12806" max="12806" width="11.42578125" style="16" bestFit="1" customWidth="1"/>
    <col min="12807" max="12807" width="5.85546875" style="16" customWidth="1"/>
    <col min="12808" max="12808" width="11.42578125" style="16" bestFit="1" customWidth="1"/>
    <col min="12809" max="12809" width="21.28515625" style="16" customWidth="1"/>
    <col min="12810" max="13056" width="8.85546875" style="16"/>
    <col min="13057" max="13057" width="4" style="16" customWidth="1"/>
    <col min="13058" max="13058" width="6.28515625" style="16" customWidth="1"/>
    <col min="13059" max="13059" width="3.7109375" style="16" customWidth="1"/>
    <col min="13060" max="13060" width="14" style="16" customWidth="1"/>
    <col min="13061" max="13061" width="5" style="16" customWidth="1"/>
    <col min="13062" max="13062" width="11.42578125" style="16" bestFit="1" customWidth="1"/>
    <col min="13063" max="13063" width="5.85546875" style="16" customWidth="1"/>
    <col min="13064" max="13064" width="11.42578125" style="16" bestFit="1" customWidth="1"/>
    <col min="13065" max="13065" width="21.28515625" style="16" customWidth="1"/>
    <col min="13066" max="13312" width="8.85546875" style="16"/>
    <col min="13313" max="13313" width="4" style="16" customWidth="1"/>
    <col min="13314" max="13314" width="6.28515625" style="16" customWidth="1"/>
    <col min="13315" max="13315" width="3.7109375" style="16" customWidth="1"/>
    <col min="13316" max="13316" width="14" style="16" customWidth="1"/>
    <col min="13317" max="13317" width="5" style="16" customWidth="1"/>
    <col min="13318" max="13318" width="11.42578125" style="16" bestFit="1" customWidth="1"/>
    <col min="13319" max="13319" width="5.85546875" style="16" customWidth="1"/>
    <col min="13320" max="13320" width="11.42578125" style="16" bestFit="1" customWidth="1"/>
    <col min="13321" max="13321" width="21.28515625" style="16" customWidth="1"/>
    <col min="13322" max="13568" width="8.85546875" style="16"/>
    <col min="13569" max="13569" width="4" style="16" customWidth="1"/>
    <col min="13570" max="13570" width="6.28515625" style="16" customWidth="1"/>
    <col min="13571" max="13571" width="3.7109375" style="16" customWidth="1"/>
    <col min="13572" max="13572" width="14" style="16" customWidth="1"/>
    <col min="13573" max="13573" width="5" style="16" customWidth="1"/>
    <col min="13574" max="13574" width="11.42578125" style="16" bestFit="1" customWidth="1"/>
    <col min="13575" max="13575" width="5.85546875" style="16" customWidth="1"/>
    <col min="13576" max="13576" width="11.42578125" style="16" bestFit="1" customWidth="1"/>
    <col min="13577" max="13577" width="21.28515625" style="16" customWidth="1"/>
    <col min="13578" max="13824" width="8.85546875" style="16"/>
    <col min="13825" max="13825" width="4" style="16" customWidth="1"/>
    <col min="13826" max="13826" width="6.28515625" style="16" customWidth="1"/>
    <col min="13827" max="13827" width="3.7109375" style="16" customWidth="1"/>
    <col min="13828" max="13828" width="14" style="16" customWidth="1"/>
    <col min="13829" max="13829" width="5" style="16" customWidth="1"/>
    <col min="13830" max="13830" width="11.42578125" style="16" bestFit="1" customWidth="1"/>
    <col min="13831" max="13831" width="5.85546875" style="16" customWidth="1"/>
    <col min="13832" max="13832" width="11.42578125" style="16" bestFit="1" customWidth="1"/>
    <col min="13833" max="13833" width="21.28515625" style="16" customWidth="1"/>
    <col min="13834" max="14080" width="8.85546875" style="16"/>
    <col min="14081" max="14081" width="4" style="16" customWidth="1"/>
    <col min="14082" max="14082" width="6.28515625" style="16" customWidth="1"/>
    <col min="14083" max="14083" width="3.7109375" style="16" customWidth="1"/>
    <col min="14084" max="14084" width="14" style="16" customWidth="1"/>
    <col min="14085" max="14085" width="5" style="16" customWidth="1"/>
    <col min="14086" max="14086" width="11.42578125" style="16" bestFit="1" customWidth="1"/>
    <col min="14087" max="14087" width="5.85546875" style="16" customWidth="1"/>
    <col min="14088" max="14088" width="11.42578125" style="16" bestFit="1" customWidth="1"/>
    <col min="14089" max="14089" width="21.28515625" style="16" customWidth="1"/>
    <col min="14090" max="14336" width="8.85546875" style="16"/>
    <col min="14337" max="14337" width="4" style="16" customWidth="1"/>
    <col min="14338" max="14338" width="6.28515625" style="16" customWidth="1"/>
    <col min="14339" max="14339" width="3.7109375" style="16" customWidth="1"/>
    <col min="14340" max="14340" width="14" style="16" customWidth="1"/>
    <col min="14341" max="14341" width="5" style="16" customWidth="1"/>
    <col min="14342" max="14342" width="11.42578125" style="16" bestFit="1" customWidth="1"/>
    <col min="14343" max="14343" width="5.85546875" style="16" customWidth="1"/>
    <col min="14344" max="14344" width="11.42578125" style="16" bestFit="1" customWidth="1"/>
    <col min="14345" max="14345" width="21.28515625" style="16" customWidth="1"/>
    <col min="14346" max="14592" width="8.85546875" style="16"/>
    <col min="14593" max="14593" width="4" style="16" customWidth="1"/>
    <col min="14594" max="14594" width="6.28515625" style="16" customWidth="1"/>
    <col min="14595" max="14595" width="3.7109375" style="16" customWidth="1"/>
    <col min="14596" max="14596" width="14" style="16" customWidth="1"/>
    <col min="14597" max="14597" width="5" style="16" customWidth="1"/>
    <col min="14598" max="14598" width="11.42578125" style="16" bestFit="1" customWidth="1"/>
    <col min="14599" max="14599" width="5.85546875" style="16" customWidth="1"/>
    <col min="14600" max="14600" width="11.42578125" style="16" bestFit="1" customWidth="1"/>
    <col min="14601" max="14601" width="21.28515625" style="16" customWidth="1"/>
    <col min="14602" max="14848" width="8.85546875" style="16"/>
    <col min="14849" max="14849" width="4" style="16" customWidth="1"/>
    <col min="14850" max="14850" width="6.28515625" style="16" customWidth="1"/>
    <col min="14851" max="14851" width="3.7109375" style="16" customWidth="1"/>
    <col min="14852" max="14852" width="14" style="16" customWidth="1"/>
    <col min="14853" max="14853" width="5" style="16" customWidth="1"/>
    <col min="14854" max="14854" width="11.42578125" style="16" bestFit="1" customWidth="1"/>
    <col min="14855" max="14855" width="5.85546875" style="16" customWidth="1"/>
    <col min="14856" max="14856" width="11.42578125" style="16" bestFit="1" customWidth="1"/>
    <col min="14857" max="14857" width="21.28515625" style="16" customWidth="1"/>
    <col min="14858" max="15104" width="8.85546875" style="16"/>
    <col min="15105" max="15105" width="4" style="16" customWidth="1"/>
    <col min="15106" max="15106" width="6.28515625" style="16" customWidth="1"/>
    <col min="15107" max="15107" width="3.7109375" style="16" customWidth="1"/>
    <col min="15108" max="15108" width="14" style="16" customWidth="1"/>
    <col min="15109" max="15109" width="5" style="16" customWidth="1"/>
    <col min="15110" max="15110" width="11.42578125" style="16" bestFit="1" customWidth="1"/>
    <col min="15111" max="15111" width="5.85546875" style="16" customWidth="1"/>
    <col min="15112" max="15112" width="11.42578125" style="16" bestFit="1" customWidth="1"/>
    <col min="15113" max="15113" width="21.28515625" style="16" customWidth="1"/>
    <col min="15114" max="15360" width="8.85546875" style="16"/>
    <col min="15361" max="15361" width="4" style="16" customWidth="1"/>
    <col min="15362" max="15362" width="6.28515625" style="16" customWidth="1"/>
    <col min="15363" max="15363" width="3.7109375" style="16" customWidth="1"/>
    <col min="15364" max="15364" width="14" style="16" customWidth="1"/>
    <col min="15365" max="15365" width="5" style="16" customWidth="1"/>
    <col min="15366" max="15366" width="11.42578125" style="16" bestFit="1" customWidth="1"/>
    <col min="15367" max="15367" width="5.85546875" style="16" customWidth="1"/>
    <col min="15368" max="15368" width="11.42578125" style="16" bestFit="1" customWidth="1"/>
    <col min="15369" max="15369" width="21.28515625" style="16" customWidth="1"/>
    <col min="15370" max="15616" width="8.85546875" style="16"/>
    <col min="15617" max="15617" width="4" style="16" customWidth="1"/>
    <col min="15618" max="15618" width="6.28515625" style="16" customWidth="1"/>
    <col min="15619" max="15619" width="3.7109375" style="16" customWidth="1"/>
    <col min="15620" max="15620" width="14" style="16" customWidth="1"/>
    <col min="15621" max="15621" width="5" style="16" customWidth="1"/>
    <col min="15622" max="15622" width="11.42578125" style="16" bestFit="1" customWidth="1"/>
    <col min="15623" max="15623" width="5.85546875" style="16" customWidth="1"/>
    <col min="15624" max="15624" width="11.42578125" style="16" bestFit="1" customWidth="1"/>
    <col min="15625" max="15625" width="21.28515625" style="16" customWidth="1"/>
    <col min="15626" max="15872" width="8.85546875" style="16"/>
    <col min="15873" max="15873" width="4" style="16" customWidth="1"/>
    <col min="15874" max="15874" width="6.28515625" style="16" customWidth="1"/>
    <col min="15875" max="15875" width="3.7109375" style="16" customWidth="1"/>
    <col min="15876" max="15876" width="14" style="16" customWidth="1"/>
    <col min="15877" max="15877" width="5" style="16" customWidth="1"/>
    <col min="15878" max="15878" width="11.42578125" style="16" bestFit="1" customWidth="1"/>
    <col min="15879" max="15879" width="5.85546875" style="16" customWidth="1"/>
    <col min="15880" max="15880" width="11.42578125" style="16" bestFit="1" customWidth="1"/>
    <col min="15881" max="15881" width="21.28515625" style="16" customWidth="1"/>
    <col min="15882" max="16128" width="8.85546875" style="16"/>
    <col min="16129" max="16129" width="4" style="16" customWidth="1"/>
    <col min="16130" max="16130" width="6.28515625" style="16" customWidth="1"/>
    <col min="16131" max="16131" width="3.7109375" style="16" customWidth="1"/>
    <col min="16132" max="16132" width="14" style="16" customWidth="1"/>
    <col min="16133" max="16133" width="5" style="16" customWidth="1"/>
    <col min="16134" max="16134" width="11.42578125" style="16" bestFit="1" customWidth="1"/>
    <col min="16135" max="16135" width="5.85546875" style="16" customWidth="1"/>
    <col min="16136" max="16136" width="11.42578125" style="16" bestFit="1" customWidth="1"/>
    <col min="16137" max="16137" width="21.28515625" style="16" customWidth="1"/>
    <col min="16138" max="16384" width="8.85546875" style="16"/>
  </cols>
  <sheetData>
    <row r="1" spans="1:9" ht="25.5">
      <c r="A1" s="13"/>
      <c r="B1" s="13" t="s">
        <v>24</v>
      </c>
      <c r="C1" s="13" t="s">
        <v>25</v>
      </c>
      <c r="D1" s="14" t="s">
        <v>26</v>
      </c>
      <c r="E1" s="14" t="s">
        <v>25</v>
      </c>
      <c r="F1" s="14" t="s">
        <v>27</v>
      </c>
      <c r="G1" s="14" t="s">
        <v>28</v>
      </c>
      <c r="H1" s="15" t="s">
        <v>29</v>
      </c>
      <c r="I1" s="13" t="s">
        <v>30</v>
      </c>
    </row>
    <row r="2" spans="1:9" ht="9" hidden="1" customHeight="1">
      <c r="A2" s="17"/>
      <c r="B2" s="13"/>
      <c r="C2" s="17"/>
      <c r="D2" s="18"/>
      <c r="E2" s="19"/>
      <c r="F2" s="18"/>
      <c r="G2" s="18"/>
      <c r="H2" s="18"/>
      <c r="I2" s="20"/>
    </row>
    <row r="3" spans="1:9" ht="58.15" customHeight="1">
      <c r="A3" s="17">
        <v>1</v>
      </c>
      <c r="B3" s="13">
        <v>199</v>
      </c>
      <c r="C3" s="13">
        <v>11</v>
      </c>
      <c r="D3" s="21">
        <v>60000</v>
      </c>
      <c r="E3" s="14">
        <v>21</v>
      </c>
      <c r="F3" s="21">
        <v>60000</v>
      </c>
      <c r="G3" s="21">
        <v>1</v>
      </c>
      <c r="H3" s="21"/>
      <c r="I3" s="22" t="s">
        <v>33</v>
      </c>
    </row>
    <row r="4" spans="1:9" ht="29.45" customHeight="1">
      <c r="A4" s="17">
        <v>2</v>
      </c>
      <c r="B4" s="13">
        <v>199</v>
      </c>
      <c r="C4" s="13">
        <v>11</v>
      </c>
      <c r="D4" s="21">
        <v>170</v>
      </c>
      <c r="E4" s="14">
        <v>13</v>
      </c>
      <c r="F4" s="21">
        <v>170</v>
      </c>
      <c r="G4" s="21">
        <v>1</v>
      </c>
      <c r="H4" s="21"/>
      <c r="I4" s="22" t="s">
        <v>34</v>
      </c>
    </row>
    <row r="5" spans="1:9" ht="38.25">
      <c r="A5" s="17">
        <v>3</v>
      </c>
      <c r="B5" s="13">
        <v>199</v>
      </c>
      <c r="C5" s="13">
        <v>0</v>
      </c>
      <c r="D5" s="21">
        <v>1696</v>
      </c>
      <c r="E5" s="14">
        <v>11</v>
      </c>
      <c r="F5" s="21">
        <v>1696</v>
      </c>
      <c r="G5" s="21">
        <v>41</v>
      </c>
      <c r="H5" s="21">
        <v>1696</v>
      </c>
      <c r="I5" s="22" t="s">
        <v>35</v>
      </c>
    </row>
    <row r="6" spans="1:9" ht="25.5">
      <c r="A6" s="17">
        <v>4</v>
      </c>
      <c r="B6" s="13">
        <v>199</v>
      </c>
      <c r="C6" s="13">
        <v>11</v>
      </c>
      <c r="D6" s="21">
        <v>200</v>
      </c>
      <c r="E6" s="14">
        <v>13</v>
      </c>
      <c r="F6" s="21">
        <v>200</v>
      </c>
      <c r="G6" s="21">
        <v>108</v>
      </c>
      <c r="H6" s="21"/>
      <c r="I6" s="22" t="s">
        <v>36</v>
      </c>
    </row>
    <row r="7" spans="1:9" ht="51">
      <c r="A7" s="17">
        <v>5</v>
      </c>
      <c r="B7" s="13">
        <v>199</v>
      </c>
      <c r="C7" s="13">
        <v>0</v>
      </c>
      <c r="D7" s="21">
        <v>350</v>
      </c>
      <c r="E7" s="14">
        <v>11</v>
      </c>
      <c r="F7" s="21">
        <v>350</v>
      </c>
      <c r="G7" s="21">
        <v>823</v>
      </c>
      <c r="H7" s="21">
        <v>350</v>
      </c>
      <c r="I7" s="22" t="s">
        <v>37</v>
      </c>
    </row>
    <row r="8" spans="1:9" ht="38.25">
      <c r="A8" s="17">
        <v>6</v>
      </c>
      <c r="B8" s="13">
        <v>199</v>
      </c>
      <c r="C8" s="13">
        <v>0</v>
      </c>
      <c r="D8" s="21">
        <v>476</v>
      </c>
      <c r="E8" s="14">
        <v>36</v>
      </c>
      <c r="F8" s="21">
        <v>476</v>
      </c>
      <c r="G8" s="21">
        <v>103</v>
      </c>
      <c r="H8" s="21">
        <v>476</v>
      </c>
      <c r="I8" s="22" t="s">
        <v>38</v>
      </c>
    </row>
    <row r="9" spans="1:9" ht="25.5">
      <c r="A9" s="17">
        <v>7</v>
      </c>
      <c r="B9" s="13">
        <v>199</v>
      </c>
      <c r="C9" s="13">
        <v>11</v>
      </c>
      <c r="D9" s="21">
        <v>500</v>
      </c>
      <c r="E9" s="14">
        <v>23</v>
      </c>
      <c r="F9" s="21">
        <v>500</v>
      </c>
      <c r="G9" s="21">
        <v>108</v>
      </c>
      <c r="H9" s="21"/>
      <c r="I9" s="22" t="s">
        <v>39</v>
      </c>
    </row>
    <row r="10" spans="1:9" ht="38.25">
      <c r="A10" s="17">
        <v>8</v>
      </c>
      <c r="B10" s="13">
        <v>199</v>
      </c>
      <c r="C10" s="13">
        <v>11</v>
      </c>
      <c r="D10" s="21">
        <v>750</v>
      </c>
      <c r="E10" s="14">
        <v>13</v>
      </c>
      <c r="F10" s="21">
        <v>750</v>
      </c>
      <c r="G10" s="21">
        <v>41</v>
      </c>
      <c r="H10" s="21"/>
      <c r="I10" s="22" t="s">
        <v>40</v>
      </c>
    </row>
    <row r="11" spans="1:9" ht="38.25">
      <c r="A11" s="17">
        <v>9</v>
      </c>
      <c r="B11" s="13">
        <v>199</v>
      </c>
      <c r="C11" s="13">
        <v>0</v>
      </c>
      <c r="D11" s="21">
        <v>400</v>
      </c>
      <c r="E11" s="14">
        <v>11</v>
      </c>
      <c r="F11" s="21">
        <v>400</v>
      </c>
      <c r="G11" s="21">
        <v>1</v>
      </c>
      <c r="H11" s="21">
        <v>400</v>
      </c>
      <c r="I11" s="22" t="s">
        <v>35</v>
      </c>
    </row>
    <row r="12" spans="1:9" ht="38.25">
      <c r="A12" s="17">
        <v>10</v>
      </c>
      <c r="B12" s="13">
        <v>199</v>
      </c>
      <c r="C12" s="13">
        <v>0</v>
      </c>
      <c r="D12" s="21">
        <v>792</v>
      </c>
      <c r="E12" s="14">
        <v>11</v>
      </c>
      <c r="F12" s="21">
        <v>792</v>
      </c>
      <c r="G12" s="21">
        <v>1</v>
      </c>
      <c r="H12" s="21">
        <v>792</v>
      </c>
      <c r="I12" s="22" t="s">
        <v>41</v>
      </c>
    </row>
    <row r="13" spans="1:9" ht="25.5">
      <c r="A13" s="17">
        <v>11</v>
      </c>
      <c r="B13" s="13">
        <v>199</v>
      </c>
      <c r="C13" s="13">
        <v>11</v>
      </c>
      <c r="D13" s="21">
        <v>1500</v>
      </c>
      <c r="E13" s="14">
        <v>13</v>
      </c>
      <c r="F13" s="21">
        <v>1500</v>
      </c>
      <c r="G13" s="21">
        <v>41</v>
      </c>
      <c r="H13" s="21"/>
      <c r="I13" s="22" t="s">
        <v>42</v>
      </c>
    </row>
    <row r="14" spans="1:9" ht="40.5" customHeight="1">
      <c r="A14" s="17">
        <v>12</v>
      </c>
      <c r="B14" s="13">
        <v>199</v>
      </c>
      <c r="C14" s="13">
        <v>11</v>
      </c>
      <c r="D14" s="21">
        <v>2300</v>
      </c>
      <c r="E14" s="14">
        <v>23</v>
      </c>
      <c r="F14" s="21">
        <v>2300</v>
      </c>
      <c r="G14" s="21">
        <v>103</v>
      </c>
      <c r="H14" s="21"/>
      <c r="I14" s="22" t="s">
        <v>43</v>
      </c>
    </row>
    <row r="15" spans="1:9" ht="25.5">
      <c r="A15" s="17">
        <v>13</v>
      </c>
      <c r="B15" s="13">
        <v>199</v>
      </c>
      <c r="C15" s="13">
        <v>13</v>
      </c>
      <c r="D15" s="21">
        <v>3000</v>
      </c>
      <c r="E15" s="14">
        <v>11</v>
      </c>
      <c r="F15" s="21">
        <v>3000</v>
      </c>
      <c r="G15" s="21">
        <v>107</v>
      </c>
      <c r="H15" s="21"/>
      <c r="I15" s="22" t="s">
        <v>44</v>
      </c>
    </row>
    <row r="16" spans="1:9" ht="55.9" customHeight="1">
      <c r="A16" s="17">
        <v>14</v>
      </c>
      <c r="B16" s="13">
        <v>199</v>
      </c>
      <c r="C16" s="13">
        <v>11</v>
      </c>
      <c r="D16" s="21">
        <v>5000</v>
      </c>
      <c r="E16" s="14">
        <v>23</v>
      </c>
      <c r="F16" s="21">
        <v>3000</v>
      </c>
      <c r="G16" s="21">
        <v>42</v>
      </c>
      <c r="H16" s="21"/>
      <c r="I16" s="22" t="s">
        <v>45</v>
      </c>
    </row>
    <row r="17" spans="1:9" ht="18.600000000000001" customHeight="1">
      <c r="A17" s="17"/>
      <c r="B17" s="13"/>
      <c r="C17" s="13"/>
      <c r="D17" s="21"/>
      <c r="E17" s="14">
        <v>13</v>
      </c>
      <c r="F17" s="21">
        <v>2000</v>
      </c>
      <c r="G17" s="21">
        <v>42</v>
      </c>
      <c r="H17" s="21"/>
      <c r="I17" s="22"/>
    </row>
    <row r="18" spans="1:9" ht="67.900000000000006" customHeight="1">
      <c r="A18" s="17">
        <v>15</v>
      </c>
      <c r="B18" s="13">
        <v>199</v>
      </c>
      <c r="C18" s="13">
        <v>11</v>
      </c>
      <c r="D18" s="21">
        <v>7630</v>
      </c>
      <c r="E18" s="14">
        <v>23</v>
      </c>
      <c r="F18" s="21">
        <v>4030</v>
      </c>
      <c r="G18" s="21">
        <v>105</v>
      </c>
      <c r="H18" s="21"/>
      <c r="I18" s="22" t="s">
        <v>46</v>
      </c>
    </row>
    <row r="19" spans="1:9" ht="19.899999999999999" customHeight="1">
      <c r="A19" s="17"/>
      <c r="B19" s="13"/>
      <c r="C19" s="13"/>
      <c r="D19" s="21"/>
      <c r="E19" s="14">
        <v>11</v>
      </c>
      <c r="F19" s="21">
        <v>3600</v>
      </c>
      <c r="G19" s="21">
        <v>105</v>
      </c>
      <c r="H19" s="21"/>
      <c r="I19" s="22"/>
    </row>
    <row r="20" spans="1:9" ht="27" hidden="1" customHeight="1">
      <c r="A20" s="17"/>
      <c r="B20" s="14"/>
      <c r="C20" s="13"/>
      <c r="D20" s="23"/>
      <c r="E20" s="14"/>
      <c r="F20" s="24"/>
      <c r="G20" s="24"/>
      <c r="H20" s="23"/>
      <c r="I20" s="25"/>
    </row>
    <row r="21" spans="1:9" ht="38.25">
      <c r="A21" s="17">
        <v>16</v>
      </c>
      <c r="B21" s="14">
        <v>199</v>
      </c>
      <c r="C21" s="13">
        <v>0</v>
      </c>
      <c r="D21" s="23">
        <v>31050</v>
      </c>
      <c r="E21" s="14">
        <v>11</v>
      </c>
      <c r="F21" s="24">
        <v>31050</v>
      </c>
      <c r="G21" s="24">
        <v>41</v>
      </c>
      <c r="H21" s="23">
        <v>31050</v>
      </c>
      <c r="I21" s="22" t="s">
        <v>47</v>
      </c>
    </row>
    <row r="22" spans="1:9" ht="38.25">
      <c r="A22" s="17">
        <v>17</v>
      </c>
      <c r="B22" s="14">
        <v>183</v>
      </c>
      <c r="C22" s="13">
        <v>0</v>
      </c>
      <c r="D22" s="23">
        <v>2000</v>
      </c>
      <c r="E22" s="14">
        <v>36</v>
      </c>
      <c r="F22" s="24">
        <v>2000</v>
      </c>
      <c r="G22" s="24">
        <v>999</v>
      </c>
      <c r="H22" s="23">
        <v>2000</v>
      </c>
      <c r="I22" s="22" t="s">
        <v>48</v>
      </c>
    </row>
    <row r="23" spans="1:9" ht="51">
      <c r="A23" s="17">
        <v>18</v>
      </c>
      <c r="B23" s="14">
        <v>199</v>
      </c>
      <c r="C23" s="13">
        <v>0</v>
      </c>
      <c r="D23" s="23">
        <v>50000</v>
      </c>
      <c r="E23" s="14">
        <v>23</v>
      </c>
      <c r="F23" s="24">
        <v>25000</v>
      </c>
      <c r="G23" s="24">
        <v>104</v>
      </c>
      <c r="H23" s="23">
        <v>50000</v>
      </c>
      <c r="I23" s="22" t="s">
        <v>49</v>
      </c>
    </row>
    <row r="24" spans="1:9" ht="17.25" customHeight="1">
      <c r="A24" s="17"/>
      <c r="B24" s="14"/>
      <c r="C24" s="13"/>
      <c r="D24" s="23"/>
      <c r="E24" s="14">
        <v>11</v>
      </c>
      <c r="F24" s="24">
        <v>25000</v>
      </c>
      <c r="G24" s="24">
        <v>105</v>
      </c>
      <c r="H24" s="23"/>
      <c r="I24" s="22"/>
    </row>
    <row r="25" spans="1:9" ht="15.75" customHeight="1">
      <c r="A25" s="17"/>
      <c r="B25" s="14"/>
      <c r="C25" s="13"/>
      <c r="D25" s="23"/>
      <c r="E25" s="14"/>
      <c r="F25" s="24"/>
      <c r="G25" s="24"/>
      <c r="H25" s="23"/>
      <c r="I25" s="22"/>
    </row>
    <row r="26" spans="1:9" ht="51.75" hidden="1" customHeight="1">
      <c r="A26" s="17">
        <v>14</v>
      </c>
      <c r="B26" s="14"/>
      <c r="C26" s="13"/>
      <c r="D26" s="23"/>
      <c r="E26" s="14"/>
      <c r="F26" s="24"/>
      <c r="G26" s="24"/>
      <c r="H26" s="23"/>
      <c r="I26" s="22"/>
    </row>
    <row r="27" spans="1:9" ht="18.75" hidden="1" customHeight="1">
      <c r="A27" s="17"/>
      <c r="B27" s="14"/>
      <c r="C27" s="13"/>
      <c r="D27" s="23"/>
      <c r="E27" s="14"/>
      <c r="F27" s="24"/>
      <c r="G27" s="24"/>
      <c r="H27" s="23"/>
      <c r="I27" s="22"/>
    </row>
    <row r="28" spans="1:9" ht="51" hidden="1" customHeight="1">
      <c r="A28" s="17">
        <v>15</v>
      </c>
      <c r="B28" s="14"/>
      <c r="C28" s="13"/>
      <c r="D28" s="23"/>
      <c r="E28" s="14"/>
      <c r="F28" s="24"/>
      <c r="G28" s="24"/>
      <c r="H28" s="23"/>
      <c r="I28" s="22"/>
    </row>
    <row r="29" spans="1:9" ht="27" hidden="1" customHeight="1">
      <c r="A29" s="17"/>
      <c r="B29" s="14"/>
      <c r="C29" s="13"/>
      <c r="D29" s="23"/>
      <c r="E29" s="14"/>
      <c r="F29" s="24"/>
      <c r="G29" s="24"/>
      <c r="H29" s="23"/>
      <c r="I29" s="22"/>
    </row>
    <row r="30" spans="1:9" ht="60.75" hidden="1" customHeight="1">
      <c r="A30" s="17">
        <v>16</v>
      </c>
      <c r="B30" s="14"/>
      <c r="C30" s="13"/>
      <c r="D30" s="23"/>
      <c r="E30" s="14"/>
      <c r="F30" s="24"/>
      <c r="G30" s="24"/>
      <c r="H30" s="23"/>
      <c r="I30" s="22"/>
    </row>
    <row r="31" spans="1:9" ht="36" hidden="1" customHeight="1">
      <c r="A31" s="17">
        <v>17</v>
      </c>
      <c r="B31" s="14"/>
      <c r="C31" s="13"/>
      <c r="D31" s="23"/>
      <c r="E31" s="14"/>
      <c r="F31" s="24"/>
      <c r="G31" s="24"/>
      <c r="H31" s="23"/>
      <c r="I31" s="22"/>
    </row>
    <row r="32" spans="1:9" ht="15" hidden="1" customHeight="1">
      <c r="A32" s="17"/>
      <c r="B32" s="14"/>
      <c r="C32" s="13"/>
      <c r="D32" s="23"/>
      <c r="E32" s="14"/>
      <c r="F32" s="24"/>
      <c r="G32" s="24"/>
      <c r="H32" s="23"/>
      <c r="I32" s="22"/>
    </row>
    <row r="33" spans="1:9" ht="49.5" hidden="1" customHeight="1">
      <c r="A33" s="17">
        <v>18</v>
      </c>
      <c r="B33" s="14"/>
      <c r="C33" s="13"/>
      <c r="D33" s="23"/>
      <c r="E33" s="14"/>
      <c r="F33" s="24"/>
      <c r="G33" s="24"/>
      <c r="H33" s="23"/>
      <c r="I33" s="22"/>
    </row>
    <row r="34" spans="1:9" ht="15.75" hidden="1" customHeight="1">
      <c r="A34" s="17"/>
      <c r="B34" s="14"/>
      <c r="C34" s="13"/>
      <c r="D34" s="23"/>
      <c r="E34" s="14"/>
      <c r="F34" s="24"/>
      <c r="G34" s="24"/>
      <c r="H34" s="23"/>
      <c r="I34" s="22"/>
    </row>
    <row r="35" spans="1:9" ht="39" hidden="1" customHeight="1">
      <c r="A35" s="17">
        <v>19</v>
      </c>
      <c r="B35" s="14"/>
      <c r="C35" s="13"/>
      <c r="D35" s="23"/>
      <c r="E35" s="14"/>
      <c r="F35" s="24"/>
      <c r="G35" s="24"/>
      <c r="H35" s="23"/>
      <c r="I35" s="22"/>
    </row>
    <row r="36" spans="1:9" ht="39" hidden="1" customHeight="1">
      <c r="A36" s="17"/>
      <c r="B36" s="14"/>
      <c r="C36" s="13"/>
      <c r="D36" s="23"/>
      <c r="E36" s="14"/>
      <c r="F36" s="24"/>
      <c r="G36" s="24"/>
      <c r="H36" s="23"/>
      <c r="I36" s="22"/>
    </row>
    <row r="37" spans="1:9" ht="27" hidden="1" customHeight="1">
      <c r="A37" s="17"/>
      <c r="B37" s="14"/>
      <c r="C37" s="13"/>
      <c r="D37" s="23"/>
      <c r="E37" s="14"/>
      <c r="F37" s="24"/>
      <c r="G37" s="24"/>
      <c r="H37" s="23"/>
      <c r="I37" s="22"/>
    </row>
    <row r="38" spans="1:9" ht="45" hidden="1" customHeight="1">
      <c r="A38" s="17">
        <v>20</v>
      </c>
      <c r="B38" s="14"/>
      <c r="C38" s="13"/>
      <c r="D38" s="23"/>
      <c r="E38" s="14"/>
      <c r="F38" s="24"/>
      <c r="G38" s="24"/>
      <c r="H38" s="23"/>
      <c r="I38" s="22"/>
    </row>
    <row r="39" spans="1:9" ht="23.25" hidden="1" customHeight="1">
      <c r="A39" s="17"/>
      <c r="B39" s="14"/>
      <c r="C39" s="13"/>
      <c r="D39" s="23"/>
      <c r="E39" s="14"/>
      <c r="F39" s="24"/>
      <c r="G39" s="24"/>
      <c r="H39" s="23"/>
      <c r="I39" s="22"/>
    </row>
    <row r="40" spans="1:9" ht="37.5" hidden="1" customHeight="1">
      <c r="A40" s="17">
        <v>21</v>
      </c>
      <c r="B40" s="14"/>
      <c r="C40" s="13"/>
      <c r="D40" s="23"/>
      <c r="E40" s="14"/>
      <c r="F40" s="24"/>
      <c r="G40" s="24"/>
      <c r="H40" s="23"/>
      <c r="I40" s="22"/>
    </row>
    <row r="41" spans="1:9" ht="23.25" hidden="1" customHeight="1">
      <c r="A41" s="17"/>
      <c r="B41" s="14"/>
      <c r="C41" s="13"/>
      <c r="D41" s="23"/>
      <c r="E41" s="14"/>
      <c r="F41" s="24"/>
      <c r="G41" s="24"/>
      <c r="H41" s="23"/>
      <c r="I41" s="22"/>
    </row>
    <row r="42" spans="1:9" ht="54.75" hidden="1" customHeight="1">
      <c r="A42" s="17">
        <v>22</v>
      </c>
      <c r="B42" s="14"/>
      <c r="C42" s="13"/>
      <c r="D42" s="23"/>
      <c r="E42" s="14"/>
      <c r="F42" s="24"/>
      <c r="G42" s="24"/>
      <c r="H42" s="23"/>
      <c r="I42" s="22"/>
    </row>
    <row r="43" spans="1:9" ht="23.25" hidden="1" customHeight="1">
      <c r="A43" s="17"/>
      <c r="B43" s="14"/>
      <c r="C43" s="13"/>
      <c r="D43" s="23"/>
      <c r="E43" s="14"/>
      <c r="F43" s="24"/>
      <c r="G43" s="24"/>
      <c r="H43" s="23"/>
      <c r="I43" s="22"/>
    </row>
    <row r="44" spans="1:9" ht="75.75" hidden="1" customHeight="1">
      <c r="A44" s="17">
        <v>23</v>
      </c>
      <c r="B44" s="14"/>
      <c r="C44" s="13"/>
      <c r="D44" s="23"/>
      <c r="E44" s="26"/>
      <c r="F44" s="27"/>
      <c r="G44" s="24"/>
      <c r="H44" s="23"/>
      <c r="I44" s="22"/>
    </row>
    <row r="45" spans="1:9" ht="46.5" customHeight="1">
      <c r="A45" s="17"/>
      <c r="B45" s="13"/>
      <c r="C45" s="19" t="s">
        <v>31</v>
      </c>
      <c r="D45" s="23">
        <f>SUM(D3:D44)</f>
        <v>167814</v>
      </c>
      <c r="E45" s="28"/>
      <c r="F45" s="23">
        <f>SUM(F3:F44)</f>
        <v>167814</v>
      </c>
      <c r="G45" s="23"/>
      <c r="H45" s="23">
        <f>SUM(H3:H44)</f>
        <v>86764</v>
      </c>
      <c r="I45" s="22"/>
    </row>
    <row r="46" spans="1:9" ht="38.25" hidden="1" customHeight="1">
      <c r="A46" s="29"/>
      <c r="B46" s="30"/>
      <c r="C46" s="30"/>
      <c r="D46" s="31"/>
      <c r="E46" s="30"/>
      <c r="F46" s="32"/>
      <c r="G46" s="32"/>
      <c r="H46" s="33"/>
      <c r="I46" s="34"/>
    </row>
    <row r="47" spans="1:9" ht="38.25" hidden="1" customHeight="1">
      <c r="A47" s="35" t="s">
        <v>32</v>
      </c>
      <c r="B47" s="36"/>
      <c r="C47" s="36"/>
      <c r="D47" s="37"/>
      <c r="E47" s="38"/>
      <c r="F47" s="39"/>
      <c r="G47" s="39"/>
      <c r="H47" s="39"/>
      <c r="I47" s="40"/>
    </row>
    <row r="48" spans="1:9" ht="56.25" hidden="1" customHeight="1">
      <c r="A48" s="29"/>
      <c r="B48" s="29"/>
      <c r="C48" s="41"/>
      <c r="D48" s="32"/>
      <c r="E48" s="30"/>
      <c r="F48" s="32"/>
      <c r="G48" s="32"/>
      <c r="H48" s="32"/>
      <c r="I48" s="42"/>
    </row>
    <row r="49" ht="38.25" hidden="1" customHeight="1"/>
    <row r="50" ht="51.75" hidden="1" customHeight="1"/>
    <row r="51" ht="45" customHeight="1"/>
    <row r="52" ht="51.75" customHeight="1"/>
    <row r="53" ht="51.75" customHeight="1"/>
    <row r="54" ht="51.75" customHeight="1"/>
    <row r="55" ht="51.75" customHeight="1"/>
    <row r="56" ht="51.75" customHeight="1"/>
    <row r="57" ht="51.75" customHeight="1"/>
    <row r="58" ht="51.75" customHeight="1"/>
    <row r="59" ht="51.75" customHeight="1"/>
    <row r="60" ht="63" customHeight="1"/>
    <row r="61" ht="28.5" customHeight="1"/>
    <row r="62" ht="50.25" customHeight="1"/>
    <row r="63" ht="10.5" customHeight="1"/>
  </sheetData>
  <pageMargins left="0.75" right="0.75" top="1.5" bottom="1" header="0.5" footer="0.5"/>
  <pageSetup fitToHeight="10" orientation="portrait" r:id="rId1"/>
  <headerFooter>
    <oddHeader>&amp;CLittle Elm Independent School District
General Fund 
Budget Amendments
November 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93"/>
  <sheetViews>
    <sheetView zoomScaleNormal="100" workbookViewId="0">
      <selection activeCell="D41" sqref="D41"/>
    </sheetView>
  </sheetViews>
  <sheetFormatPr defaultColWidth="11.42578125" defaultRowHeight="12.75"/>
  <cols>
    <col min="1" max="1" width="11.5703125" style="16" customWidth="1"/>
    <col min="2" max="2" width="13" style="16" customWidth="1"/>
    <col min="3" max="3" width="8.85546875" style="16" customWidth="1"/>
    <col min="4" max="4" width="15" style="16" customWidth="1"/>
    <col min="5" max="5" width="14.42578125" style="16" customWidth="1"/>
    <col min="6" max="6" width="13.7109375" style="16" customWidth="1"/>
    <col min="7" max="7" width="8.28515625" style="16" customWidth="1"/>
    <col min="8" max="8" width="12.85546875" style="16" customWidth="1"/>
    <col min="9" max="9" width="14.7109375" style="16" customWidth="1"/>
    <col min="10" max="10" width="15.5703125" style="16" customWidth="1"/>
    <col min="11" max="12" width="11.42578125" style="16"/>
    <col min="13" max="13" width="13.42578125" style="16" bestFit="1" customWidth="1"/>
    <col min="14" max="16384" width="11.42578125" style="16"/>
  </cols>
  <sheetData>
    <row r="1" spans="1:10" ht="15.75">
      <c r="A1" s="16" t="s">
        <v>51</v>
      </c>
      <c r="D1" s="43"/>
      <c r="E1" s="43"/>
      <c r="F1" s="44" t="s">
        <v>52</v>
      </c>
      <c r="G1" s="43"/>
      <c r="H1" s="43"/>
      <c r="I1" s="45"/>
      <c r="J1" s="46" t="s">
        <v>53</v>
      </c>
    </row>
    <row r="2" spans="1:10">
      <c r="D2" s="47"/>
      <c r="E2" s="47"/>
      <c r="F2" s="48" t="s">
        <v>54</v>
      </c>
      <c r="G2" s="47"/>
      <c r="H2" s="47"/>
      <c r="I2" s="45"/>
      <c r="J2" s="45"/>
    </row>
    <row r="3" spans="1:10">
      <c r="D3" s="45"/>
      <c r="E3" s="45"/>
      <c r="F3" s="49" t="s">
        <v>55</v>
      </c>
      <c r="G3" s="45"/>
      <c r="H3" s="45"/>
      <c r="I3" s="45"/>
      <c r="J3" s="45"/>
    </row>
    <row r="4" spans="1:10">
      <c r="D4" s="45"/>
      <c r="E4" s="45"/>
      <c r="F4" s="47"/>
      <c r="G4" s="45"/>
      <c r="H4" s="45"/>
      <c r="I4" s="45"/>
      <c r="J4" s="45"/>
    </row>
    <row r="5" spans="1:10" ht="15.75">
      <c r="D5" s="45"/>
      <c r="E5" s="44" t="s">
        <v>56</v>
      </c>
      <c r="F5" s="45"/>
      <c r="G5" s="45"/>
      <c r="H5" s="50"/>
      <c r="I5" s="44" t="s">
        <v>57</v>
      </c>
      <c r="J5" s="45"/>
    </row>
    <row r="6" spans="1:10">
      <c r="A6" s="16" t="s">
        <v>51</v>
      </c>
      <c r="D6" s="51"/>
      <c r="E6" s="52" t="s">
        <v>58</v>
      </c>
      <c r="F6" s="51"/>
      <c r="G6" s="45"/>
      <c r="H6" s="51"/>
      <c r="I6" s="53">
        <v>511</v>
      </c>
      <c r="J6" s="51"/>
    </row>
    <row r="7" spans="1:10">
      <c r="D7" s="54"/>
      <c r="E7" s="54" t="s">
        <v>59</v>
      </c>
      <c r="F7" s="46"/>
      <c r="G7" s="45"/>
      <c r="H7" s="54"/>
      <c r="I7" s="54" t="s">
        <v>59</v>
      </c>
      <c r="J7" s="46"/>
    </row>
    <row r="8" spans="1:10">
      <c r="A8" s="16" t="s">
        <v>60</v>
      </c>
      <c r="D8" s="54" t="s">
        <v>61</v>
      </c>
      <c r="E8" s="54" t="s">
        <v>62</v>
      </c>
      <c r="F8" s="46" t="s">
        <v>63</v>
      </c>
      <c r="G8" s="45"/>
      <c r="H8" s="54" t="s">
        <v>64</v>
      </c>
      <c r="I8" s="54" t="s">
        <v>62</v>
      </c>
      <c r="J8" s="46" t="s">
        <v>63</v>
      </c>
    </row>
    <row r="9" spans="1:10">
      <c r="A9" s="55" t="s">
        <v>65</v>
      </c>
      <c r="B9" s="55" t="s">
        <v>66</v>
      </c>
      <c r="D9" s="56" t="s">
        <v>67</v>
      </c>
      <c r="E9" s="57"/>
      <c r="F9" s="58" t="s">
        <v>67</v>
      </c>
      <c r="G9" s="45"/>
      <c r="H9" s="56" t="s">
        <v>67</v>
      </c>
      <c r="I9" s="57"/>
      <c r="J9" s="58" t="s">
        <v>67</v>
      </c>
    </row>
    <row r="10" spans="1:10">
      <c r="A10" s="59">
        <v>5700</v>
      </c>
      <c r="B10" s="60" t="s">
        <v>68</v>
      </c>
      <c r="D10" s="61">
        <v>23126210</v>
      </c>
      <c r="E10" s="62">
        <v>8563</v>
      </c>
      <c r="F10" s="63">
        <f>D10+E10</f>
        <v>23134773</v>
      </c>
      <c r="G10" s="45"/>
      <c r="H10" s="64">
        <v>10557643</v>
      </c>
      <c r="I10" s="65"/>
      <c r="J10" s="64">
        <f>H10+I10</f>
        <v>10557643</v>
      </c>
    </row>
    <row r="11" spans="1:10">
      <c r="A11" s="59">
        <v>5800</v>
      </c>
      <c r="B11" s="60" t="s">
        <v>69</v>
      </c>
      <c r="D11" s="61">
        <v>26074068</v>
      </c>
      <c r="E11" s="62"/>
      <c r="F11" s="63">
        <f>D11+E11</f>
        <v>26074068</v>
      </c>
      <c r="G11" s="45"/>
      <c r="H11" s="64">
        <v>773250</v>
      </c>
      <c r="I11" s="65"/>
      <c r="J11" s="64">
        <f>H11+I11</f>
        <v>773250</v>
      </c>
    </row>
    <row r="12" spans="1:10">
      <c r="A12" s="59">
        <v>5900</v>
      </c>
      <c r="B12" s="60" t="s">
        <v>70</v>
      </c>
      <c r="D12" s="61">
        <v>275000</v>
      </c>
      <c r="E12" s="62"/>
      <c r="F12" s="63">
        <f>D12+E12</f>
        <v>275000</v>
      </c>
      <c r="G12" s="45"/>
      <c r="H12" s="66">
        <v>0</v>
      </c>
      <c r="I12" s="67"/>
      <c r="J12" s="66">
        <f>H12+I12</f>
        <v>0</v>
      </c>
    </row>
    <row r="13" spans="1:10" ht="12" customHeight="1">
      <c r="D13" s="68">
        <f>SUM(D10:D12)</f>
        <v>49475278</v>
      </c>
      <c r="E13" s="69">
        <f>SUM(E10:E12)</f>
        <v>8563</v>
      </c>
      <c r="F13" s="68">
        <f>SUM(F10:F12)</f>
        <v>49483841</v>
      </c>
      <c r="G13" s="45"/>
      <c r="H13" s="70">
        <f>SUM(H10:H12)</f>
        <v>11330893</v>
      </c>
      <c r="I13" s="71">
        <f>SUM(I10:I12)</f>
        <v>0</v>
      </c>
      <c r="J13" s="72">
        <f>SUM(J10:J12)</f>
        <v>11330893</v>
      </c>
    </row>
    <row r="14" spans="1:10">
      <c r="D14" s="61"/>
      <c r="E14" s="73"/>
      <c r="F14" s="61"/>
      <c r="G14" s="45"/>
      <c r="H14" s="74"/>
      <c r="I14" s="75"/>
      <c r="J14" s="74"/>
    </row>
    <row r="15" spans="1:10">
      <c r="A15" s="76" t="s">
        <v>71</v>
      </c>
      <c r="B15" s="55"/>
      <c r="D15" s="77"/>
      <c r="E15" s="78"/>
      <c r="F15" s="77"/>
      <c r="G15" s="79"/>
      <c r="H15" s="77"/>
      <c r="I15" s="78"/>
      <c r="J15" s="77"/>
    </row>
    <row r="16" spans="1:10" ht="15">
      <c r="A16" s="16" t="s">
        <v>72</v>
      </c>
      <c r="D16" s="64">
        <v>29759560</v>
      </c>
      <c r="E16" s="65">
        <v>247337</v>
      </c>
      <c r="F16" s="80">
        <f t="shared" ref="F16:F35" si="0">D16+E16</f>
        <v>30006897</v>
      </c>
      <c r="G16" s="81"/>
      <c r="H16" s="64">
        <v>0</v>
      </c>
      <c r="I16" s="65"/>
      <c r="J16" s="64">
        <f t="shared" ref="J16:J31" si="1">H16+I16</f>
        <v>0</v>
      </c>
    </row>
    <row r="17" spans="1:10">
      <c r="A17" s="16" t="s">
        <v>73</v>
      </c>
      <c r="D17" s="61">
        <v>659590</v>
      </c>
      <c r="E17" s="82"/>
      <c r="F17" s="63">
        <f t="shared" si="0"/>
        <v>659590</v>
      </c>
      <c r="G17" s="79"/>
      <c r="H17" s="74">
        <v>0</v>
      </c>
      <c r="I17" s="83"/>
      <c r="J17" s="74">
        <f t="shared" si="1"/>
        <v>0</v>
      </c>
    </row>
    <row r="18" spans="1:10">
      <c r="A18" s="16" t="s">
        <v>74</v>
      </c>
      <c r="D18" s="61">
        <v>520242</v>
      </c>
      <c r="E18" s="82">
        <v>-1000</v>
      </c>
      <c r="F18" s="84">
        <f t="shared" si="0"/>
        <v>519242</v>
      </c>
      <c r="G18" s="79"/>
      <c r="H18" s="74">
        <v>0</v>
      </c>
      <c r="I18" s="83"/>
      <c r="J18" s="74">
        <f t="shared" si="1"/>
        <v>0</v>
      </c>
    </row>
    <row r="19" spans="1:10">
      <c r="A19" s="16" t="s">
        <v>75</v>
      </c>
      <c r="D19" s="61">
        <v>554163</v>
      </c>
      <c r="E19" s="82"/>
      <c r="F19" s="63">
        <f t="shared" si="0"/>
        <v>554163</v>
      </c>
      <c r="G19" s="79"/>
      <c r="H19" s="74">
        <v>0</v>
      </c>
      <c r="I19" s="83"/>
      <c r="J19" s="74">
        <f t="shared" si="1"/>
        <v>0</v>
      </c>
    </row>
    <row r="20" spans="1:10">
      <c r="A20" s="16" t="s">
        <v>76</v>
      </c>
      <c r="D20" s="61">
        <v>3123288</v>
      </c>
      <c r="E20" s="82"/>
      <c r="F20" s="63">
        <f t="shared" si="0"/>
        <v>3123288</v>
      </c>
      <c r="G20" s="79"/>
      <c r="H20" s="74">
        <v>0</v>
      </c>
      <c r="I20" s="83"/>
      <c r="J20" s="74">
        <f t="shared" si="1"/>
        <v>0</v>
      </c>
    </row>
    <row r="21" spans="1:10">
      <c r="A21" s="16" t="s">
        <v>77</v>
      </c>
      <c r="D21" s="61">
        <v>1681237</v>
      </c>
      <c r="E21" s="82"/>
      <c r="F21" s="63">
        <f t="shared" si="0"/>
        <v>1681237</v>
      </c>
      <c r="G21" s="79"/>
      <c r="H21" s="74">
        <v>0</v>
      </c>
      <c r="I21" s="83"/>
      <c r="J21" s="74">
        <f t="shared" si="1"/>
        <v>0</v>
      </c>
    </row>
    <row r="22" spans="1:10">
      <c r="A22" s="45" t="s">
        <v>78</v>
      </c>
      <c r="D22" s="61">
        <v>49000</v>
      </c>
      <c r="E22" s="82"/>
      <c r="F22" s="63">
        <f t="shared" si="0"/>
        <v>49000</v>
      </c>
      <c r="G22" s="79"/>
      <c r="H22" s="74">
        <v>0</v>
      </c>
      <c r="I22" s="83"/>
      <c r="J22" s="74">
        <f t="shared" si="1"/>
        <v>0</v>
      </c>
    </row>
    <row r="23" spans="1:10">
      <c r="A23" s="45" t="s">
        <v>79</v>
      </c>
      <c r="B23" s="45"/>
      <c r="D23" s="61">
        <v>473366</v>
      </c>
      <c r="E23" s="82"/>
      <c r="F23" s="63">
        <f t="shared" si="0"/>
        <v>473366</v>
      </c>
      <c r="G23" s="79"/>
      <c r="H23" s="74">
        <v>0</v>
      </c>
      <c r="I23" s="83"/>
      <c r="J23" s="74">
        <f t="shared" si="1"/>
        <v>0</v>
      </c>
    </row>
    <row r="24" spans="1:10">
      <c r="A24" s="45" t="s">
        <v>80</v>
      </c>
      <c r="B24" s="45"/>
      <c r="D24" s="61">
        <v>1548150</v>
      </c>
      <c r="E24" s="82"/>
      <c r="F24" s="63">
        <f t="shared" si="0"/>
        <v>1548150</v>
      </c>
      <c r="G24" s="79"/>
      <c r="H24" s="74">
        <v>0</v>
      </c>
      <c r="I24" s="83"/>
      <c r="J24" s="74">
        <f t="shared" si="1"/>
        <v>0</v>
      </c>
    </row>
    <row r="25" spans="1:10">
      <c r="A25" s="45" t="s">
        <v>81</v>
      </c>
      <c r="B25" s="45"/>
      <c r="D25" s="61">
        <v>74460</v>
      </c>
      <c r="E25" s="82"/>
      <c r="F25" s="63">
        <f t="shared" si="0"/>
        <v>74460</v>
      </c>
      <c r="G25" s="79"/>
      <c r="H25" s="74">
        <v>0</v>
      </c>
      <c r="I25" s="83"/>
      <c r="J25" s="74">
        <f t="shared" si="1"/>
        <v>0</v>
      </c>
    </row>
    <row r="26" spans="1:10">
      <c r="A26" s="45" t="s">
        <v>82</v>
      </c>
      <c r="B26" s="45"/>
      <c r="D26" s="61">
        <v>1348014</v>
      </c>
      <c r="E26" s="82"/>
      <c r="F26" s="63">
        <f t="shared" si="0"/>
        <v>1348014</v>
      </c>
      <c r="G26" s="79"/>
      <c r="H26" s="74">
        <v>0</v>
      </c>
      <c r="I26" s="83"/>
      <c r="J26" s="74">
        <f t="shared" si="1"/>
        <v>0</v>
      </c>
    </row>
    <row r="27" spans="1:10">
      <c r="A27" s="45" t="s">
        <v>83</v>
      </c>
      <c r="B27" s="45"/>
      <c r="D27" s="61">
        <v>1900189</v>
      </c>
      <c r="E27" s="82"/>
      <c r="F27" s="63">
        <f t="shared" si="0"/>
        <v>1900189</v>
      </c>
      <c r="G27" s="81"/>
      <c r="H27" s="85">
        <v>0</v>
      </c>
      <c r="I27" s="83"/>
      <c r="J27" s="74">
        <f t="shared" si="1"/>
        <v>0</v>
      </c>
    </row>
    <row r="28" spans="1:10">
      <c r="A28" s="45" t="s">
        <v>84</v>
      </c>
      <c r="B28" s="45"/>
      <c r="D28" s="61">
        <v>5082853</v>
      </c>
      <c r="E28" s="82"/>
      <c r="F28" s="63">
        <f t="shared" si="0"/>
        <v>5082853</v>
      </c>
      <c r="G28" s="81"/>
      <c r="H28" s="85">
        <v>0</v>
      </c>
      <c r="I28" s="83"/>
      <c r="J28" s="74">
        <f t="shared" si="1"/>
        <v>0</v>
      </c>
    </row>
    <row r="29" spans="1:10">
      <c r="A29" s="45" t="s">
        <v>85</v>
      </c>
      <c r="B29" s="45"/>
      <c r="D29" s="61">
        <v>573604</v>
      </c>
      <c r="E29" s="82">
        <v>-91000</v>
      </c>
      <c r="F29" s="63">
        <f t="shared" si="0"/>
        <v>482604</v>
      </c>
      <c r="G29" s="79"/>
      <c r="H29" s="74">
        <v>0</v>
      </c>
      <c r="I29" s="67"/>
      <c r="J29" s="74">
        <f t="shared" si="1"/>
        <v>0</v>
      </c>
    </row>
    <row r="30" spans="1:10">
      <c r="A30" s="45" t="s">
        <v>86</v>
      </c>
      <c r="B30" s="45"/>
      <c r="D30" s="61">
        <v>964125</v>
      </c>
      <c r="E30" s="82"/>
      <c r="F30" s="63">
        <f t="shared" si="0"/>
        <v>964125</v>
      </c>
      <c r="G30" s="45"/>
      <c r="H30" s="74">
        <v>0</v>
      </c>
      <c r="I30" s="67"/>
      <c r="J30" s="74">
        <f t="shared" si="1"/>
        <v>0</v>
      </c>
    </row>
    <row r="31" spans="1:10">
      <c r="A31" s="45" t="s">
        <v>87</v>
      </c>
      <c r="B31" s="45"/>
      <c r="D31" s="61">
        <v>36831</v>
      </c>
      <c r="E31" s="82"/>
      <c r="F31" s="63">
        <f t="shared" si="0"/>
        <v>36831</v>
      </c>
      <c r="G31" s="45"/>
      <c r="H31" s="74">
        <v>0</v>
      </c>
      <c r="I31" s="67"/>
      <c r="J31" s="74">
        <f t="shared" si="1"/>
        <v>0</v>
      </c>
    </row>
    <row r="32" spans="1:10">
      <c r="A32" s="45" t="s">
        <v>88</v>
      </c>
      <c r="B32" s="45"/>
      <c r="D32" s="61">
        <v>849606</v>
      </c>
      <c r="E32" s="82">
        <v>1000</v>
      </c>
      <c r="F32" s="63">
        <f t="shared" si="0"/>
        <v>850606</v>
      </c>
      <c r="G32" s="45"/>
      <c r="H32" s="64">
        <v>11330893</v>
      </c>
      <c r="I32" s="67"/>
      <c r="J32" s="74">
        <f>H32+I32</f>
        <v>11330893</v>
      </c>
    </row>
    <row r="33" spans="1:13">
      <c r="A33" s="45" t="s">
        <v>89</v>
      </c>
      <c r="B33" s="45"/>
      <c r="D33" s="61">
        <v>0</v>
      </c>
      <c r="E33" s="82"/>
      <c r="F33" s="63">
        <f t="shared" si="0"/>
        <v>0</v>
      </c>
      <c r="G33" s="45"/>
      <c r="H33" s="64">
        <v>0</v>
      </c>
      <c r="I33" s="67"/>
      <c r="J33" s="74">
        <f>H33+I33</f>
        <v>0</v>
      </c>
    </row>
    <row r="34" spans="1:13" ht="15">
      <c r="A34" s="45" t="s">
        <v>90</v>
      </c>
      <c r="B34" s="45"/>
      <c r="D34" s="61">
        <v>32000</v>
      </c>
      <c r="E34" s="82"/>
      <c r="F34" s="63">
        <f t="shared" si="0"/>
        <v>32000</v>
      </c>
      <c r="G34" s="45"/>
      <c r="H34" s="74">
        <v>0</v>
      </c>
      <c r="I34" s="67"/>
      <c r="J34" s="74">
        <f>H34+I34</f>
        <v>0</v>
      </c>
      <c r="M34" s="86"/>
    </row>
    <row r="35" spans="1:13" ht="15">
      <c r="A35" s="45" t="s">
        <v>91</v>
      </c>
      <c r="B35" s="45"/>
      <c r="D35" s="61">
        <v>245000</v>
      </c>
      <c r="E35" s="87"/>
      <c r="F35" s="63">
        <f t="shared" si="0"/>
        <v>245000</v>
      </c>
      <c r="G35" s="45"/>
      <c r="H35" s="74">
        <v>0</v>
      </c>
      <c r="I35" s="67"/>
      <c r="J35" s="74">
        <f>H35+I35</f>
        <v>0</v>
      </c>
      <c r="M35" s="86"/>
    </row>
    <row r="36" spans="1:13" ht="15">
      <c r="A36" s="16" t="s">
        <v>92</v>
      </c>
      <c r="D36" s="68">
        <f>SUM(D16:D35)</f>
        <v>49475278</v>
      </c>
      <c r="E36" s="88">
        <f>SUM(E16:E35)</f>
        <v>156337</v>
      </c>
      <c r="F36" s="68">
        <f>SUM(F16:F35)</f>
        <v>49631615</v>
      </c>
      <c r="G36" s="45"/>
      <c r="H36" s="70">
        <f>SUM(H15:H35)</f>
        <v>11330893</v>
      </c>
      <c r="I36" s="89">
        <f>SUM(I16:I35)</f>
        <v>0</v>
      </c>
      <c r="J36" s="70">
        <f>SUM(J15:J35)</f>
        <v>11330893</v>
      </c>
      <c r="M36" s="86"/>
    </row>
    <row r="37" spans="1:13" ht="15">
      <c r="D37" s="61"/>
      <c r="E37" s="73"/>
      <c r="F37" s="61"/>
      <c r="G37" s="45"/>
      <c r="H37" s="74"/>
      <c r="I37" s="75"/>
      <c r="J37" s="74"/>
      <c r="M37" s="86"/>
    </row>
    <row r="38" spans="1:13" ht="15">
      <c r="A38" s="16" t="s">
        <v>93</v>
      </c>
      <c r="D38" s="61"/>
      <c r="E38" s="73"/>
      <c r="F38" s="61">
        <f>+D38+E38</f>
        <v>0</v>
      </c>
      <c r="G38" s="45"/>
      <c r="H38" s="74"/>
      <c r="I38" s="75"/>
      <c r="J38" s="74">
        <f>+H38+I38</f>
        <v>0</v>
      </c>
      <c r="M38" s="86"/>
    </row>
    <row r="39" spans="1:13" ht="15">
      <c r="A39" s="16" t="s">
        <v>94</v>
      </c>
      <c r="D39" s="61"/>
      <c r="E39" s="73"/>
      <c r="F39" s="61"/>
      <c r="G39" s="45"/>
      <c r="H39" s="74"/>
      <c r="I39" s="75"/>
      <c r="J39" s="74">
        <f>+H39+I39</f>
        <v>0</v>
      </c>
      <c r="M39" s="86"/>
    </row>
    <row r="40" spans="1:13" ht="15">
      <c r="D40" s="61"/>
      <c r="E40" s="73"/>
      <c r="F40" s="61"/>
      <c r="G40" s="45"/>
      <c r="H40" s="74"/>
      <c r="I40" s="75"/>
      <c r="J40" s="74"/>
      <c r="M40" s="86"/>
    </row>
    <row r="41" spans="1:13">
      <c r="A41" s="90" t="s">
        <v>95</v>
      </c>
      <c r="D41" s="91">
        <f>18299265+3086026.04+341448.81</f>
        <v>21726739.849999998</v>
      </c>
      <c r="E41" s="92"/>
      <c r="F41" s="93">
        <f>D41</f>
        <v>21726739.849999998</v>
      </c>
      <c r="G41" s="94"/>
      <c r="H41" s="95">
        <f>3621616+89087</f>
        <v>3710703</v>
      </c>
      <c r="I41" s="96"/>
      <c r="J41" s="77">
        <f>H41</f>
        <v>3710703</v>
      </c>
      <c r="M41" s="97"/>
    </row>
    <row r="42" spans="1:13">
      <c r="D42" s="98"/>
      <c r="E42" s="99"/>
      <c r="F42" s="98"/>
      <c r="G42" s="54"/>
      <c r="H42" s="100"/>
      <c r="I42" s="101"/>
      <c r="J42" s="100"/>
    </row>
    <row r="43" spans="1:13">
      <c r="A43" s="90"/>
      <c r="B43" s="90"/>
      <c r="D43" s="98"/>
      <c r="E43" s="99"/>
      <c r="F43" s="98"/>
      <c r="G43" s="54"/>
      <c r="H43" s="100"/>
      <c r="I43" s="101"/>
      <c r="J43" s="100"/>
    </row>
    <row r="44" spans="1:13">
      <c r="A44" s="90" t="s">
        <v>96</v>
      </c>
      <c r="B44" s="90"/>
      <c r="D44" s="102">
        <f>D13-D36+D38+D41</f>
        <v>21726739.849999998</v>
      </c>
      <c r="E44" s="103">
        <f>F44-D44</f>
        <v>-147774</v>
      </c>
      <c r="F44" s="104">
        <f>F13-F36+F38-F39+F41</f>
        <v>21578965.849999998</v>
      </c>
      <c r="G44" s="54"/>
      <c r="H44" s="105">
        <f>H13-H32+H38+H39+H41</f>
        <v>3710703</v>
      </c>
      <c r="I44" s="105">
        <f t="shared" ref="I44" si="2">I13-I32+I38+I39+I41</f>
        <v>0</v>
      </c>
      <c r="J44" s="105">
        <f>J13-J32+J38+J39+J41</f>
        <v>3710703</v>
      </c>
    </row>
    <row r="45" spans="1:13" ht="15.75">
      <c r="A45" s="90"/>
      <c r="B45" s="90"/>
      <c r="D45" s="106"/>
      <c r="E45" s="107"/>
      <c r="F45" s="108"/>
      <c r="G45" s="54"/>
      <c r="H45" s="109"/>
      <c r="I45" s="110"/>
      <c r="J45" s="109"/>
    </row>
    <row r="46" spans="1:13" ht="15.75">
      <c r="A46" s="90"/>
      <c r="B46" s="90"/>
      <c r="D46" s="106"/>
      <c r="E46" s="107"/>
      <c r="F46" s="111"/>
      <c r="G46" s="54"/>
      <c r="H46" s="109"/>
      <c r="I46" s="110"/>
      <c r="J46" s="109"/>
    </row>
    <row r="47" spans="1:13" ht="15.75">
      <c r="D47" s="106"/>
      <c r="E47" s="112"/>
      <c r="F47" s="106"/>
      <c r="G47" s="54"/>
      <c r="H47" s="109"/>
      <c r="I47" s="46"/>
      <c r="J47" s="109"/>
    </row>
    <row r="48" spans="1:13" ht="15.75">
      <c r="D48" s="43"/>
      <c r="E48" s="43"/>
      <c r="F48" s="44" t="s">
        <v>52</v>
      </c>
      <c r="G48" s="43"/>
      <c r="H48" s="43"/>
      <c r="I48" s="45"/>
      <c r="J48" s="46" t="s">
        <v>97</v>
      </c>
    </row>
    <row r="49" spans="1:11">
      <c r="D49" s="47"/>
      <c r="E49" s="47"/>
      <c r="F49" s="48" t="str">
        <f>F2</f>
        <v>2014-2015 Fund Balance Comparison</v>
      </c>
      <c r="G49" s="47"/>
      <c r="H49" s="47"/>
      <c r="I49" s="45"/>
      <c r="J49" s="45"/>
    </row>
    <row r="50" spans="1:11">
      <c r="D50" s="45"/>
      <c r="E50" s="45"/>
      <c r="F50" s="46" t="str">
        <f>F3</f>
        <v>as of September 30, 2014</v>
      </c>
      <c r="G50" s="45"/>
      <c r="H50" s="45"/>
      <c r="I50" s="45"/>
      <c r="J50" s="45"/>
    </row>
    <row r="51" spans="1:11">
      <c r="D51" s="45"/>
      <c r="E51" s="45"/>
      <c r="F51" s="46"/>
      <c r="G51" s="45"/>
      <c r="H51" s="45"/>
      <c r="I51" s="45"/>
      <c r="J51" s="45"/>
    </row>
    <row r="52" spans="1:11">
      <c r="D52" s="45"/>
      <c r="E52" s="45"/>
      <c r="F52" s="45"/>
      <c r="G52" s="45"/>
      <c r="H52" s="113"/>
      <c r="I52" s="113"/>
      <c r="J52" s="113"/>
    </row>
    <row r="53" spans="1:11" ht="15.75">
      <c r="D53" s="45"/>
      <c r="E53" s="44" t="s">
        <v>98</v>
      </c>
      <c r="F53" s="45"/>
      <c r="G53" s="45"/>
      <c r="H53" s="45"/>
      <c r="I53" s="44" t="s">
        <v>99</v>
      </c>
      <c r="J53" s="45"/>
    </row>
    <row r="54" spans="1:11">
      <c r="D54" s="51"/>
      <c r="E54" s="52">
        <v>240</v>
      </c>
      <c r="F54" s="51"/>
      <c r="G54" s="45"/>
      <c r="H54" s="51"/>
      <c r="I54" s="52">
        <v>720</v>
      </c>
      <c r="J54" s="51"/>
    </row>
    <row r="55" spans="1:11">
      <c r="D55" s="54"/>
      <c r="E55" s="54" t="s">
        <v>59</v>
      </c>
      <c r="F55" s="46"/>
      <c r="G55" s="45"/>
      <c r="H55" s="54"/>
      <c r="I55" s="54" t="s">
        <v>59</v>
      </c>
      <c r="J55" s="46"/>
    </row>
    <row r="56" spans="1:11">
      <c r="A56" s="16" t="s">
        <v>60</v>
      </c>
      <c r="D56" s="54" t="s">
        <v>64</v>
      </c>
      <c r="E56" s="54" t="s">
        <v>62</v>
      </c>
      <c r="F56" s="46" t="s">
        <v>63</v>
      </c>
      <c r="G56" s="45"/>
      <c r="H56" s="54" t="s">
        <v>64</v>
      </c>
      <c r="I56" s="54" t="s">
        <v>62</v>
      </c>
      <c r="J56" s="46" t="s">
        <v>63</v>
      </c>
    </row>
    <row r="57" spans="1:11">
      <c r="A57" s="55" t="s">
        <v>65</v>
      </c>
      <c r="B57" s="55" t="s">
        <v>66</v>
      </c>
      <c r="D57" s="56" t="s">
        <v>67</v>
      </c>
      <c r="E57" s="57"/>
      <c r="F57" s="58" t="s">
        <v>67</v>
      </c>
      <c r="G57" s="45"/>
      <c r="H57" s="56" t="s">
        <v>67</v>
      </c>
      <c r="I57" s="57"/>
      <c r="J57" s="58" t="s">
        <v>67</v>
      </c>
    </row>
    <row r="58" spans="1:11" ht="15.75" customHeight="1">
      <c r="A58" s="59">
        <v>5700</v>
      </c>
      <c r="B58" s="60" t="s">
        <v>68</v>
      </c>
      <c r="D58" s="74">
        <v>1118025</v>
      </c>
      <c r="E58" s="83"/>
      <c r="F58" s="74">
        <f>D58+E58</f>
        <v>1118025</v>
      </c>
      <c r="G58" s="74"/>
      <c r="H58" s="74">
        <v>579032</v>
      </c>
      <c r="I58" s="83"/>
      <c r="J58" s="74">
        <f>H58+I58</f>
        <v>579032</v>
      </c>
      <c r="K58" s="114"/>
    </row>
    <row r="59" spans="1:11" ht="14.25" customHeight="1">
      <c r="A59" s="59">
        <v>5800</v>
      </c>
      <c r="B59" s="60" t="s">
        <v>69</v>
      </c>
      <c r="D59" s="74">
        <v>17000</v>
      </c>
      <c r="E59" s="83"/>
      <c r="F59" s="74">
        <f>D59+E59</f>
        <v>17000</v>
      </c>
      <c r="G59" s="74"/>
      <c r="H59" s="74">
        <v>0</v>
      </c>
      <c r="I59" s="83"/>
      <c r="J59" s="74">
        <f>H59+I59</f>
        <v>0</v>
      </c>
      <c r="K59" s="114"/>
    </row>
    <row r="60" spans="1:11">
      <c r="A60" s="59">
        <v>5900</v>
      </c>
      <c r="B60" s="60" t="s">
        <v>70</v>
      </c>
      <c r="D60" s="115">
        <v>1714759</v>
      </c>
      <c r="E60" s="116"/>
      <c r="F60" s="115">
        <f>D60+E60</f>
        <v>1714759</v>
      </c>
      <c r="G60" s="117"/>
      <c r="H60" s="115">
        <v>0</v>
      </c>
      <c r="I60" s="116"/>
      <c r="J60" s="115">
        <f>H60+I60</f>
        <v>0</v>
      </c>
      <c r="K60" s="114"/>
    </row>
    <row r="61" spans="1:11">
      <c r="D61" s="117">
        <f>SUM(D58:D60)</f>
        <v>2849784</v>
      </c>
      <c r="E61" s="118">
        <f>SUM(E58:E60)</f>
        <v>0</v>
      </c>
      <c r="F61" s="117">
        <f>SUM(F58:F60)</f>
        <v>2849784</v>
      </c>
      <c r="G61" s="117"/>
      <c r="H61" s="117">
        <f>SUM(H58:H60)</f>
        <v>579032</v>
      </c>
      <c r="I61" s="118">
        <f>SUM(I58:I60)</f>
        <v>0</v>
      </c>
      <c r="J61" s="117">
        <f>SUM(J58:J60)</f>
        <v>579032</v>
      </c>
      <c r="K61" s="114"/>
    </row>
    <row r="62" spans="1:11">
      <c r="D62" s="74"/>
      <c r="E62" s="75"/>
      <c r="F62" s="74"/>
      <c r="G62" s="74"/>
      <c r="H62" s="74"/>
      <c r="I62" s="75"/>
      <c r="J62" s="74"/>
      <c r="K62" s="114"/>
    </row>
    <row r="63" spans="1:11">
      <c r="D63" s="74"/>
      <c r="E63" s="75"/>
      <c r="F63" s="74"/>
      <c r="G63" s="74"/>
      <c r="H63" s="74"/>
      <c r="I63" s="75"/>
      <c r="J63" s="74"/>
      <c r="K63" s="114"/>
    </row>
    <row r="64" spans="1:11">
      <c r="A64" s="76" t="s">
        <v>71</v>
      </c>
      <c r="B64" s="55"/>
      <c r="D64" s="77"/>
      <c r="E64" s="78"/>
      <c r="F64" s="77"/>
      <c r="G64" s="74"/>
      <c r="H64" s="77"/>
      <c r="I64" s="78"/>
      <c r="J64" s="77"/>
      <c r="K64" s="114"/>
    </row>
    <row r="65" spans="1:11">
      <c r="A65" s="16" t="s">
        <v>72</v>
      </c>
      <c r="D65" s="74">
        <v>0</v>
      </c>
      <c r="E65" s="119"/>
      <c r="F65" s="74">
        <f t="shared" ref="F65:F84" si="3">D65+E65</f>
        <v>0</v>
      </c>
      <c r="G65" s="74"/>
      <c r="H65" s="74">
        <v>0</v>
      </c>
      <c r="I65" s="119"/>
      <c r="J65" s="74">
        <f t="shared" ref="J65:J84" si="4">H65+I65</f>
        <v>0</v>
      </c>
      <c r="K65" s="114"/>
    </row>
    <row r="66" spans="1:11">
      <c r="A66" s="16" t="s">
        <v>73</v>
      </c>
      <c r="D66" s="74">
        <v>0</v>
      </c>
      <c r="E66" s="119"/>
      <c r="F66" s="74">
        <f t="shared" si="3"/>
        <v>0</v>
      </c>
      <c r="G66" s="74"/>
      <c r="H66" s="74">
        <v>0</v>
      </c>
      <c r="I66" s="119"/>
      <c r="J66" s="74">
        <f t="shared" si="4"/>
        <v>0</v>
      </c>
      <c r="K66" s="114"/>
    </row>
    <row r="67" spans="1:11">
      <c r="A67" s="16" t="s">
        <v>74</v>
      </c>
      <c r="D67" s="74">
        <v>0</v>
      </c>
      <c r="E67" s="119"/>
      <c r="F67" s="74">
        <f t="shared" si="3"/>
        <v>0</v>
      </c>
      <c r="G67" s="74"/>
      <c r="H67" s="74">
        <v>0</v>
      </c>
      <c r="I67" s="119"/>
      <c r="J67" s="74">
        <f t="shared" si="4"/>
        <v>0</v>
      </c>
      <c r="K67" s="114"/>
    </row>
    <row r="68" spans="1:11">
      <c r="A68" s="16" t="s">
        <v>75</v>
      </c>
      <c r="D68" s="74">
        <v>0</v>
      </c>
      <c r="E68" s="119"/>
      <c r="F68" s="74">
        <f t="shared" si="3"/>
        <v>0</v>
      </c>
      <c r="G68" s="74"/>
      <c r="H68" s="74">
        <v>0</v>
      </c>
      <c r="I68" s="119"/>
      <c r="J68" s="74">
        <f t="shared" si="4"/>
        <v>0</v>
      </c>
      <c r="K68" s="114"/>
    </row>
    <row r="69" spans="1:11">
      <c r="A69" s="16" t="s">
        <v>76</v>
      </c>
      <c r="D69" s="74">
        <v>0</v>
      </c>
      <c r="E69" s="119"/>
      <c r="F69" s="74">
        <f t="shared" si="3"/>
        <v>0</v>
      </c>
      <c r="G69" s="74"/>
      <c r="H69" s="74">
        <v>0</v>
      </c>
      <c r="I69" s="119"/>
      <c r="J69" s="74">
        <f t="shared" si="4"/>
        <v>0</v>
      </c>
      <c r="K69" s="114"/>
    </row>
    <row r="70" spans="1:11">
      <c r="A70" s="16" t="s">
        <v>77</v>
      </c>
      <c r="D70" s="74">
        <v>0</v>
      </c>
      <c r="E70" s="119"/>
      <c r="F70" s="74">
        <f t="shared" si="3"/>
        <v>0</v>
      </c>
      <c r="G70" s="74"/>
      <c r="H70" s="74">
        <v>0</v>
      </c>
      <c r="I70" s="119"/>
      <c r="J70" s="74">
        <f t="shared" si="4"/>
        <v>0</v>
      </c>
      <c r="K70" s="114"/>
    </row>
    <row r="71" spans="1:11">
      <c r="A71" s="16" t="s">
        <v>78</v>
      </c>
      <c r="D71" s="74">
        <v>0</v>
      </c>
      <c r="E71" s="119"/>
      <c r="F71" s="74">
        <f t="shared" si="3"/>
        <v>0</v>
      </c>
      <c r="G71" s="74"/>
      <c r="H71" s="74">
        <v>0</v>
      </c>
      <c r="I71" s="119"/>
      <c r="J71" s="74">
        <f t="shared" si="4"/>
        <v>0</v>
      </c>
      <c r="K71" s="114"/>
    </row>
    <row r="72" spans="1:11">
      <c r="A72" s="16" t="s">
        <v>79</v>
      </c>
      <c r="D72" s="74">
        <v>0</v>
      </c>
      <c r="E72" s="119"/>
      <c r="F72" s="74">
        <f t="shared" si="3"/>
        <v>0</v>
      </c>
      <c r="G72" s="74"/>
      <c r="H72" s="74">
        <v>0</v>
      </c>
      <c r="I72" s="119"/>
      <c r="J72" s="74">
        <f t="shared" si="4"/>
        <v>0</v>
      </c>
      <c r="K72" s="114"/>
    </row>
    <row r="73" spans="1:11">
      <c r="A73" s="16" t="s">
        <v>80</v>
      </c>
      <c r="D73" s="74">
        <v>0</v>
      </c>
      <c r="E73" s="119"/>
      <c r="F73" s="74">
        <f t="shared" si="3"/>
        <v>0</v>
      </c>
      <c r="G73" s="74"/>
      <c r="H73" s="74">
        <v>0</v>
      </c>
      <c r="I73" s="119"/>
      <c r="J73" s="74">
        <f t="shared" si="4"/>
        <v>0</v>
      </c>
      <c r="K73" s="114"/>
    </row>
    <row r="74" spans="1:11">
      <c r="A74" s="16" t="s">
        <v>81</v>
      </c>
      <c r="D74" s="74">
        <v>2849784</v>
      </c>
      <c r="E74" s="120"/>
      <c r="F74" s="74">
        <f t="shared" si="3"/>
        <v>2849784</v>
      </c>
      <c r="G74" s="74"/>
      <c r="H74" s="74">
        <v>0</v>
      </c>
      <c r="I74" s="120"/>
      <c r="J74" s="74">
        <f t="shared" si="4"/>
        <v>0</v>
      </c>
      <c r="K74" s="114"/>
    </row>
    <row r="75" spans="1:11">
      <c r="A75" s="16" t="s">
        <v>82</v>
      </c>
      <c r="D75" s="74">
        <v>0</v>
      </c>
      <c r="E75" s="119"/>
      <c r="F75" s="74">
        <f t="shared" si="3"/>
        <v>0</v>
      </c>
      <c r="G75" s="74"/>
      <c r="H75" s="74">
        <v>0</v>
      </c>
      <c r="I75" s="119"/>
      <c r="J75" s="74">
        <f t="shared" si="4"/>
        <v>0</v>
      </c>
      <c r="K75" s="114"/>
    </row>
    <row r="76" spans="1:11">
      <c r="A76" s="16" t="s">
        <v>83</v>
      </c>
      <c r="D76" s="74">
        <v>0</v>
      </c>
      <c r="E76" s="119"/>
      <c r="F76" s="74">
        <f t="shared" si="3"/>
        <v>0</v>
      </c>
      <c r="G76" s="74"/>
      <c r="H76" s="74">
        <v>0</v>
      </c>
      <c r="I76" s="119"/>
      <c r="J76" s="74">
        <f t="shared" si="4"/>
        <v>0</v>
      </c>
      <c r="K76" s="114"/>
    </row>
    <row r="77" spans="1:11">
      <c r="A77" s="16" t="s">
        <v>84</v>
      </c>
      <c r="D77" s="74">
        <v>0</v>
      </c>
      <c r="E77" s="120"/>
      <c r="F77" s="74">
        <f t="shared" si="3"/>
        <v>0</v>
      </c>
      <c r="G77" s="74"/>
      <c r="H77" s="74">
        <v>0</v>
      </c>
      <c r="I77" s="120"/>
      <c r="J77" s="74">
        <f t="shared" si="4"/>
        <v>0</v>
      </c>
      <c r="K77" s="114"/>
    </row>
    <row r="78" spans="1:11">
      <c r="A78" s="16" t="s">
        <v>85</v>
      </c>
      <c r="D78" s="74">
        <v>0</v>
      </c>
      <c r="E78" s="119"/>
      <c r="F78" s="74">
        <f t="shared" si="3"/>
        <v>0</v>
      </c>
      <c r="G78" s="74"/>
      <c r="H78" s="74">
        <v>0</v>
      </c>
      <c r="I78" s="119"/>
      <c r="J78" s="74">
        <f t="shared" si="4"/>
        <v>0</v>
      </c>
      <c r="K78" s="114"/>
    </row>
    <row r="79" spans="1:11">
      <c r="A79" s="16" t="s">
        <v>86</v>
      </c>
      <c r="D79" s="74">
        <v>0</v>
      </c>
      <c r="E79" s="119"/>
      <c r="F79" s="74">
        <f t="shared" si="3"/>
        <v>0</v>
      </c>
      <c r="G79" s="74"/>
      <c r="H79" s="74">
        <v>0</v>
      </c>
      <c r="I79" s="119"/>
      <c r="J79" s="74">
        <f t="shared" si="4"/>
        <v>0</v>
      </c>
      <c r="K79" s="114"/>
    </row>
    <row r="80" spans="1:11">
      <c r="A80" s="16" t="s">
        <v>87</v>
      </c>
      <c r="D80" s="74">
        <v>0</v>
      </c>
      <c r="E80" s="119"/>
      <c r="F80" s="74">
        <f t="shared" si="3"/>
        <v>0</v>
      </c>
      <c r="G80" s="74"/>
      <c r="H80" s="74">
        <v>579032</v>
      </c>
      <c r="I80" s="119"/>
      <c r="J80" s="74">
        <f t="shared" si="4"/>
        <v>579032</v>
      </c>
      <c r="K80" s="114"/>
    </row>
    <row r="81" spans="1:11">
      <c r="A81" s="16" t="s">
        <v>88</v>
      </c>
      <c r="D81" s="74">
        <v>0</v>
      </c>
      <c r="E81" s="119"/>
      <c r="F81" s="74">
        <f t="shared" si="3"/>
        <v>0</v>
      </c>
      <c r="G81" s="74"/>
      <c r="H81" s="74">
        <v>0</v>
      </c>
      <c r="I81" s="119"/>
      <c r="J81" s="74">
        <f t="shared" si="4"/>
        <v>0</v>
      </c>
      <c r="K81" s="114"/>
    </row>
    <row r="82" spans="1:11">
      <c r="A82" s="45" t="s">
        <v>89</v>
      </c>
      <c r="D82" s="74">
        <v>0</v>
      </c>
      <c r="E82" s="119"/>
      <c r="F82" s="74">
        <f t="shared" si="3"/>
        <v>0</v>
      </c>
      <c r="G82" s="74"/>
      <c r="H82" s="74">
        <v>0</v>
      </c>
      <c r="I82" s="119"/>
      <c r="J82" s="74">
        <f t="shared" si="4"/>
        <v>0</v>
      </c>
      <c r="K82" s="114"/>
    </row>
    <row r="83" spans="1:11">
      <c r="A83" s="45" t="s">
        <v>90</v>
      </c>
      <c r="B83" s="45"/>
      <c r="D83" s="74">
        <v>0</v>
      </c>
      <c r="E83" s="119"/>
      <c r="F83" s="64">
        <f t="shared" si="3"/>
        <v>0</v>
      </c>
      <c r="G83" s="74"/>
      <c r="H83" s="74">
        <v>0</v>
      </c>
      <c r="I83" s="119"/>
      <c r="J83" s="64">
        <f t="shared" si="4"/>
        <v>0</v>
      </c>
      <c r="K83" s="114"/>
    </row>
    <row r="84" spans="1:11">
      <c r="A84" s="45" t="s">
        <v>91</v>
      </c>
      <c r="B84" s="45"/>
      <c r="D84" s="74">
        <v>0</v>
      </c>
      <c r="E84" s="121"/>
      <c r="F84" s="64">
        <f t="shared" si="3"/>
        <v>0</v>
      </c>
      <c r="G84" s="74"/>
      <c r="H84" s="74">
        <v>0</v>
      </c>
      <c r="I84" s="121"/>
      <c r="J84" s="64">
        <f t="shared" si="4"/>
        <v>0</v>
      </c>
      <c r="K84" s="114"/>
    </row>
    <row r="85" spans="1:11">
      <c r="A85" s="16" t="s">
        <v>92</v>
      </c>
      <c r="D85" s="70">
        <f>SUM(D64:D84)</f>
        <v>2849784</v>
      </c>
      <c r="E85" s="122">
        <f>F85-D85</f>
        <v>0</v>
      </c>
      <c r="F85" s="70">
        <f>SUM(F65:F84)</f>
        <v>2849784</v>
      </c>
      <c r="G85" s="123"/>
      <c r="H85" s="70">
        <f>SUM(H64:H84)</f>
        <v>579032</v>
      </c>
      <c r="I85" s="122">
        <f>J85-H85</f>
        <v>0</v>
      </c>
      <c r="J85" s="70">
        <f>SUM(J65:J84)</f>
        <v>579032</v>
      </c>
      <c r="K85" s="114"/>
    </row>
    <row r="86" spans="1:11">
      <c r="D86" s="74"/>
      <c r="E86" s="75"/>
      <c r="F86" s="74"/>
      <c r="G86" s="74"/>
      <c r="H86" s="74"/>
      <c r="I86" s="75"/>
      <c r="J86" s="74"/>
      <c r="K86" s="114"/>
    </row>
    <row r="87" spans="1:11">
      <c r="A87" s="90" t="str">
        <f>+A41</f>
        <v>EST FUND BALANCE 08/31/14</v>
      </c>
      <c r="D87" s="124">
        <f>1189951-36790</f>
        <v>1153161</v>
      </c>
      <c r="E87" s="125"/>
      <c r="F87" s="126">
        <f>D87</f>
        <v>1153161</v>
      </c>
      <c r="G87" s="74"/>
      <c r="H87" s="127">
        <f>138687-117742</f>
        <v>20945</v>
      </c>
      <c r="I87" s="125"/>
      <c r="J87" s="126">
        <f>H87</f>
        <v>20945</v>
      </c>
      <c r="K87" s="114"/>
    </row>
    <row r="88" spans="1:11">
      <c r="D88" s="100"/>
      <c r="E88" s="101"/>
      <c r="F88" s="100"/>
      <c r="G88" s="100"/>
      <c r="H88" s="100"/>
      <c r="I88" s="101"/>
      <c r="J88" s="100"/>
      <c r="K88" s="114"/>
    </row>
    <row r="89" spans="1:11">
      <c r="A89" s="90"/>
      <c r="D89" s="100"/>
      <c r="E89" s="101"/>
      <c r="F89" s="100"/>
      <c r="G89" s="100"/>
      <c r="H89" s="100"/>
      <c r="I89" s="101"/>
      <c r="J89" s="100"/>
      <c r="K89" s="114"/>
    </row>
    <row r="90" spans="1:11">
      <c r="A90" s="90" t="str">
        <f>A44</f>
        <v>EST FUND BALANCE 09/30/14</v>
      </c>
      <c r="D90" s="105">
        <f>D61-D85+D87</f>
        <v>1153161</v>
      </c>
      <c r="E90" s="122">
        <f>F90-D90</f>
        <v>0</v>
      </c>
      <c r="F90" s="105">
        <f>F87+F61-F85</f>
        <v>1153161</v>
      </c>
      <c r="G90" s="128"/>
      <c r="H90" s="105">
        <f>H61-H85+H87</f>
        <v>20945</v>
      </c>
      <c r="I90" s="122">
        <f>J90-H90</f>
        <v>0</v>
      </c>
      <c r="J90" s="105">
        <f>J87+J61-J85</f>
        <v>20945</v>
      </c>
      <c r="K90" s="114"/>
    </row>
    <row r="91" spans="1:11">
      <c r="D91" s="114"/>
      <c r="E91" s="114"/>
      <c r="F91" s="114"/>
      <c r="G91" s="114"/>
      <c r="H91" s="66"/>
      <c r="I91" s="66"/>
      <c r="J91" s="66"/>
      <c r="K91" s="114"/>
    </row>
    <row r="92" spans="1:11">
      <c r="A92" s="90"/>
      <c r="D92" s="114"/>
      <c r="E92" s="114"/>
      <c r="F92" s="114"/>
      <c r="G92" s="114"/>
      <c r="H92" s="114"/>
      <c r="I92" s="114"/>
      <c r="J92" s="114"/>
      <c r="K92" s="114"/>
    </row>
    <row r="93" spans="1:11">
      <c r="A93" s="129"/>
    </row>
  </sheetData>
  <pageMargins left="0.5" right="0.5" top="1" bottom="0.5" header="0.5" footer="0.5"/>
  <pageSetup scale="80" fitToHeight="12" orientation="landscape" r:id="rId1"/>
  <headerFooter alignWithMargins="0"/>
  <rowBreaks count="1" manualBreakCount="1">
    <brk id="46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workbookViewId="0">
      <selection activeCell="G36" sqref="G36"/>
    </sheetView>
  </sheetViews>
  <sheetFormatPr defaultColWidth="9.140625" defaultRowHeight="12.75"/>
  <cols>
    <col min="1" max="1" width="9.42578125" style="130" customWidth="1"/>
    <col min="2" max="2" width="9.140625" style="130"/>
    <col min="3" max="3" width="21.7109375" style="130" customWidth="1"/>
    <col min="4" max="7" width="15.7109375" style="130" customWidth="1"/>
    <col min="8" max="8" width="11.7109375" style="130" customWidth="1"/>
    <col min="9" max="9" width="10.28515625" style="130" customWidth="1"/>
    <col min="10" max="16384" width="9.140625" style="130"/>
  </cols>
  <sheetData>
    <row r="1" spans="1:9">
      <c r="A1" s="601" t="s">
        <v>52</v>
      </c>
      <c r="B1" s="601"/>
      <c r="C1" s="601"/>
      <c r="D1" s="601"/>
      <c r="E1" s="601"/>
      <c r="F1" s="601"/>
      <c r="G1" s="601"/>
      <c r="H1" s="601"/>
      <c r="I1" s="601"/>
    </row>
    <row r="2" spans="1:9">
      <c r="A2" s="601" t="s">
        <v>100</v>
      </c>
      <c r="B2" s="601"/>
      <c r="C2" s="601"/>
      <c r="D2" s="601"/>
      <c r="E2" s="601"/>
      <c r="F2" s="601"/>
      <c r="G2" s="601"/>
      <c r="H2" s="601"/>
      <c r="I2" s="601"/>
    </row>
    <row r="3" spans="1:9">
      <c r="A3" s="601" t="s">
        <v>101</v>
      </c>
      <c r="B3" s="601"/>
      <c r="C3" s="601"/>
      <c r="D3" s="601"/>
      <c r="E3" s="601"/>
      <c r="F3" s="601"/>
      <c r="G3" s="601"/>
      <c r="H3" s="601"/>
      <c r="I3" s="601"/>
    </row>
    <row r="4" spans="1:9" ht="15">
      <c r="A4" s="131"/>
    </row>
    <row r="5" spans="1:9">
      <c r="A5" s="601" t="s">
        <v>56</v>
      </c>
      <c r="B5" s="601"/>
      <c r="C5" s="601"/>
      <c r="D5" s="601"/>
      <c r="E5" s="601"/>
      <c r="F5" s="601"/>
      <c r="G5" s="601"/>
      <c r="H5" s="601"/>
      <c r="I5" s="601"/>
    </row>
    <row r="6" spans="1:9" ht="13.5" thickBot="1">
      <c r="A6" s="601" t="s">
        <v>102</v>
      </c>
      <c r="B6" s="601"/>
      <c r="C6" s="601"/>
      <c r="D6" s="601"/>
      <c r="E6" s="601"/>
      <c r="F6" s="601"/>
      <c r="G6" s="601"/>
      <c r="H6" s="601"/>
      <c r="I6" s="601"/>
    </row>
    <row r="7" spans="1:9">
      <c r="D7" s="132" t="s">
        <v>103</v>
      </c>
      <c r="E7" s="133" t="s">
        <v>104</v>
      </c>
      <c r="F7" s="133" t="s">
        <v>105</v>
      </c>
      <c r="G7" s="132" t="s">
        <v>106</v>
      </c>
      <c r="H7" s="134" t="s">
        <v>107</v>
      </c>
      <c r="I7" s="133" t="s">
        <v>108</v>
      </c>
    </row>
    <row r="8" spans="1:9">
      <c r="A8" s="135" t="s">
        <v>60</v>
      </c>
      <c r="D8" s="136" t="s">
        <v>109</v>
      </c>
      <c r="E8" s="137" t="s">
        <v>110</v>
      </c>
      <c r="F8" s="137" t="s">
        <v>111</v>
      </c>
      <c r="G8" s="136" t="s">
        <v>112</v>
      </c>
      <c r="H8" s="138" t="s">
        <v>113</v>
      </c>
      <c r="I8" s="137" t="s">
        <v>114</v>
      </c>
    </row>
    <row r="9" spans="1:9" ht="13.5" thickBot="1">
      <c r="A9" s="139" t="s">
        <v>65</v>
      </c>
      <c r="B9" s="135" t="s">
        <v>66</v>
      </c>
      <c r="D9" s="140" t="s">
        <v>115</v>
      </c>
      <c r="E9" s="141" t="s">
        <v>116</v>
      </c>
      <c r="F9" s="141" t="s">
        <v>117</v>
      </c>
      <c r="G9" s="140" t="s">
        <v>118</v>
      </c>
      <c r="H9" s="142" t="s">
        <v>119</v>
      </c>
      <c r="I9" s="141" t="s">
        <v>120</v>
      </c>
    </row>
    <row r="10" spans="1:9">
      <c r="A10" s="137">
        <v>5700</v>
      </c>
      <c r="B10" s="130" t="s">
        <v>68</v>
      </c>
      <c r="D10" s="143">
        <v>23134773</v>
      </c>
      <c r="E10" s="144">
        <v>100754.57</v>
      </c>
      <c r="F10" s="144">
        <v>100754.57</v>
      </c>
      <c r="G10" s="144">
        <f>F10-D10</f>
        <v>-23034018.43</v>
      </c>
      <c r="H10" s="145">
        <f>F10/D10</f>
        <v>4.3551138366475436E-3</v>
      </c>
      <c r="I10" s="146">
        <f>1/12</f>
        <v>8.3333333333333329E-2</v>
      </c>
    </row>
    <row r="11" spans="1:9">
      <c r="A11" s="137">
        <v>5800</v>
      </c>
      <c r="B11" s="130" t="s">
        <v>69</v>
      </c>
      <c r="D11" s="143">
        <v>26074068</v>
      </c>
      <c r="E11" s="144">
        <v>7284825.9400000004</v>
      </c>
      <c r="F11" s="144">
        <v>7284825.9400000004</v>
      </c>
      <c r="G11" s="144">
        <f>F11-D11</f>
        <v>-18789242.059999999</v>
      </c>
      <c r="H11" s="145">
        <f>F11/D11</f>
        <v>0.27938969630669064</v>
      </c>
      <c r="I11" s="146">
        <f>I10</f>
        <v>8.3333333333333329E-2</v>
      </c>
    </row>
    <row r="12" spans="1:9">
      <c r="A12" s="137">
        <v>5900</v>
      </c>
      <c r="B12" s="130" t="s">
        <v>70</v>
      </c>
      <c r="D12" s="147">
        <v>275000</v>
      </c>
      <c r="E12" s="148">
        <v>133706.23999999999</v>
      </c>
      <c r="F12" s="148">
        <v>133706.23999999999</v>
      </c>
      <c r="G12" s="148">
        <f>F12-D12</f>
        <v>-141293.76000000001</v>
      </c>
      <c r="H12" s="149">
        <f>F12/D12</f>
        <v>0.48620450909090906</v>
      </c>
      <c r="I12" s="150">
        <f>I10</f>
        <v>8.3333333333333329E-2</v>
      </c>
    </row>
    <row r="13" spans="1:9">
      <c r="A13" s="135" t="s">
        <v>121</v>
      </c>
      <c r="D13" s="151">
        <f>SUM(D10:D12)</f>
        <v>49483841</v>
      </c>
      <c r="E13" s="152">
        <f>SUM(E10:E12)</f>
        <v>7519286.7500000009</v>
      </c>
      <c r="F13" s="152">
        <f>SUM(F10:F12)</f>
        <v>7519286.7500000009</v>
      </c>
      <c r="G13" s="152">
        <f>F13-D13</f>
        <v>-41964554.25</v>
      </c>
      <c r="H13" s="153">
        <f>F13/D13</f>
        <v>0.15195438749388918</v>
      </c>
      <c r="I13" s="154">
        <f>I10</f>
        <v>8.3333333333333329E-2</v>
      </c>
    </row>
    <row r="14" spans="1:9">
      <c r="D14" s="155"/>
      <c r="E14" s="156"/>
      <c r="F14" s="156"/>
      <c r="G14" s="156"/>
      <c r="H14" s="157"/>
      <c r="I14" s="158"/>
    </row>
    <row r="15" spans="1:9">
      <c r="B15" s="135" t="s">
        <v>116</v>
      </c>
      <c r="D15" s="155"/>
      <c r="E15" s="156"/>
      <c r="F15" s="156"/>
      <c r="G15" s="156"/>
      <c r="H15" s="157"/>
      <c r="I15" s="158"/>
    </row>
    <row r="16" spans="1:9">
      <c r="A16" s="159" t="s">
        <v>122</v>
      </c>
      <c r="B16" s="130" t="s">
        <v>123</v>
      </c>
      <c r="D16" s="143">
        <v>30006897</v>
      </c>
      <c r="E16" s="144">
        <v>3201446.46</v>
      </c>
      <c r="F16" s="144">
        <f>124945.72+3201446.46</f>
        <v>3326392.18</v>
      </c>
      <c r="G16" s="144">
        <f>D16-F16</f>
        <v>26680504.82</v>
      </c>
      <c r="H16" s="160">
        <f t="shared" ref="H16:H32" si="0">F16/D16</f>
        <v>0.11085425394035245</v>
      </c>
      <c r="I16" s="158">
        <f>1/12</f>
        <v>8.3333333333333329E-2</v>
      </c>
    </row>
    <row r="17" spans="1:9">
      <c r="A17" s="159" t="s">
        <v>124</v>
      </c>
      <c r="B17" s="130" t="s">
        <v>125</v>
      </c>
      <c r="D17" s="143">
        <v>659590</v>
      </c>
      <c r="E17" s="144">
        <v>59032.04</v>
      </c>
      <c r="F17" s="144">
        <f>20794+59032.04</f>
        <v>79826.040000000008</v>
      </c>
      <c r="G17" s="144">
        <f t="shared" ref="G17:G30" si="1">D17-F17</f>
        <v>579763.96</v>
      </c>
      <c r="H17" s="145">
        <f t="shared" si="0"/>
        <v>0.12102372686062556</v>
      </c>
      <c r="I17" s="158">
        <f>$I$16</f>
        <v>8.3333333333333329E-2</v>
      </c>
    </row>
    <row r="18" spans="1:9">
      <c r="A18" s="159" t="s">
        <v>126</v>
      </c>
      <c r="B18" s="161" t="s">
        <v>127</v>
      </c>
      <c r="D18" s="143">
        <v>519242</v>
      </c>
      <c r="E18" s="144">
        <v>36937.11</v>
      </c>
      <c r="F18" s="144">
        <f>9324.46+36937.11</f>
        <v>46261.57</v>
      </c>
      <c r="G18" s="144">
        <f t="shared" si="1"/>
        <v>472980.43</v>
      </c>
      <c r="H18" s="160">
        <f t="shared" si="0"/>
        <v>8.9094429957514987E-2</v>
      </c>
      <c r="I18" s="158">
        <f t="shared" ref="I18:I35" si="2">$I$16</f>
        <v>8.3333333333333329E-2</v>
      </c>
    </row>
    <row r="19" spans="1:9">
      <c r="A19" s="159" t="s">
        <v>128</v>
      </c>
      <c r="B19" s="161" t="s">
        <v>129</v>
      </c>
      <c r="D19" s="143">
        <v>554163</v>
      </c>
      <c r="E19" s="144">
        <v>40270.080000000002</v>
      </c>
      <c r="F19" s="144">
        <f>6303.34+40270.08</f>
        <v>46573.42</v>
      </c>
      <c r="G19" s="144">
        <f t="shared" si="1"/>
        <v>507589.58</v>
      </c>
      <c r="H19" s="145">
        <f t="shared" si="0"/>
        <v>8.4042817726914285E-2</v>
      </c>
      <c r="I19" s="158">
        <f t="shared" si="2"/>
        <v>8.3333333333333329E-2</v>
      </c>
    </row>
    <row r="20" spans="1:9">
      <c r="A20" s="159" t="s">
        <v>130</v>
      </c>
      <c r="B20" s="161" t="s">
        <v>131</v>
      </c>
      <c r="D20" s="143">
        <v>3123288</v>
      </c>
      <c r="E20" s="144">
        <v>272183.59999999998</v>
      </c>
      <c r="F20" s="144">
        <f>11361.32+272183.6</f>
        <v>283544.92</v>
      </c>
      <c r="G20" s="144">
        <f t="shared" si="1"/>
        <v>2839743.08</v>
      </c>
      <c r="H20" s="145">
        <f t="shared" si="0"/>
        <v>9.0784109566584947E-2</v>
      </c>
      <c r="I20" s="158">
        <f t="shared" si="2"/>
        <v>8.3333333333333329E-2</v>
      </c>
    </row>
    <row r="21" spans="1:9">
      <c r="A21" s="159" t="s">
        <v>132</v>
      </c>
      <c r="B21" s="161" t="s">
        <v>133</v>
      </c>
      <c r="D21" s="143">
        <v>1681237</v>
      </c>
      <c r="E21" s="144">
        <v>126302.61</v>
      </c>
      <c r="F21" s="144">
        <f>2545.72+126302.61</f>
        <v>128848.33</v>
      </c>
      <c r="G21" s="144">
        <f t="shared" si="1"/>
        <v>1552388.67</v>
      </c>
      <c r="H21" s="145">
        <f t="shared" si="0"/>
        <v>7.6639004494904642E-2</v>
      </c>
      <c r="I21" s="158">
        <f t="shared" si="2"/>
        <v>8.3333333333333329E-2</v>
      </c>
    </row>
    <row r="22" spans="1:9">
      <c r="A22" s="159" t="s">
        <v>134</v>
      </c>
      <c r="B22" s="161" t="s">
        <v>135</v>
      </c>
      <c r="D22" s="143">
        <v>49000</v>
      </c>
      <c r="E22" s="144">
        <v>12000</v>
      </c>
      <c r="F22" s="144">
        <f>150+12000</f>
        <v>12150</v>
      </c>
      <c r="G22" s="144">
        <f t="shared" si="1"/>
        <v>36850</v>
      </c>
      <c r="H22" s="145">
        <f t="shared" si="0"/>
        <v>0.24795918367346939</v>
      </c>
      <c r="I22" s="158">
        <f t="shared" si="2"/>
        <v>8.3333333333333329E-2</v>
      </c>
    </row>
    <row r="23" spans="1:9">
      <c r="A23" s="159" t="s">
        <v>136</v>
      </c>
      <c r="B23" s="130" t="s">
        <v>137</v>
      </c>
      <c r="D23" s="143">
        <v>473366</v>
      </c>
      <c r="E23" s="144">
        <v>50469.2</v>
      </c>
      <c r="F23" s="144">
        <f>3130.99+50469.2</f>
        <v>53600.189999999995</v>
      </c>
      <c r="G23" s="144">
        <f t="shared" si="1"/>
        <v>419765.81</v>
      </c>
      <c r="H23" s="145">
        <f t="shared" si="0"/>
        <v>0.11323202342373553</v>
      </c>
      <c r="I23" s="158">
        <f t="shared" si="2"/>
        <v>8.3333333333333329E-2</v>
      </c>
    </row>
    <row r="24" spans="1:9">
      <c r="A24" s="159" t="s">
        <v>138</v>
      </c>
      <c r="B24" s="130" t="s">
        <v>139</v>
      </c>
      <c r="D24" s="143">
        <v>1548150</v>
      </c>
      <c r="E24" s="144">
        <v>4148.16</v>
      </c>
      <c r="F24" s="144">
        <f>285+4148.16</f>
        <v>4433.16</v>
      </c>
      <c r="G24" s="144">
        <f t="shared" si="1"/>
        <v>1543716.84</v>
      </c>
      <c r="H24" s="145">
        <f t="shared" si="0"/>
        <v>2.8635209766495495E-3</v>
      </c>
      <c r="I24" s="158">
        <f t="shared" si="2"/>
        <v>8.3333333333333329E-2</v>
      </c>
    </row>
    <row r="25" spans="1:9">
      <c r="A25" s="159" t="s">
        <v>140</v>
      </c>
      <c r="B25" s="130" t="s">
        <v>141</v>
      </c>
      <c r="D25" s="143">
        <v>74460</v>
      </c>
      <c r="E25" s="144">
        <v>4449.8599999999997</v>
      </c>
      <c r="F25" s="144">
        <v>4449.8599999999997</v>
      </c>
      <c r="G25" s="144">
        <f t="shared" si="1"/>
        <v>70010.14</v>
      </c>
      <c r="H25" s="145">
        <f t="shared" si="0"/>
        <v>5.9761751275852801E-2</v>
      </c>
      <c r="I25" s="158">
        <f t="shared" si="2"/>
        <v>8.3333333333333329E-2</v>
      </c>
    </row>
    <row r="26" spans="1:9">
      <c r="A26" s="159" t="s">
        <v>142</v>
      </c>
      <c r="B26" s="130" t="s">
        <v>143</v>
      </c>
      <c r="D26" s="143">
        <v>1348014</v>
      </c>
      <c r="E26" s="144">
        <v>117296.84</v>
      </c>
      <c r="F26" s="144">
        <f>27779.49+117296.84</f>
        <v>145076.32999999999</v>
      </c>
      <c r="G26" s="144">
        <f t="shared" si="1"/>
        <v>1202937.67</v>
      </c>
      <c r="H26" s="145">
        <f t="shared" si="0"/>
        <v>0.10762227246898028</v>
      </c>
      <c r="I26" s="158">
        <f t="shared" si="2"/>
        <v>8.3333333333333329E-2</v>
      </c>
    </row>
    <row r="27" spans="1:9">
      <c r="A27" s="159" t="s">
        <v>144</v>
      </c>
      <c r="B27" s="130" t="s">
        <v>145</v>
      </c>
      <c r="D27" s="143">
        <v>1900189</v>
      </c>
      <c r="E27" s="144">
        <v>152662.19</v>
      </c>
      <c r="F27" s="144">
        <f>31596.57+152662.19</f>
        <v>184258.76</v>
      </c>
      <c r="G27" s="144">
        <f t="shared" si="1"/>
        <v>1715930.24</v>
      </c>
      <c r="H27" s="145">
        <f t="shared" si="0"/>
        <v>9.6968648908082308E-2</v>
      </c>
      <c r="I27" s="158">
        <f t="shared" si="2"/>
        <v>8.3333333333333329E-2</v>
      </c>
    </row>
    <row r="28" spans="1:9">
      <c r="A28" s="159" t="s">
        <v>146</v>
      </c>
      <c r="B28" s="161" t="s">
        <v>147</v>
      </c>
      <c r="D28" s="143">
        <v>5082853</v>
      </c>
      <c r="E28" s="144">
        <v>554329.11</v>
      </c>
      <c r="F28" s="144">
        <f>56814.62+554329.11</f>
        <v>611143.73</v>
      </c>
      <c r="G28" s="144">
        <f t="shared" si="1"/>
        <v>4471709.2699999996</v>
      </c>
      <c r="H28" s="145">
        <f t="shared" si="0"/>
        <v>0.12023635741580564</v>
      </c>
      <c r="I28" s="158">
        <f t="shared" si="2"/>
        <v>8.3333333333333329E-2</v>
      </c>
    </row>
    <row r="29" spans="1:9">
      <c r="A29" s="159" t="s">
        <v>148</v>
      </c>
      <c r="B29" s="161" t="s">
        <v>149</v>
      </c>
      <c r="D29" s="143">
        <v>482604</v>
      </c>
      <c r="E29" s="144">
        <v>12219.38</v>
      </c>
      <c r="F29" s="144">
        <f>104708+12219.38</f>
        <v>116927.38</v>
      </c>
      <c r="G29" s="144">
        <f t="shared" si="1"/>
        <v>365676.62</v>
      </c>
      <c r="H29" s="145">
        <f t="shared" si="0"/>
        <v>0.24228431591947022</v>
      </c>
      <c r="I29" s="158">
        <f t="shared" si="2"/>
        <v>8.3333333333333329E-2</v>
      </c>
    </row>
    <row r="30" spans="1:9">
      <c r="A30" s="159" t="s">
        <v>150</v>
      </c>
      <c r="B30" s="130" t="s">
        <v>151</v>
      </c>
      <c r="D30" s="143">
        <v>964125</v>
      </c>
      <c r="E30" s="144">
        <v>85734.11</v>
      </c>
      <c r="F30" s="144">
        <f>649.84+85734.11</f>
        <v>86383.95</v>
      </c>
      <c r="G30" s="144">
        <f t="shared" si="1"/>
        <v>877741.05</v>
      </c>
      <c r="H30" s="162">
        <f t="shared" si="0"/>
        <v>8.9598288603656165E-2</v>
      </c>
      <c r="I30" s="146">
        <f t="shared" si="2"/>
        <v>8.3333333333333329E-2</v>
      </c>
    </row>
    <row r="31" spans="1:9">
      <c r="A31" s="159" t="s">
        <v>152</v>
      </c>
      <c r="B31" s="130" t="s">
        <v>153</v>
      </c>
      <c r="D31" s="143">
        <v>36831</v>
      </c>
      <c r="E31" s="144">
        <v>2993.98</v>
      </c>
      <c r="F31" s="144">
        <v>2993.98</v>
      </c>
      <c r="G31" s="144">
        <f>D31-F31</f>
        <v>33837.019999999997</v>
      </c>
      <c r="H31" s="162">
        <f t="shared" si="0"/>
        <v>8.1289674459015498E-2</v>
      </c>
      <c r="I31" s="146">
        <f t="shared" si="2"/>
        <v>8.3333333333333329E-2</v>
      </c>
    </row>
    <row r="32" spans="1:9">
      <c r="A32" s="159" t="s">
        <v>154</v>
      </c>
      <c r="B32" s="130" t="s">
        <v>155</v>
      </c>
      <c r="D32" s="143">
        <v>850606</v>
      </c>
      <c r="E32" s="144">
        <v>408173.8</v>
      </c>
      <c r="F32" s="144">
        <v>408173.8</v>
      </c>
      <c r="G32" s="144">
        <f>D32-F32</f>
        <v>442432.2</v>
      </c>
      <c r="H32" s="162">
        <f t="shared" si="0"/>
        <v>0.47986235695492391</v>
      </c>
      <c r="I32" s="146">
        <f t="shared" si="2"/>
        <v>8.3333333333333329E-2</v>
      </c>
    </row>
    <row r="33" spans="1:10">
      <c r="A33" s="159" t="s">
        <v>156</v>
      </c>
      <c r="B33" s="130" t="s">
        <v>157</v>
      </c>
      <c r="D33" s="143">
        <v>0</v>
      </c>
      <c r="E33" s="144">
        <v>0</v>
      </c>
      <c r="F33" s="144">
        <v>0</v>
      </c>
      <c r="G33" s="144">
        <f>D33-F33</f>
        <v>0</v>
      </c>
      <c r="H33" s="162"/>
      <c r="I33" s="146">
        <f t="shared" si="2"/>
        <v>8.3333333333333329E-2</v>
      </c>
    </row>
    <row r="34" spans="1:10">
      <c r="A34" s="159" t="s">
        <v>158</v>
      </c>
      <c r="B34" s="130" t="s">
        <v>159</v>
      </c>
      <c r="D34" s="143">
        <v>32000</v>
      </c>
      <c r="E34" s="144">
        <v>0</v>
      </c>
      <c r="F34" s="144">
        <v>0</v>
      </c>
      <c r="G34" s="144">
        <f>D34-F34</f>
        <v>32000</v>
      </c>
      <c r="H34" s="162">
        <f>F34/D34</f>
        <v>0</v>
      </c>
      <c r="I34" s="146">
        <f t="shared" si="2"/>
        <v>8.3333333333333329E-2</v>
      </c>
    </row>
    <row r="35" spans="1:10">
      <c r="A35" s="159" t="s">
        <v>160</v>
      </c>
      <c r="B35" s="161" t="s">
        <v>161</v>
      </c>
      <c r="D35" s="147">
        <v>245000</v>
      </c>
      <c r="E35" s="148">
        <v>58216.639999999999</v>
      </c>
      <c r="F35" s="148">
        <v>58216.639999999999</v>
      </c>
      <c r="G35" s="163">
        <f>D35-F35</f>
        <v>186783.35999999999</v>
      </c>
      <c r="H35" s="164">
        <f>F35/D35</f>
        <v>0.23761893877551021</v>
      </c>
      <c r="I35" s="150">
        <f t="shared" si="2"/>
        <v>8.3333333333333329E-2</v>
      </c>
    </row>
    <row r="36" spans="1:10">
      <c r="A36" s="135" t="s">
        <v>92</v>
      </c>
      <c r="D36" s="151">
        <f>SUM(D16:D35)</f>
        <v>49631615</v>
      </c>
      <c r="E36" s="152">
        <f>SUM(E16:E35)</f>
        <v>5198865.17</v>
      </c>
      <c r="F36" s="152">
        <f>SUM(F16:F35)</f>
        <v>5599254.2400000002</v>
      </c>
      <c r="G36" s="152">
        <f>SUM(G16:G35)</f>
        <v>44032360.760000005</v>
      </c>
      <c r="H36" s="153">
        <f>F36/D36</f>
        <v>0.11281628131585079</v>
      </c>
      <c r="I36" s="154">
        <f>I16</f>
        <v>8.3333333333333329E-2</v>
      </c>
    </row>
    <row r="37" spans="1:10">
      <c r="D37" s="156"/>
      <c r="E37" s="156"/>
      <c r="F37" s="156"/>
      <c r="G37" s="156"/>
      <c r="I37" s="146"/>
    </row>
    <row r="38" spans="1:10">
      <c r="B38" s="135" t="s">
        <v>162</v>
      </c>
      <c r="D38" s="156"/>
      <c r="E38" s="156"/>
      <c r="F38" s="156"/>
      <c r="G38" s="156"/>
      <c r="I38" s="165"/>
    </row>
    <row r="39" spans="1:10">
      <c r="A39" s="137">
        <v>7910</v>
      </c>
      <c r="B39" s="130" t="s">
        <v>163</v>
      </c>
      <c r="D39" s="156">
        <v>0</v>
      </c>
      <c r="E39" s="156">
        <v>0</v>
      </c>
      <c r="F39" s="156">
        <v>0</v>
      </c>
      <c r="G39" s="156"/>
      <c r="I39" s="165"/>
    </row>
    <row r="40" spans="1:10">
      <c r="A40" s="137">
        <v>8910</v>
      </c>
      <c r="B40" s="130" t="s">
        <v>164</v>
      </c>
      <c r="D40" s="166">
        <v>0</v>
      </c>
      <c r="E40" s="166">
        <v>0</v>
      </c>
      <c r="F40" s="166">
        <v>0</v>
      </c>
      <c r="G40" s="156"/>
      <c r="I40" s="165" t="s">
        <v>51</v>
      </c>
    </row>
    <row r="41" spans="1:10">
      <c r="A41" s="135" t="s">
        <v>165</v>
      </c>
      <c r="D41" s="156">
        <f>+D39-D40</f>
        <v>0</v>
      </c>
      <c r="E41" s="156">
        <f>+E39-E40</f>
        <v>0</v>
      </c>
      <c r="F41" s="156">
        <f>+F39-F40</f>
        <v>0</v>
      </c>
      <c r="G41" s="156"/>
      <c r="I41" s="165"/>
      <c r="J41" s="167"/>
    </row>
    <row r="42" spans="1:10">
      <c r="D42" s="156"/>
      <c r="E42" s="156"/>
      <c r="F42" s="156"/>
      <c r="G42" s="156"/>
      <c r="I42" s="165"/>
    </row>
    <row r="43" spans="1:10">
      <c r="A43" s="159" t="s">
        <v>166</v>
      </c>
      <c r="B43" s="168" t="s">
        <v>167</v>
      </c>
      <c r="C43" s="169"/>
      <c r="D43" s="91">
        <f>18299265+3086026.04+341448.81</f>
        <v>21726739.849999998</v>
      </c>
      <c r="E43" s="166">
        <v>0</v>
      </c>
      <c r="F43" s="166">
        <f>D43</f>
        <v>21726739.849999998</v>
      </c>
      <c r="G43" s="156"/>
      <c r="I43" s="165"/>
    </row>
    <row r="44" spans="1:10">
      <c r="D44" s="156"/>
      <c r="E44" s="156"/>
      <c r="F44" s="156"/>
      <c r="G44" s="156"/>
      <c r="I44" s="165"/>
      <c r="J44" s="167"/>
    </row>
    <row r="45" spans="1:10">
      <c r="A45" s="137">
        <v>3000</v>
      </c>
      <c r="B45" s="170" t="s">
        <v>168</v>
      </c>
      <c r="C45" s="171"/>
      <c r="D45" s="172">
        <f>(D13-D36)+D41+D43</f>
        <v>21578965.849999998</v>
      </c>
      <c r="E45" s="172"/>
      <c r="F45" s="172">
        <f>(F13-F36)+F41+F43</f>
        <v>23646772.359999999</v>
      </c>
      <c r="G45" s="156"/>
      <c r="I45" s="165"/>
    </row>
    <row r="46" spans="1:10">
      <c r="I46" s="165"/>
    </row>
    <row r="47" spans="1:10">
      <c r="D47" s="156"/>
      <c r="I47" s="165"/>
    </row>
    <row r="48" spans="1:10">
      <c r="D48" s="156"/>
      <c r="F48" s="156"/>
      <c r="I48" s="165"/>
    </row>
    <row r="49" spans="1:10" ht="20.25" customHeight="1">
      <c r="A49" s="173"/>
      <c r="B49" s="135"/>
      <c r="I49" s="165"/>
    </row>
    <row r="50" spans="1:10">
      <c r="I50" s="165"/>
    </row>
    <row r="51" spans="1:10" ht="15.75" customHeight="1">
      <c r="A51" s="174"/>
      <c r="B51" s="135"/>
      <c r="I51" s="165"/>
    </row>
    <row r="52" spans="1:10" ht="15.75" customHeight="1">
      <c r="A52" s="135"/>
      <c r="B52" s="135"/>
      <c r="I52" s="165"/>
    </row>
    <row r="54" spans="1:10">
      <c r="A54" s="175"/>
      <c r="B54" s="173"/>
      <c r="C54" s="173"/>
      <c r="D54" s="173"/>
      <c r="E54" s="173"/>
      <c r="F54" s="173"/>
      <c r="G54" s="173"/>
      <c r="H54" s="173"/>
      <c r="I54" s="136"/>
      <c r="J54" s="173"/>
    </row>
    <row r="55" spans="1:10">
      <c r="A55" s="173"/>
      <c r="B55" s="135"/>
      <c r="C55" s="135"/>
      <c r="I55" s="165"/>
    </row>
    <row r="56" spans="1:10">
      <c r="A56" s="173"/>
      <c r="B56" s="135"/>
      <c r="C56" s="135"/>
      <c r="I56" s="165"/>
    </row>
    <row r="57" spans="1:10">
      <c r="A57" s="173"/>
      <c r="B57" s="135"/>
      <c r="C57" s="135"/>
      <c r="I57" s="165"/>
    </row>
    <row r="58" spans="1:10">
      <c r="B58" s="135"/>
      <c r="C58" s="135"/>
      <c r="I58" s="165"/>
    </row>
    <row r="59" spans="1:10">
      <c r="B59" s="135"/>
      <c r="C59" s="135"/>
      <c r="I59" s="165"/>
    </row>
    <row r="60" spans="1:10">
      <c r="B60" s="135"/>
      <c r="C60" s="135"/>
      <c r="I60" s="165"/>
    </row>
    <row r="61" spans="1:10">
      <c r="B61" s="135"/>
      <c r="C61" s="135"/>
      <c r="I61" s="165"/>
    </row>
    <row r="62" spans="1:10">
      <c r="B62" s="135"/>
      <c r="C62" s="135"/>
      <c r="I62" s="165"/>
    </row>
    <row r="63" spans="1:10">
      <c r="I63" s="165"/>
    </row>
    <row r="64" spans="1:10">
      <c r="I64" s="165"/>
    </row>
    <row r="65" spans="9:9">
      <c r="I65" s="165"/>
    </row>
    <row r="66" spans="9:9">
      <c r="I66" s="165"/>
    </row>
    <row r="67" spans="9:9">
      <c r="I67" s="165"/>
    </row>
    <row r="68" spans="9:9">
      <c r="I68" s="165"/>
    </row>
    <row r="69" spans="9:9">
      <c r="I69" s="165"/>
    </row>
    <row r="70" spans="9:9">
      <c r="I70" s="165"/>
    </row>
    <row r="71" spans="9:9">
      <c r="I71" s="165"/>
    </row>
    <row r="72" spans="9:9">
      <c r="I72" s="165"/>
    </row>
    <row r="73" spans="9:9">
      <c r="I73" s="165"/>
    </row>
    <row r="74" spans="9:9">
      <c r="I74" s="165"/>
    </row>
    <row r="75" spans="9:9">
      <c r="I75" s="165"/>
    </row>
    <row r="76" spans="9:9">
      <c r="I76" s="165"/>
    </row>
    <row r="77" spans="9:9">
      <c r="I77" s="165"/>
    </row>
    <row r="78" spans="9:9">
      <c r="I78" s="165"/>
    </row>
    <row r="79" spans="9:9">
      <c r="I79" s="165"/>
    </row>
    <row r="80" spans="9:9">
      <c r="I80" s="165"/>
    </row>
    <row r="81" spans="9:9">
      <c r="I81" s="165"/>
    </row>
    <row r="82" spans="9:9">
      <c r="I82" s="165"/>
    </row>
    <row r="83" spans="9:9">
      <c r="I83" s="165"/>
    </row>
    <row r="84" spans="9:9">
      <c r="I84" s="165"/>
    </row>
    <row r="85" spans="9:9">
      <c r="I85" s="165"/>
    </row>
    <row r="86" spans="9:9">
      <c r="I86" s="165"/>
    </row>
    <row r="87" spans="9:9">
      <c r="I87" s="165"/>
    </row>
    <row r="88" spans="9:9">
      <c r="I88" s="165"/>
    </row>
    <row r="89" spans="9:9">
      <c r="I89" s="165"/>
    </row>
    <row r="90" spans="9:9">
      <c r="I90" s="165"/>
    </row>
    <row r="91" spans="9:9">
      <c r="I91" s="165"/>
    </row>
    <row r="92" spans="9:9">
      <c r="I92" s="165"/>
    </row>
    <row r="93" spans="9:9">
      <c r="I93" s="165"/>
    </row>
    <row r="94" spans="9:9">
      <c r="I94" s="165"/>
    </row>
    <row r="95" spans="9:9">
      <c r="I95" s="165"/>
    </row>
    <row r="96" spans="9:9">
      <c r="I96" s="165"/>
    </row>
    <row r="97" spans="9:9">
      <c r="I97" s="165"/>
    </row>
    <row r="98" spans="9:9">
      <c r="I98" s="165"/>
    </row>
    <row r="99" spans="9:9">
      <c r="I99" s="165"/>
    </row>
    <row r="100" spans="9:9">
      <c r="I100" s="165"/>
    </row>
    <row r="101" spans="9:9">
      <c r="I101" s="165"/>
    </row>
    <row r="102" spans="9:9">
      <c r="I102" s="165"/>
    </row>
    <row r="103" spans="9:9">
      <c r="I103" s="165"/>
    </row>
    <row r="104" spans="9:9">
      <c r="I104" s="165"/>
    </row>
    <row r="105" spans="9:9">
      <c r="I105" s="165"/>
    </row>
    <row r="106" spans="9:9">
      <c r="I106" s="165"/>
    </row>
    <row r="107" spans="9:9">
      <c r="I107" s="165"/>
    </row>
    <row r="108" spans="9:9">
      <c r="I108" s="165"/>
    </row>
    <row r="109" spans="9:9">
      <c r="I109" s="165"/>
    </row>
    <row r="110" spans="9:9">
      <c r="I110" s="165"/>
    </row>
    <row r="111" spans="9:9">
      <c r="I111" s="165"/>
    </row>
    <row r="112" spans="9:9">
      <c r="I112" s="165"/>
    </row>
    <row r="113" spans="9:9">
      <c r="I113" s="165"/>
    </row>
    <row r="114" spans="9:9">
      <c r="I114" s="165"/>
    </row>
    <row r="115" spans="9:9">
      <c r="I115" s="165"/>
    </row>
    <row r="116" spans="9:9">
      <c r="I116" s="165"/>
    </row>
  </sheetData>
  <mergeCells count="5">
    <mergeCell ref="A1:I1"/>
    <mergeCell ref="A2:I2"/>
    <mergeCell ref="A3:I3"/>
    <mergeCell ref="A5:I5"/>
    <mergeCell ref="A6:I6"/>
  </mergeCells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43" sqref="C43"/>
    </sheetView>
  </sheetViews>
  <sheetFormatPr defaultColWidth="9.140625" defaultRowHeight="12.75"/>
  <cols>
    <col min="1" max="1" width="30" style="187" bestFit="1" customWidth="1"/>
    <col min="2" max="2" width="1.7109375" style="187" customWidth="1"/>
    <col min="3" max="3" width="14.140625" style="189" bestFit="1" customWidth="1"/>
    <col min="4" max="4" width="0.85546875" style="192" customWidth="1"/>
    <col min="5" max="5" width="14.140625" style="189" bestFit="1" customWidth="1"/>
    <col min="6" max="6" width="0.85546875" style="192" customWidth="1"/>
    <col min="7" max="7" width="14.140625" style="189" bestFit="1" customWidth="1"/>
    <col min="8" max="8" width="0.85546875" style="192" customWidth="1"/>
    <col min="9" max="9" width="14.140625" style="189" bestFit="1" customWidth="1"/>
    <col min="10" max="10" width="0.85546875" style="192" customWidth="1"/>
    <col min="11" max="11" width="14.140625" style="189" bestFit="1" customWidth="1"/>
    <col min="12" max="12" width="0.85546875" style="192" customWidth="1"/>
    <col min="13" max="13" width="14.7109375" style="189" customWidth="1"/>
    <col min="14" max="14" width="0.85546875" style="192" customWidth="1"/>
    <col min="15" max="15" width="14.140625" style="189" bestFit="1" customWidth="1"/>
    <col min="16" max="16" width="0.85546875" style="192" customWidth="1"/>
    <col min="17" max="17" width="14.140625" style="189" bestFit="1" customWidth="1"/>
    <col min="18" max="18" width="0.85546875" style="192" customWidth="1"/>
    <col min="19" max="19" width="14.140625" style="189" bestFit="1" customWidth="1"/>
    <col min="20" max="20" width="0.85546875" style="192" customWidth="1"/>
    <col min="21" max="21" width="14.140625" style="189" customWidth="1"/>
    <col min="22" max="22" width="0.85546875" style="192" customWidth="1"/>
    <col min="23" max="23" width="14.140625" style="189" customWidth="1"/>
    <col min="24" max="24" width="0.85546875" style="192" customWidth="1"/>
    <col min="25" max="25" width="14.140625" style="189" customWidth="1"/>
    <col min="26" max="26" width="0.140625" style="189" hidden="1" customWidth="1"/>
    <col min="27" max="27" width="0.85546875" style="192" customWidth="1"/>
    <col min="28" max="28" width="15" style="189" customWidth="1"/>
    <col min="29" max="16384" width="9.140625" style="187"/>
  </cols>
  <sheetData>
    <row r="1" spans="1:28" s="185" customFormat="1" ht="15.75">
      <c r="A1" s="176"/>
      <c r="B1" s="177"/>
      <c r="C1" s="178"/>
      <c r="D1" s="179"/>
      <c r="E1" s="178"/>
      <c r="F1" s="179"/>
      <c r="G1" s="178"/>
      <c r="H1" s="179"/>
      <c r="I1" s="178"/>
      <c r="J1" s="180"/>
      <c r="K1" s="181"/>
      <c r="L1" s="180"/>
      <c r="M1" s="182" t="s">
        <v>52</v>
      </c>
      <c r="N1" s="179"/>
      <c r="O1" s="178"/>
      <c r="P1" s="179"/>
      <c r="Q1" s="178"/>
      <c r="R1" s="179"/>
      <c r="S1" s="178"/>
      <c r="T1" s="179"/>
      <c r="U1" s="178"/>
      <c r="V1" s="179"/>
      <c r="W1" s="178"/>
      <c r="X1" s="179"/>
      <c r="Y1" s="178"/>
      <c r="Z1" s="183"/>
      <c r="AA1" s="184"/>
      <c r="AB1" s="178"/>
    </row>
    <row r="2" spans="1:28" s="185" customFormat="1" ht="15.75">
      <c r="B2" s="177"/>
      <c r="C2" s="178"/>
      <c r="D2" s="179"/>
      <c r="E2" s="178"/>
      <c r="F2" s="179"/>
      <c r="G2" s="178"/>
      <c r="H2" s="179"/>
      <c r="I2" s="178"/>
      <c r="J2" s="180"/>
      <c r="K2" s="181"/>
      <c r="L2" s="180"/>
      <c r="M2" s="182" t="s">
        <v>169</v>
      </c>
      <c r="N2" s="179"/>
      <c r="O2" s="178"/>
      <c r="P2" s="179"/>
      <c r="Q2" s="178"/>
      <c r="R2" s="179"/>
      <c r="S2" s="178"/>
      <c r="T2" s="179"/>
      <c r="U2" s="178"/>
      <c r="V2" s="179"/>
      <c r="W2" s="178"/>
      <c r="X2" s="179"/>
      <c r="Y2" s="178"/>
      <c r="Z2" s="183"/>
      <c r="AA2" s="184"/>
      <c r="AB2" s="178"/>
    </row>
    <row r="3" spans="1:28" s="185" customFormat="1" ht="15.75">
      <c r="B3" s="177"/>
      <c r="C3" s="178"/>
      <c r="D3" s="179"/>
      <c r="E3" s="178"/>
      <c r="F3" s="179"/>
      <c r="G3" s="178"/>
      <c r="H3" s="179"/>
      <c r="I3" s="178"/>
      <c r="J3" s="180"/>
      <c r="K3" s="181"/>
      <c r="L3" s="180"/>
      <c r="M3" s="186" t="s">
        <v>170</v>
      </c>
      <c r="N3" s="179"/>
      <c r="O3" s="178"/>
      <c r="P3" s="179"/>
      <c r="Q3" s="178"/>
      <c r="R3" s="179"/>
      <c r="S3" s="178"/>
      <c r="T3" s="179"/>
      <c r="U3" s="178"/>
      <c r="V3" s="179"/>
      <c r="W3" s="178"/>
      <c r="X3" s="179"/>
      <c r="Y3" s="178"/>
      <c r="Z3" s="183"/>
      <c r="AA3" s="184"/>
      <c r="AB3" s="178"/>
    </row>
    <row r="4" spans="1:28">
      <c r="B4" s="188"/>
      <c r="D4" s="190"/>
      <c r="F4" s="190"/>
      <c r="H4" s="190"/>
      <c r="J4" s="190"/>
      <c r="L4" s="190"/>
      <c r="N4" s="190"/>
      <c r="P4" s="190"/>
      <c r="R4" s="190"/>
      <c r="T4" s="190"/>
      <c r="V4" s="190"/>
      <c r="X4" s="190"/>
      <c r="Z4" s="191"/>
    </row>
    <row r="5" spans="1:28">
      <c r="B5" s="188"/>
      <c r="C5" s="193" t="s">
        <v>171</v>
      </c>
      <c r="D5" s="190"/>
      <c r="E5" s="193" t="s">
        <v>172</v>
      </c>
      <c r="F5" s="190"/>
      <c r="G5" s="193" t="s">
        <v>173</v>
      </c>
      <c r="H5" s="190"/>
      <c r="I5" s="193" t="s">
        <v>174</v>
      </c>
      <c r="J5" s="190"/>
      <c r="K5" s="193" t="s">
        <v>175</v>
      </c>
      <c r="L5" s="190"/>
      <c r="M5" s="193" t="s">
        <v>176</v>
      </c>
      <c r="N5" s="190"/>
      <c r="O5" s="193" t="s">
        <v>177</v>
      </c>
      <c r="P5" s="190"/>
      <c r="Q5" s="193" t="s">
        <v>178</v>
      </c>
      <c r="R5" s="190"/>
      <c r="S5" s="193" t="s">
        <v>179</v>
      </c>
      <c r="T5" s="190"/>
      <c r="U5" s="193" t="s">
        <v>180</v>
      </c>
      <c r="V5" s="190"/>
      <c r="W5" s="193" t="s">
        <v>181</v>
      </c>
      <c r="X5" s="190"/>
      <c r="Y5" s="193" t="s">
        <v>182</v>
      </c>
      <c r="Z5" s="191"/>
      <c r="AA5" s="194"/>
      <c r="AB5" s="193" t="s">
        <v>119</v>
      </c>
    </row>
    <row r="6" spans="1:28">
      <c r="B6" s="188"/>
      <c r="C6" s="195" t="s">
        <v>183</v>
      </c>
      <c r="D6" s="190"/>
      <c r="E6" s="195" t="s">
        <v>183</v>
      </c>
      <c r="F6" s="190"/>
      <c r="G6" s="195" t="s">
        <v>183</v>
      </c>
      <c r="H6" s="190"/>
      <c r="I6" s="195" t="s">
        <v>183</v>
      </c>
      <c r="J6" s="190"/>
      <c r="K6" s="195" t="s">
        <v>183</v>
      </c>
      <c r="L6" s="190"/>
      <c r="M6" s="195" t="s">
        <v>183</v>
      </c>
      <c r="N6" s="190"/>
      <c r="O6" s="195" t="s">
        <v>183</v>
      </c>
      <c r="P6" s="190"/>
      <c r="Q6" s="195" t="s">
        <v>183</v>
      </c>
      <c r="R6" s="190"/>
      <c r="S6" s="195" t="s">
        <v>183</v>
      </c>
      <c r="T6" s="190"/>
      <c r="U6" s="195" t="s">
        <v>183</v>
      </c>
      <c r="V6" s="190"/>
      <c r="W6" s="195" t="s">
        <v>183</v>
      </c>
      <c r="X6" s="190"/>
      <c r="Y6" s="195" t="s">
        <v>183</v>
      </c>
      <c r="Z6" s="191"/>
      <c r="AB6" s="196"/>
    </row>
    <row r="7" spans="1:28">
      <c r="A7" s="197" t="s">
        <v>184</v>
      </c>
      <c r="B7" s="188"/>
      <c r="C7" s="198">
        <v>15292402.579999991</v>
      </c>
      <c r="D7" s="190"/>
      <c r="E7" s="198"/>
      <c r="F7" s="190"/>
      <c r="G7" s="198">
        <f>+E43</f>
        <v>0</v>
      </c>
      <c r="H7" s="190"/>
      <c r="I7" s="198">
        <f>+G43</f>
        <v>0</v>
      </c>
      <c r="J7" s="190"/>
      <c r="K7" s="198">
        <f>+I43</f>
        <v>0</v>
      </c>
      <c r="L7" s="190"/>
      <c r="M7" s="198">
        <f>+K43</f>
        <v>0</v>
      </c>
      <c r="N7" s="190"/>
      <c r="O7" s="198">
        <f>+M43</f>
        <v>0</v>
      </c>
      <c r="P7" s="190"/>
      <c r="Q7" s="198">
        <f>+O43</f>
        <v>0</v>
      </c>
      <c r="R7" s="190"/>
      <c r="S7" s="198">
        <f>+Q43</f>
        <v>0</v>
      </c>
      <c r="T7" s="190"/>
      <c r="U7" s="198">
        <f>+S43</f>
        <v>0</v>
      </c>
      <c r="V7" s="190"/>
      <c r="W7" s="198">
        <f>+U43</f>
        <v>0</v>
      </c>
      <c r="X7" s="190"/>
      <c r="Y7" s="198">
        <f>+W43</f>
        <v>0</v>
      </c>
      <c r="Z7" s="191"/>
      <c r="AB7" s="199">
        <f>+C7</f>
        <v>15292402.579999991</v>
      </c>
    </row>
    <row r="8" spans="1:28">
      <c r="B8" s="188"/>
      <c r="D8" s="190"/>
      <c r="F8" s="190"/>
      <c r="H8" s="190"/>
      <c r="J8" s="190"/>
      <c r="L8" s="190"/>
      <c r="N8" s="190"/>
      <c r="P8" s="190"/>
      <c r="R8" s="190"/>
      <c r="T8" s="190"/>
      <c r="V8" s="190"/>
      <c r="X8" s="190"/>
      <c r="Z8" s="191"/>
      <c r="AB8" s="199"/>
    </row>
    <row r="9" spans="1:28">
      <c r="A9" s="185" t="s">
        <v>185</v>
      </c>
      <c r="B9" s="177"/>
      <c r="D9" s="179"/>
      <c r="F9" s="179"/>
      <c r="H9" s="179"/>
      <c r="J9" s="179"/>
      <c r="L9" s="179"/>
      <c r="N9" s="179"/>
      <c r="P9" s="179"/>
      <c r="R9" s="179"/>
      <c r="T9" s="179"/>
      <c r="V9" s="179"/>
      <c r="X9" s="179"/>
      <c r="Z9" s="183"/>
      <c r="AB9" s="199"/>
    </row>
    <row r="10" spans="1:28">
      <c r="A10" s="187" t="s">
        <v>186</v>
      </c>
      <c r="B10" s="188"/>
      <c r="C10" s="189">
        <v>15114.29</v>
      </c>
      <c r="D10" s="190"/>
      <c r="E10" s="200">
        <v>0</v>
      </c>
      <c r="F10" s="190"/>
      <c r="G10" s="189">
        <v>0</v>
      </c>
      <c r="H10" s="190"/>
      <c r="I10" s="189">
        <v>0</v>
      </c>
      <c r="J10" s="190"/>
      <c r="K10" s="189">
        <v>0</v>
      </c>
      <c r="L10" s="190"/>
      <c r="M10" s="189">
        <v>0</v>
      </c>
      <c r="N10" s="190"/>
      <c r="O10" s="189">
        <v>0</v>
      </c>
      <c r="P10" s="190"/>
      <c r="Q10" s="189">
        <v>0</v>
      </c>
      <c r="R10" s="190"/>
      <c r="S10" s="189">
        <v>0</v>
      </c>
      <c r="T10" s="190"/>
      <c r="U10" s="189">
        <v>0</v>
      </c>
      <c r="V10" s="190"/>
      <c r="W10" s="189">
        <v>0</v>
      </c>
      <c r="X10" s="190"/>
      <c r="Y10" s="189">
        <v>0</v>
      </c>
      <c r="Z10" s="191"/>
      <c r="AB10" s="199">
        <f>SUM(C10:Y10)</f>
        <v>15114.29</v>
      </c>
    </row>
    <row r="11" spans="1:28">
      <c r="A11" s="187" t="s">
        <v>187</v>
      </c>
      <c r="B11" s="188"/>
      <c r="C11" s="201">
        <v>3792.03</v>
      </c>
      <c r="D11" s="190"/>
      <c r="E11" s="189">
        <v>0</v>
      </c>
      <c r="F11" s="190"/>
      <c r="G11" s="189">
        <v>0</v>
      </c>
      <c r="H11" s="190"/>
      <c r="I11" s="189">
        <v>0</v>
      </c>
      <c r="J11" s="190"/>
      <c r="K11" s="189">
        <v>0</v>
      </c>
      <c r="L11" s="190"/>
      <c r="M11" s="189">
        <v>0</v>
      </c>
      <c r="N11" s="190"/>
      <c r="O11" s="189">
        <v>0</v>
      </c>
      <c r="P11" s="190"/>
      <c r="Q11" s="189">
        <v>0</v>
      </c>
      <c r="R11" s="190"/>
      <c r="S11" s="189">
        <v>0</v>
      </c>
      <c r="T11" s="190"/>
      <c r="U11" s="189">
        <v>0</v>
      </c>
      <c r="V11" s="190"/>
      <c r="W11" s="189">
        <v>0</v>
      </c>
      <c r="X11" s="190"/>
      <c r="Y11" s="189">
        <v>0</v>
      </c>
      <c r="Z11" s="191"/>
      <c r="AB11" s="199">
        <f t="shared" ref="AB11:AB25" si="0">SUM(C11:Y11)</f>
        <v>3792.03</v>
      </c>
    </row>
    <row r="12" spans="1:28">
      <c r="A12" s="187" t="s">
        <v>188</v>
      </c>
      <c r="B12" s="188"/>
      <c r="C12" s="202">
        <v>293780.19999999995</v>
      </c>
      <c r="D12" s="190"/>
      <c r="E12" s="202">
        <v>0</v>
      </c>
      <c r="F12" s="190"/>
      <c r="G12" s="189">
        <v>0</v>
      </c>
      <c r="H12" s="190"/>
      <c r="I12" s="189">
        <v>0</v>
      </c>
      <c r="J12" s="190"/>
      <c r="K12" s="201">
        <v>0</v>
      </c>
      <c r="L12" s="190"/>
      <c r="M12" s="202">
        <v>0</v>
      </c>
      <c r="N12" s="190"/>
      <c r="O12" s="189">
        <v>0</v>
      </c>
      <c r="P12" s="190"/>
      <c r="Q12" s="189">
        <v>0</v>
      </c>
      <c r="R12" s="190"/>
      <c r="S12" s="189">
        <v>0</v>
      </c>
      <c r="T12" s="190"/>
      <c r="U12" s="189">
        <v>0</v>
      </c>
      <c r="V12" s="190"/>
      <c r="W12" s="189">
        <v>0</v>
      </c>
      <c r="X12" s="190"/>
      <c r="Y12" s="189">
        <v>0</v>
      </c>
      <c r="Z12" s="191"/>
      <c r="AB12" s="199">
        <f t="shared" si="0"/>
        <v>293780.19999999995</v>
      </c>
    </row>
    <row r="13" spans="1:28">
      <c r="A13" s="187" t="s">
        <v>189</v>
      </c>
      <c r="B13" s="188"/>
      <c r="C13" s="189">
        <v>0</v>
      </c>
      <c r="D13" s="190"/>
      <c r="E13" s="189">
        <v>0</v>
      </c>
      <c r="F13" s="190"/>
      <c r="G13" s="189">
        <v>0</v>
      </c>
      <c r="H13" s="190"/>
      <c r="I13" s="189">
        <v>0</v>
      </c>
      <c r="J13" s="190"/>
      <c r="K13" s="189">
        <v>0</v>
      </c>
      <c r="L13" s="190"/>
      <c r="M13" s="189">
        <v>0</v>
      </c>
      <c r="N13" s="190"/>
      <c r="O13" s="189">
        <v>0</v>
      </c>
      <c r="P13" s="190"/>
      <c r="Q13" s="189">
        <v>0</v>
      </c>
      <c r="R13" s="190"/>
      <c r="S13" s="189">
        <v>0</v>
      </c>
      <c r="T13" s="190"/>
      <c r="U13" s="189">
        <v>0</v>
      </c>
      <c r="V13" s="190"/>
      <c r="W13" s="189">
        <v>0</v>
      </c>
      <c r="X13" s="190"/>
      <c r="Y13" s="189">
        <v>0</v>
      </c>
      <c r="Z13" s="191"/>
      <c r="AB13" s="199">
        <f t="shared" si="0"/>
        <v>0</v>
      </c>
    </row>
    <row r="14" spans="1:28">
      <c r="A14" s="187" t="s">
        <v>190</v>
      </c>
      <c r="B14" s="188"/>
      <c r="C14" s="189">
        <v>4966299</v>
      </c>
      <c r="E14" s="189">
        <v>0</v>
      </c>
      <c r="F14" s="190"/>
      <c r="G14" s="189">
        <v>0</v>
      </c>
      <c r="H14" s="190"/>
      <c r="I14" s="189">
        <v>0</v>
      </c>
      <c r="J14" s="190"/>
      <c r="K14" s="189">
        <v>0</v>
      </c>
      <c r="L14" s="190"/>
      <c r="M14" s="189">
        <v>0</v>
      </c>
      <c r="N14" s="190"/>
      <c r="O14" s="189">
        <v>0</v>
      </c>
      <c r="P14" s="190"/>
      <c r="Q14" s="189">
        <v>0</v>
      </c>
      <c r="R14" s="190"/>
      <c r="S14" s="189">
        <v>0</v>
      </c>
      <c r="T14" s="190"/>
      <c r="U14" s="189">
        <v>0</v>
      </c>
      <c r="V14" s="190"/>
      <c r="W14" s="189">
        <v>0</v>
      </c>
      <c r="X14" s="190"/>
      <c r="Y14" s="189">
        <v>0</v>
      </c>
      <c r="Z14" s="191"/>
      <c r="AB14" s="199">
        <f t="shared" si="0"/>
        <v>4966299</v>
      </c>
    </row>
    <row r="15" spans="1:28">
      <c r="A15" s="187" t="s">
        <v>191</v>
      </c>
      <c r="B15" s="188"/>
      <c r="C15" s="189">
        <v>0</v>
      </c>
      <c r="E15" s="189">
        <v>0</v>
      </c>
      <c r="F15" s="190"/>
      <c r="G15" s="189">
        <v>0</v>
      </c>
      <c r="H15" s="190"/>
      <c r="I15" s="189">
        <v>0</v>
      </c>
      <c r="J15" s="190"/>
      <c r="K15" s="189">
        <v>0</v>
      </c>
      <c r="L15" s="190"/>
      <c r="M15" s="202">
        <v>0</v>
      </c>
      <c r="N15" s="190"/>
      <c r="O15" s="189">
        <v>0</v>
      </c>
      <c r="P15" s="190"/>
      <c r="Q15" s="189">
        <v>0</v>
      </c>
      <c r="R15" s="190"/>
      <c r="S15" s="189">
        <v>0</v>
      </c>
      <c r="T15" s="190"/>
      <c r="U15" s="189">
        <v>0</v>
      </c>
      <c r="V15" s="190"/>
      <c r="W15" s="189">
        <v>0</v>
      </c>
      <c r="X15" s="190"/>
      <c r="Y15" s="189">
        <v>0</v>
      </c>
      <c r="Z15" s="191"/>
      <c r="AB15" s="199">
        <f t="shared" si="0"/>
        <v>0</v>
      </c>
    </row>
    <row r="16" spans="1:28">
      <c r="A16" s="187" t="s">
        <v>192</v>
      </c>
      <c r="B16" s="188"/>
      <c r="C16" s="189">
        <v>0</v>
      </c>
      <c r="E16" s="202">
        <v>0</v>
      </c>
      <c r="F16" s="190"/>
      <c r="G16" s="189">
        <v>0</v>
      </c>
      <c r="H16" s="190"/>
      <c r="I16" s="189">
        <v>0</v>
      </c>
      <c r="J16" s="190"/>
      <c r="K16" s="189">
        <v>0</v>
      </c>
      <c r="L16" s="190"/>
      <c r="M16" s="189">
        <v>0</v>
      </c>
      <c r="N16" s="190"/>
      <c r="O16" s="189">
        <v>0</v>
      </c>
      <c r="P16" s="190"/>
      <c r="Q16" s="189">
        <v>0</v>
      </c>
      <c r="R16" s="190"/>
      <c r="S16" s="189">
        <v>0</v>
      </c>
      <c r="T16" s="190"/>
      <c r="U16" s="189">
        <v>0</v>
      </c>
      <c r="V16" s="190"/>
      <c r="W16" s="189">
        <v>0</v>
      </c>
      <c r="X16" s="190"/>
      <c r="Y16" s="189">
        <v>0</v>
      </c>
      <c r="Z16" s="191"/>
      <c r="AB16" s="199">
        <f t="shared" si="0"/>
        <v>0</v>
      </c>
    </row>
    <row r="17" spans="1:28">
      <c r="A17" s="187" t="s">
        <v>193</v>
      </c>
      <c r="B17" s="188"/>
      <c r="C17" s="189">
        <v>3330.24</v>
      </c>
      <c r="D17" s="190"/>
      <c r="E17" s="189">
        <v>0</v>
      </c>
      <c r="F17" s="190"/>
      <c r="G17" s="189">
        <v>0</v>
      </c>
      <c r="H17" s="190"/>
      <c r="I17" s="189">
        <v>0</v>
      </c>
      <c r="J17" s="190"/>
      <c r="K17" s="189">
        <v>0</v>
      </c>
      <c r="L17" s="190"/>
      <c r="M17" s="192">
        <v>0</v>
      </c>
      <c r="N17" s="190"/>
      <c r="O17" s="189">
        <v>0</v>
      </c>
      <c r="P17" s="190"/>
      <c r="Q17" s="189">
        <v>0</v>
      </c>
      <c r="R17" s="190"/>
      <c r="S17" s="189">
        <v>0</v>
      </c>
      <c r="T17" s="190"/>
      <c r="U17" s="200">
        <v>0</v>
      </c>
      <c r="V17" s="190"/>
      <c r="W17" s="189">
        <v>0</v>
      </c>
      <c r="X17" s="190"/>
      <c r="Y17" s="189">
        <v>0</v>
      </c>
      <c r="Z17" s="191"/>
      <c r="AB17" s="199">
        <f t="shared" si="0"/>
        <v>3330.24</v>
      </c>
    </row>
    <row r="18" spans="1:28">
      <c r="A18" s="187" t="s">
        <v>194</v>
      </c>
      <c r="B18" s="188"/>
      <c r="C18" s="189">
        <v>130376</v>
      </c>
      <c r="D18" s="190"/>
      <c r="E18" s="189">
        <v>0</v>
      </c>
      <c r="F18" s="190"/>
      <c r="G18" s="189">
        <v>0</v>
      </c>
      <c r="H18" s="190"/>
      <c r="I18" s="189">
        <v>0</v>
      </c>
      <c r="J18" s="190"/>
      <c r="K18" s="201">
        <v>0</v>
      </c>
      <c r="L18" s="190"/>
      <c r="M18" s="189">
        <v>0</v>
      </c>
      <c r="N18" s="190"/>
      <c r="O18" s="189">
        <v>0</v>
      </c>
      <c r="P18" s="190"/>
      <c r="Q18" s="189">
        <v>0</v>
      </c>
      <c r="R18" s="190"/>
      <c r="S18" s="189">
        <v>0</v>
      </c>
      <c r="T18" s="190"/>
      <c r="U18" s="200">
        <v>0</v>
      </c>
      <c r="V18" s="190"/>
      <c r="W18" s="189">
        <v>0</v>
      </c>
      <c r="X18" s="190"/>
      <c r="Y18" s="189">
        <v>0</v>
      </c>
      <c r="Z18" s="191"/>
      <c r="AB18" s="199">
        <f t="shared" si="0"/>
        <v>130376</v>
      </c>
    </row>
    <row r="19" spans="1:28">
      <c r="A19" s="187" t="s">
        <v>195</v>
      </c>
      <c r="B19" s="188"/>
      <c r="C19" s="189">
        <v>48828.490000000005</v>
      </c>
      <c r="D19" s="190"/>
      <c r="E19" s="189">
        <v>0</v>
      </c>
      <c r="F19" s="190"/>
      <c r="G19" s="189">
        <v>0</v>
      </c>
      <c r="H19" s="190"/>
      <c r="I19" s="189">
        <v>0</v>
      </c>
      <c r="J19" s="190"/>
      <c r="K19" s="189">
        <v>0</v>
      </c>
      <c r="L19" s="190"/>
      <c r="M19" s="189">
        <v>0</v>
      </c>
      <c r="N19" s="190"/>
      <c r="O19" s="189">
        <v>0</v>
      </c>
      <c r="P19" s="190"/>
      <c r="Q19" s="189">
        <v>0</v>
      </c>
      <c r="R19" s="190"/>
      <c r="S19" s="189">
        <v>0</v>
      </c>
      <c r="T19" s="190"/>
      <c r="U19" s="189">
        <v>0</v>
      </c>
      <c r="V19" s="190"/>
      <c r="W19" s="189">
        <v>0</v>
      </c>
      <c r="X19" s="190"/>
      <c r="Y19" s="189">
        <v>0</v>
      </c>
      <c r="Z19" s="191"/>
      <c r="AB19" s="199">
        <f t="shared" si="0"/>
        <v>48828.490000000005</v>
      </c>
    </row>
    <row r="20" spans="1:28">
      <c r="A20" s="187" t="s">
        <v>196</v>
      </c>
      <c r="B20" s="188"/>
      <c r="C20" s="189">
        <v>144672.97</v>
      </c>
      <c r="D20" s="190"/>
      <c r="E20" s="200">
        <v>0</v>
      </c>
      <c r="F20" s="190"/>
      <c r="G20" s="189">
        <v>0</v>
      </c>
      <c r="H20" s="190"/>
      <c r="I20" s="189">
        <v>0</v>
      </c>
      <c r="J20" s="190"/>
      <c r="K20" s="189">
        <v>0</v>
      </c>
      <c r="L20" s="190"/>
      <c r="M20" s="202">
        <v>0</v>
      </c>
      <c r="N20" s="190"/>
      <c r="O20" s="189">
        <v>0</v>
      </c>
      <c r="P20" s="190"/>
      <c r="Q20" s="189">
        <v>0</v>
      </c>
      <c r="R20" s="190"/>
      <c r="S20" s="189">
        <v>0</v>
      </c>
      <c r="T20" s="190"/>
      <c r="U20" s="189">
        <v>0</v>
      </c>
      <c r="V20" s="190"/>
      <c r="W20" s="189">
        <v>0</v>
      </c>
      <c r="X20" s="190"/>
      <c r="Y20" s="189">
        <v>0</v>
      </c>
      <c r="Z20" s="191"/>
      <c r="AB20" s="199">
        <f t="shared" si="0"/>
        <v>144672.97</v>
      </c>
    </row>
    <row r="21" spans="1:28">
      <c r="A21" s="203" t="s">
        <v>197</v>
      </c>
      <c r="B21" s="188"/>
      <c r="C21" s="189">
        <v>1200.6300000000001</v>
      </c>
      <c r="D21" s="190"/>
      <c r="E21" s="200">
        <v>0</v>
      </c>
      <c r="F21" s="190"/>
      <c r="G21" s="189">
        <v>0</v>
      </c>
      <c r="H21" s="190"/>
      <c r="I21" s="189">
        <v>0</v>
      </c>
      <c r="J21" s="190"/>
      <c r="K21" s="189">
        <v>0</v>
      </c>
      <c r="L21" s="190"/>
      <c r="M21" s="202">
        <v>0</v>
      </c>
      <c r="N21" s="190"/>
      <c r="O21" s="189">
        <v>0</v>
      </c>
      <c r="P21" s="190"/>
      <c r="Q21" s="189">
        <v>0</v>
      </c>
      <c r="R21" s="190"/>
      <c r="S21" s="189">
        <v>0</v>
      </c>
      <c r="T21" s="190"/>
      <c r="U21" s="189">
        <v>0</v>
      </c>
      <c r="V21" s="190"/>
      <c r="W21" s="189">
        <v>0</v>
      </c>
      <c r="X21" s="190"/>
      <c r="Y21" s="189">
        <v>0</v>
      </c>
      <c r="Z21" s="191"/>
      <c r="AB21" s="199">
        <f t="shared" si="0"/>
        <v>1200.6300000000001</v>
      </c>
    </row>
    <row r="22" spans="1:28">
      <c r="A22" s="203" t="s">
        <v>198</v>
      </c>
      <c r="B22" s="188"/>
      <c r="C22" s="189">
        <v>0</v>
      </c>
      <c r="D22" s="190"/>
      <c r="E22" s="200">
        <v>0</v>
      </c>
      <c r="F22" s="190"/>
      <c r="G22" s="189">
        <v>0</v>
      </c>
      <c r="H22" s="190"/>
      <c r="I22" s="189">
        <v>0</v>
      </c>
      <c r="J22" s="190"/>
      <c r="K22" s="189">
        <v>0</v>
      </c>
      <c r="L22" s="190"/>
      <c r="M22" s="202">
        <v>0</v>
      </c>
      <c r="N22" s="190"/>
      <c r="O22" s="189">
        <v>0</v>
      </c>
      <c r="P22" s="190"/>
      <c r="Q22" s="189">
        <v>0</v>
      </c>
      <c r="R22" s="190"/>
      <c r="S22" s="189">
        <v>0</v>
      </c>
      <c r="T22" s="190"/>
      <c r="U22" s="189">
        <v>0</v>
      </c>
      <c r="V22" s="190"/>
      <c r="W22" s="189">
        <v>0</v>
      </c>
      <c r="X22" s="190"/>
      <c r="Y22" s="189">
        <v>0</v>
      </c>
      <c r="Z22" s="191"/>
      <c r="AB22" s="199">
        <f t="shared" si="0"/>
        <v>0</v>
      </c>
    </row>
    <row r="23" spans="1:28">
      <c r="A23" s="203" t="s">
        <v>199</v>
      </c>
      <c r="B23" s="188"/>
      <c r="C23" s="189">
        <v>2543</v>
      </c>
      <c r="D23" s="190"/>
      <c r="E23" s="200">
        <v>0</v>
      </c>
      <c r="F23" s="190"/>
      <c r="G23" s="189">
        <v>0</v>
      </c>
      <c r="H23" s="190"/>
      <c r="I23" s="189">
        <v>0</v>
      </c>
      <c r="J23" s="190"/>
      <c r="K23" s="189">
        <v>0</v>
      </c>
      <c r="L23" s="190"/>
      <c r="M23" s="202">
        <v>0</v>
      </c>
      <c r="N23" s="190"/>
      <c r="O23" s="189">
        <v>0</v>
      </c>
      <c r="P23" s="190"/>
      <c r="Q23" s="189">
        <v>0</v>
      </c>
      <c r="R23" s="190"/>
      <c r="S23" s="189">
        <v>0</v>
      </c>
      <c r="T23" s="190"/>
      <c r="U23" s="189">
        <v>0</v>
      </c>
      <c r="V23" s="190"/>
      <c r="W23" s="189">
        <v>0</v>
      </c>
      <c r="X23" s="190"/>
      <c r="Y23" s="189">
        <v>0</v>
      </c>
      <c r="Z23" s="191"/>
      <c r="AB23" s="199">
        <f t="shared" si="0"/>
        <v>2543</v>
      </c>
    </row>
    <row r="24" spans="1:28">
      <c r="A24" s="187" t="s">
        <v>200</v>
      </c>
      <c r="B24" s="188"/>
      <c r="C24" s="196">
        <v>2635963.4300000002</v>
      </c>
      <c r="D24" s="190"/>
      <c r="E24" s="196">
        <v>0</v>
      </c>
      <c r="F24" s="190"/>
      <c r="G24" s="196">
        <v>0</v>
      </c>
      <c r="H24" s="190"/>
      <c r="I24" s="196">
        <v>0</v>
      </c>
      <c r="J24" s="190"/>
      <c r="K24" s="196">
        <v>0</v>
      </c>
      <c r="L24" s="190"/>
      <c r="M24" s="196">
        <v>0</v>
      </c>
      <c r="N24" s="190"/>
      <c r="O24" s="196">
        <v>0</v>
      </c>
      <c r="P24" s="190"/>
      <c r="Q24" s="196">
        <v>0</v>
      </c>
      <c r="R24" s="190"/>
      <c r="S24" s="196">
        <v>0</v>
      </c>
      <c r="T24" s="190"/>
      <c r="U24" s="196">
        <v>0</v>
      </c>
      <c r="V24" s="190"/>
      <c r="W24" s="196">
        <v>0</v>
      </c>
      <c r="X24" s="190"/>
      <c r="Y24" s="196">
        <v>0</v>
      </c>
      <c r="Z24" s="191"/>
      <c r="AB24" s="204">
        <f t="shared" si="0"/>
        <v>2635963.4300000002</v>
      </c>
    </row>
    <row r="25" spans="1:28">
      <c r="A25" s="187" t="s">
        <v>201</v>
      </c>
      <c r="B25" s="188"/>
      <c r="C25" s="198">
        <f>SUM(C10:C24)</f>
        <v>8245900.2799999993</v>
      </c>
      <c r="D25" s="190"/>
      <c r="E25" s="198">
        <f>SUM(E10:E24)</f>
        <v>0</v>
      </c>
      <c r="F25" s="190"/>
      <c r="G25" s="198">
        <f>SUM(G10:G24)</f>
        <v>0</v>
      </c>
      <c r="H25" s="190"/>
      <c r="I25" s="198">
        <f>SUM(I10:I24)</f>
        <v>0</v>
      </c>
      <c r="J25" s="190"/>
      <c r="K25" s="198">
        <f>SUM(K10:K24)</f>
        <v>0</v>
      </c>
      <c r="L25" s="190"/>
      <c r="M25" s="198">
        <f>SUM(M10:M24)</f>
        <v>0</v>
      </c>
      <c r="N25" s="190"/>
      <c r="O25" s="198">
        <f>SUM(O10:O24)</f>
        <v>0</v>
      </c>
      <c r="P25" s="190"/>
      <c r="Q25" s="198">
        <f>SUM(Q10:Q24)</f>
        <v>0</v>
      </c>
      <c r="R25" s="190"/>
      <c r="S25" s="198">
        <f>SUM(S10:S24)</f>
        <v>0</v>
      </c>
      <c r="T25" s="190"/>
      <c r="U25" s="198">
        <f>SUM(U10:U24)</f>
        <v>0</v>
      </c>
      <c r="V25" s="190"/>
      <c r="W25" s="198">
        <f>SUM(W10:W24)</f>
        <v>0</v>
      </c>
      <c r="X25" s="190"/>
      <c r="Y25" s="198">
        <f>SUM(Y10:Y24)</f>
        <v>0</v>
      </c>
      <c r="Z25" s="191"/>
      <c r="AB25" s="189">
        <f t="shared" si="0"/>
        <v>8245900.2799999993</v>
      </c>
    </row>
    <row r="26" spans="1:28">
      <c r="B26" s="188"/>
      <c r="D26" s="190"/>
      <c r="F26" s="190"/>
      <c r="H26" s="190"/>
      <c r="J26" s="190"/>
      <c r="L26" s="190"/>
      <c r="N26" s="190"/>
      <c r="P26" s="190"/>
      <c r="R26" s="190"/>
      <c r="T26" s="190"/>
      <c r="V26" s="190"/>
      <c r="X26" s="190"/>
      <c r="Z26" s="191"/>
    </row>
    <row r="27" spans="1:28">
      <c r="A27" s="185" t="s">
        <v>202</v>
      </c>
      <c r="B27" s="188"/>
      <c r="D27" s="190"/>
      <c r="F27" s="190"/>
      <c r="H27" s="190"/>
      <c r="J27" s="190"/>
      <c r="L27" s="190"/>
      <c r="N27" s="190"/>
      <c r="P27" s="190"/>
      <c r="R27" s="190"/>
      <c r="T27" s="190"/>
      <c r="V27" s="190"/>
      <c r="X27" s="190"/>
      <c r="Z27" s="191"/>
    </row>
    <row r="28" spans="1:28">
      <c r="A28" s="187" t="s">
        <v>203</v>
      </c>
      <c r="B28" s="188"/>
      <c r="C28" s="189">
        <v>2254432.5</v>
      </c>
      <c r="D28" s="190"/>
      <c r="E28" s="200">
        <v>0</v>
      </c>
      <c r="F28" s="190"/>
      <c r="G28" s="200">
        <v>0</v>
      </c>
      <c r="H28" s="190"/>
      <c r="I28" s="200">
        <v>0</v>
      </c>
      <c r="J28" s="190"/>
      <c r="K28" s="200">
        <v>0</v>
      </c>
      <c r="L28" s="190"/>
      <c r="M28" s="200">
        <v>0</v>
      </c>
      <c r="N28" s="190"/>
      <c r="O28" s="200">
        <v>0</v>
      </c>
      <c r="P28" s="190"/>
      <c r="Q28" s="200">
        <v>0</v>
      </c>
      <c r="R28" s="190"/>
      <c r="S28" s="200">
        <v>0</v>
      </c>
      <c r="T28" s="190"/>
      <c r="U28" s="200">
        <v>0</v>
      </c>
      <c r="V28" s="190"/>
      <c r="W28" s="200">
        <v>0</v>
      </c>
      <c r="X28" s="190"/>
      <c r="Y28" s="200">
        <v>0</v>
      </c>
      <c r="Z28" s="191"/>
      <c r="AB28" s="199">
        <f t="shared" ref="AB28:AB33" si="1">SUM(C28:Y28)</f>
        <v>2254432.5</v>
      </c>
    </row>
    <row r="29" spans="1:28">
      <c r="A29" s="187" t="s">
        <v>204</v>
      </c>
      <c r="B29" s="188"/>
      <c r="C29" s="201">
        <v>2670140.46</v>
      </c>
      <c r="D29" s="190"/>
      <c r="E29" s="205">
        <v>0</v>
      </c>
      <c r="F29" s="190"/>
      <c r="G29" s="205">
        <v>0</v>
      </c>
      <c r="H29" s="190"/>
      <c r="I29" s="205">
        <v>0</v>
      </c>
      <c r="J29" s="190"/>
      <c r="K29" s="205">
        <v>0</v>
      </c>
      <c r="L29" s="190"/>
      <c r="M29" s="205">
        <v>0</v>
      </c>
      <c r="N29" s="189"/>
      <c r="O29" s="205">
        <v>0</v>
      </c>
      <c r="P29" s="189"/>
      <c r="Q29" s="205">
        <v>0</v>
      </c>
      <c r="R29" s="190"/>
      <c r="S29" s="205">
        <v>0</v>
      </c>
      <c r="T29" s="190"/>
      <c r="U29" s="205">
        <v>0</v>
      </c>
      <c r="V29" s="190"/>
      <c r="W29" s="205">
        <v>0</v>
      </c>
      <c r="X29" s="190"/>
      <c r="Y29" s="205">
        <v>0</v>
      </c>
      <c r="Z29" s="191"/>
      <c r="AB29" s="199">
        <f t="shared" si="1"/>
        <v>2670140.46</v>
      </c>
    </row>
    <row r="30" spans="1:28">
      <c r="A30" s="187" t="s">
        <v>205</v>
      </c>
      <c r="B30" s="188"/>
      <c r="C30" s="199">
        <v>631176.25</v>
      </c>
      <c r="D30" s="190"/>
      <c r="E30" s="189">
        <v>0</v>
      </c>
      <c r="F30" s="190"/>
      <c r="G30" s="189">
        <v>0</v>
      </c>
      <c r="H30" s="190"/>
      <c r="I30" s="189">
        <v>0</v>
      </c>
      <c r="J30" s="190"/>
      <c r="K30" s="189">
        <v>0</v>
      </c>
      <c r="L30" s="190"/>
      <c r="M30" s="189">
        <v>0</v>
      </c>
      <c r="N30" s="190"/>
      <c r="O30" s="189">
        <v>0</v>
      </c>
      <c r="P30" s="190"/>
      <c r="Q30" s="189">
        <v>0</v>
      </c>
      <c r="R30" s="190"/>
      <c r="S30" s="189">
        <v>0</v>
      </c>
      <c r="T30" s="190"/>
      <c r="U30" s="189">
        <v>0</v>
      </c>
      <c r="V30" s="190"/>
      <c r="W30" s="189">
        <v>0</v>
      </c>
      <c r="X30" s="190"/>
      <c r="Y30" s="189">
        <v>0</v>
      </c>
      <c r="Z30" s="191"/>
      <c r="AB30" s="199">
        <f t="shared" si="1"/>
        <v>631176.25</v>
      </c>
    </row>
    <row r="31" spans="1:28">
      <c r="A31" s="187" t="s">
        <v>206</v>
      </c>
      <c r="B31" s="188"/>
      <c r="C31" s="189">
        <v>322220.93</v>
      </c>
      <c r="D31" s="190"/>
      <c r="E31" s="189">
        <v>0</v>
      </c>
      <c r="F31" s="190"/>
      <c r="G31" s="189">
        <v>0</v>
      </c>
      <c r="H31" s="190"/>
      <c r="I31" s="189">
        <v>0</v>
      </c>
      <c r="J31" s="190"/>
      <c r="K31" s="189">
        <v>0</v>
      </c>
      <c r="L31" s="190"/>
      <c r="M31" s="189">
        <v>0</v>
      </c>
      <c r="N31" s="190"/>
      <c r="O31" s="189">
        <v>0</v>
      </c>
      <c r="P31" s="190"/>
      <c r="Q31" s="189">
        <v>0</v>
      </c>
      <c r="R31" s="190"/>
      <c r="S31" s="189">
        <v>0</v>
      </c>
      <c r="T31" s="190"/>
      <c r="U31" s="189">
        <v>0</v>
      </c>
      <c r="V31" s="190"/>
      <c r="W31" s="189">
        <v>0</v>
      </c>
      <c r="X31" s="190"/>
      <c r="Y31" s="189">
        <v>0</v>
      </c>
      <c r="Z31" s="191"/>
      <c r="AB31" s="199">
        <f t="shared" si="1"/>
        <v>322220.93</v>
      </c>
    </row>
    <row r="32" spans="1:28">
      <c r="A32" s="187" t="s">
        <v>207</v>
      </c>
      <c r="B32" s="206"/>
      <c r="C32" s="207">
        <v>766</v>
      </c>
      <c r="D32" s="208"/>
      <c r="E32" s="207">
        <v>0</v>
      </c>
      <c r="F32" s="190"/>
      <c r="G32" s="207">
        <v>0</v>
      </c>
      <c r="H32" s="190"/>
      <c r="I32" s="207">
        <v>0</v>
      </c>
      <c r="J32" s="190"/>
      <c r="K32" s="207">
        <v>0</v>
      </c>
      <c r="L32" s="190"/>
      <c r="M32" s="207">
        <v>0</v>
      </c>
      <c r="N32" s="190"/>
      <c r="O32" s="207">
        <v>0</v>
      </c>
      <c r="P32" s="190"/>
      <c r="Q32" s="207">
        <v>0</v>
      </c>
      <c r="R32" s="190"/>
      <c r="S32" s="207">
        <v>0</v>
      </c>
      <c r="T32" s="190"/>
      <c r="U32" s="207">
        <v>0</v>
      </c>
      <c r="V32" s="190"/>
      <c r="W32" s="207">
        <v>0</v>
      </c>
      <c r="X32" s="190"/>
      <c r="Y32" s="207">
        <v>0</v>
      </c>
      <c r="Z32" s="209"/>
      <c r="AB32" s="204">
        <f t="shared" si="1"/>
        <v>766</v>
      </c>
    </row>
    <row r="33" spans="1:41">
      <c r="A33" s="187" t="s">
        <v>208</v>
      </c>
      <c r="B33" s="188"/>
      <c r="C33" s="198">
        <f>SUM(C28:C32)</f>
        <v>5878736.1399999997</v>
      </c>
      <c r="D33" s="190"/>
      <c r="E33" s="198">
        <f>SUM(E28:E32)</f>
        <v>0</v>
      </c>
      <c r="F33" s="190"/>
      <c r="G33" s="198">
        <f>SUM(G28:G32)</f>
        <v>0</v>
      </c>
      <c r="H33" s="190"/>
      <c r="I33" s="198">
        <f>SUM(I28:I32)</f>
        <v>0</v>
      </c>
      <c r="J33" s="190"/>
      <c r="K33" s="198">
        <f>SUM(K28:K32)</f>
        <v>0</v>
      </c>
      <c r="L33" s="190"/>
      <c r="M33" s="198">
        <f>SUM(M28:M32)</f>
        <v>0</v>
      </c>
      <c r="N33" s="190"/>
      <c r="O33" s="198">
        <f>SUM(O28:O32)</f>
        <v>0</v>
      </c>
      <c r="P33" s="190"/>
      <c r="Q33" s="198">
        <f>SUM(Q28:Q32)</f>
        <v>0</v>
      </c>
      <c r="R33" s="190"/>
      <c r="S33" s="198">
        <f>SUM(S28:S32)</f>
        <v>0</v>
      </c>
      <c r="T33" s="190"/>
      <c r="U33" s="198">
        <f>SUM(U28:U32)</f>
        <v>0</v>
      </c>
      <c r="V33" s="190"/>
      <c r="W33" s="198">
        <f>SUM(W28:W32)</f>
        <v>0</v>
      </c>
      <c r="X33" s="190"/>
      <c r="Y33" s="198">
        <f>SUM(Y28:Y32)</f>
        <v>0</v>
      </c>
      <c r="Z33" s="209"/>
      <c r="AB33" s="189">
        <f t="shared" si="1"/>
        <v>5878736.1399999997</v>
      </c>
    </row>
    <row r="34" spans="1:41">
      <c r="B34" s="188"/>
      <c r="D34" s="190"/>
      <c r="F34" s="190"/>
      <c r="H34" s="190"/>
      <c r="J34" s="190"/>
      <c r="L34" s="190"/>
      <c r="M34" s="210"/>
      <c r="N34" s="190"/>
      <c r="P34" s="190"/>
      <c r="R34" s="190"/>
      <c r="T34" s="190"/>
      <c r="V34" s="190"/>
      <c r="X34" s="190"/>
      <c r="Z34" s="191"/>
    </row>
    <row r="35" spans="1:41">
      <c r="A35" s="187" t="s">
        <v>209</v>
      </c>
      <c r="B35" s="188"/>
      <c r="C35" s="189">
        <v>0</v>
      </c>
      <c r="D35" s="190"/>
      <c r="E35" s="189">
        <v>0</v>
      </c>
      <c r="F35" s="190"/>
      <c r="G35" s="189">
        <v>0</v>
      </c>
      <c r="H35" s="190"/>
      <c r="I35" s="189">
        <v>0</v>
      </c>
      <c r="J35" s="190"/>
      <c r="K35" s="189">
        <v>0</v>
      </c>
      <c r="L35" s="190"/>
      <c r="M35" s="189">
        <v>0</v>
      </c>
      <c r="N35" s="190"/>
      <c r="O35" s="189">
        <v>0</v>
      </c>
      <c r="P35" s="189"/>
      <c r="Q35" s="189">
        <v>0</v>
      </c>
      <c r="R35" s="190"/>
      <c r="S35" s="189">
        <v>0</v>
      </c>
      <c r="T35" s="190"/>
      <c r="U35" s="189">
        <v>0</v>
      </c>
      <c r="V35" s="190"/>
      <c r="W35" s="189">
        <v>0</v>
      </c>
      <c r="X35" s="190"/>
      <c r="Y35" s="189">
        <v>0</v>
      </c>
      <c r="Z35" s="191"/>
      <c r="AB35" s="199">
        <f>SUM(C35:Y35)</f>
        <v>0</v>
      </c>
      <c r="AD35" s="211"/>
    </row>
    <row r="36" spans="1:41">
      <c r="A36" s="203" t="s">
        <v>210</v>
      </c>
      <c r="B36" s="188"/>
      <c r="C36" s="200">
        <v>0</v>
      </c>
      <c r="D36" s="190"/>
      <c r="E36" s="200">
        <v>0</v>
      </c>
      <c r="F36" s="190"/>
      <c r="G36" s="200">
        <v>0</v>
      </c>
      <c r="H36" s="190"/>
      <c r="I36" s="200">
        <v>0</v>
      </c>
      <c r="J36" s="190"/>
      <c r="K36" s="189">
        <v>0</v>
      </c>
      <c r="L36" s="190"/>
      <c r="M36" s="189">
        <v>0</v>
      </c>
      <c r="N36" s="190"/>
      <c r="O36" s="189">
        <v>0</v>
      </c>
      <c r="P36" s="189"/>
      <c r="Q36" s="189">
        <v>0</v>
      </c>
      <c r="R36" s="190"/>
      <c r="S36" s="189">
        <v>0</v>
      </c>
      <c r="T36" s="190"/>
      <c r="U36" s="189">
        <v>0</v>
      </c>
      <c r="V36" s="190"/>
      <c r="W36" s="189">
        <v>0</v>
      </c>
      <c r="X36" s="190"/>
      <c r="Y36" s="189">
        <v>0</v>
      </c>
      <c r="Z36" s="191"/>
      <c r="AB36" s="199">
        <f>SUM(C36:Y36)</f>
        <v>0</v>
      </c>
    </row>
    <row r="37" spans="1:41">
      <c r="A37" s="203" t="s">
        <v>211</v>
      </c>
      <c r="B37" s="188"/>
      <c r="C37" s="189">
        <v>0</v>
      </c>
      <c r="D37" s="190"/>
      <c r="E37" s="189">
        <v>0</v>
      </c>
      <c r="F37" s="190"/>
      <c r="G37" s="189">
        <v>0</v>
      </c>
      <c r="H37" s="190"/>
      <c r="I37" s="189">
        <v>0</v>
      </c>
      <c r="J37" s="190"/>
      <c r="K37" s="189">
        <v>0</v>
      </c>
      <c r="L37" s="190"/>
      <c r="M37" s="189">
        <v>0</v>
      </c>
      <c r="N37" s="190"/>
      <c r="O37" s="189">
        <v>0</v>
      </c>
      <c r="P37" s="189"/>
      <c r="Q37" s="189">
        <v>0</v>
      </c>
      <c r="R37" s="190"/>
      <c r="S37" s="189">
        <v>0</v>
      </c>
      <c r="T37" s="190"/>
      <c r="U37" s="189">
        <v>0</v>
      </c>
      <c r="V37" s="190"/>
      <c r="W37" s="189">
        <v>0</v>
      </c>
      <c r="X37" s="190"/>
      <c r="Y37" s="189">
        <v>0</v>
      </c>
      <c r="Z37" s="191"/>
      <c r="AB37" s="199">
        <f>SUM(C37:Y37)</f>
        <v>0</v>
      </c>
    </row>
    <row r="38" spans="1:41">
      <c r="A38" s="187" t="s">
        <v>212</v>
      </c>
      <c r="B38" s="188"/>
      <c r="C38" s="196">
        <v>0</v>
      </c>
      <c r="D38" s="190"/>
      <c r="E38" s="196">
        <v>0</v>
      </c>
      <c r="F38" s="190"/>
      <c r="G38" s="196">
        <v>0</v>
      </c>
      <c r="H38" s="190"/>
      <c r="I38" s="196">
        <v>0</v>
      </c>
      <c r="J38" s="190"/>
      <c r="K38" s="196">
        <v>0</v>
      </c>
      <c r="L38" s="190"/>
      <c r="M38" s="196">
        <v>0</v>
      </c>
      <c r="N38" s="190"/>
      <c r="O38" s="196">
        <v>0</v>
      </c>
      <c r="P38" s="190"/>
      <c r="Q38" s="196">
        <v>0</v>
      </c>
      <c r="R38" s="190"/>
      <c r="S38" s="196">
        <v>0</v>
      </c>
      <c r="T38" s="190"/>
      <c r="U38" s="196">
        <v>0</v>
      </c>
      <c r="V38" s="190"/>
      <c r="W38" s="196">
        <v>0</v>
      </c>
      <c r="X38" s="190"/>
      <c r="Y38" s="196">
        <v>0</v>
      </c>
      <c r="Z38" s="191"/>
      <c r="AB38" s="204">
        <f>SUM(C38:Y38)</f>
        <v>0</v>
      </c>
    </row>
    <row r="39" spans="1:41">
      <c r="A39" s="187" t="s">
        <v>213</v>
      </c>
      <c r="B39" s="188"/>
      <c r="C39" s="198">
        <f>SUM(C35:C38)+C33</f>
        <v>5878736.1399999997</v>
      </c>
      <c r="D39" s="190"/>
      <c r="E39" s="198">
        <f>SUM(E35:E38)+E33</f>
        <v>0</v>
      </c>
      <c r="F39" s="190"/>
      <c r="G39" s="198">
        <f>SUM(G35:G38)+G33</f>
        <v>0</v>
      </c>
      <c r="H39" s="190"/>
      <c r="I39" s="198">
        <f>SUM(I35:I38)+I33</f>
        <v>0</v>
      </c>
      <c r="J39" s="190"/>
      <c r="K39" s="198">
        <f>SUM(K35:K38)+K33</f>
        <v>0</v>
      </c>
      <c r="L39" s="190"/>
      <c r="M39" s="198">
        <f>SUM(M35:M38)+M33</f>
        <v>0</v>
      </c>
      <c r="N39" s="190"/>
      <c r="O39" s="198">
        <f>SUM(O35:O38)+O33</f>
        <v>0</v>
      </c>
      <c r="P39" s="190"/>
      <c r="Q39" s="198">
        <f>SUM(Q35:Q38)+Q33</f>
        <v>0</v>
      </c>
      <c r="R39" s="190"/>
      <c r="S39" s="198">
        <f>SUM(S35:S38)+S33</f>
        <v>0</v>
      </c>
      <c r="T39" s="190"/>
      <c r="U39" s="198">
        <f>SUM(U35:U38)+U33</f>
        <v>0</v>
      </c>
      <c r="V39" s="190"/>
      <c r="W39" s="198">
        <f>SUM(W35:W38)+W33</f>
        <v>0</v>
      </c>
      <c r="X39" s="190"/>
      <c r="Y39" s="198">
        <f>SUM(Y35:Y38)+Y33</f>
        <v>0</v>
      </c>
      <c r="Z39" s="209"/>
      <c r="AB39" s="189">
        <f>SUM(C39:Y39)</f>
        <v>5878736.1399999997</v>
      </c>
      <c r="AC39" s="212"/>
      <c r="AD39" s="212"/>
      <c r="AE39" s="212"/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</row>
    <row r="40" spans="1:41">
      <c r="B40" s="188"/>
      <c r="D40" s="190"/>
      <c r="E40" s="200"/>
      <c r="F40" s="190"/>
      <c r="G40" s="200"/>
      <c r="H40" s="190"/>
      <c r="I40" s="200"/>
      <c r="J40" s="190"/>
      <c r="K40" s="200"/>
      <c r="L40" s="190"/>
      <c r="M40" s="200"/>
      <c r="N40" s="190"/>
      <c r="O40" s="200"/>
      <c r="P40" s="190"/>
      <c r="Q40" s="200"/>
      <c r="R40" s="190"/>
      <c r="S40" s="200"/>
      <c r="T40" s="190"/>
      <c r="U40" s="200"/>
      <c r="V40" s="190"/>
      <c r="W40" s="200"/>
      <c r="X40" s="190"/>
      <c r="Y40" s="200"/>
      <c r="Z40" s="209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2"/>
      <c r="AN40" s="212"/>
      <c r="AO40" s="212"/>
    </row>
    <row r="41" spans="1:41">
      <c r="A41" s="187" t="s">
        <v>214</v>
      </c>
      <c r="B41" s="188"/>
      <c r="C41" s="198">
        <f>+C25-C39</f>
        <v>2367164.1399999997</v>
      </c>
      <c r="D41" s="190"/>
      <c r="E41" s="198">
        <f>+E25-E39</f>
        <v>0</v>
      </c>
      <c r="F41" s="190"/>
      <c r="G41" s="198">
        <f>+G25-G39</f>
        <v>0</v>
      </c>
      <c r="H41" s="190"/>
      <c r="I41" s="198">
        <f>+I25-I39</f>
        <v>0</v>
      </c>
      <c r="J41" s="190"/>
      <c r="K41" s="198">
        <f>+K25-K39</f>
        <v>0</v>
      </c>
      <c r="L41" s="190"/>
      <c r="M41" s="198">
        <f>+M25-M39</f>
        <v>0</v>
      </c>
      <c r="N41" s="190"/>
      <c r="O41" s="198">
        <f>+O25-O39</f>
        <v>0</v>
      </c>
      <c r="P41" s="190"/>
      <c r="Q41" s="198">
        <f>+Q25-Q39</f>
        <v>0</v>
      </c>
      <c r="R41" s="190"/>
      <c r="S41" s="198">
        <f>+S25-S39</f>
        <v>0</v>
      </c>
      <c r="T41" s="190"/>
      <c r="U41" s="189">
        <f>+U25-U39</f>
        <v>0</v>
      </c>
      <c r="V41" s="190"/>
      <c r="W41" s="189">
        <f>+W25-W39</f>
        <v>0</v>
      </c>
      <c r="Y41" s="189">
        <f>+Y25-Y39</f>
        <v>0</v>
      </c>
      <c r="AB41" s="189">
        <f>SUM(C41:Y41)</f>
        <v>2367164.1399999997</v>
      </c>
    </row>
    <row r="42" spans="1:41" ht="13.5" thickBot="1">
      <c r="B42" s="188"/>
      <c r="D42" s="190"/>
      <c r="F42" s="190"/>
      <c r="H42" s="190"/>
      <c r="J42" s="190"/>
      <c r="L42" s="190"/>
      <c r="N42" s="190"/>
      <c r="P42" s="190"/>
      <c r="R42" s="190"/>
      <c r="T42" s="190"/>
      <c r="V42" s="190"/>
      <c r="X42" s="190"/>
      <c r="Z42" s="191"/>
    </row>
    <row r="43" spans="1:41" ht="13.5" thickBot="1">
      <c r="A43" s="213" t="s">
        <v>215</v>
      </c>
      <c r="B43" s="177"/>
      <c r="C43" s="214">
        <f>+C7+C41</f>
        <v>17659566.719999991</v>
      </c>
      <c r="D43" s="179"/>
      <c r="E43" s="214">
        <f>+E7+E41</f>
        <v>0</v>
      </c>
      <c r="F43" s="179"/>
      <c r="G43" s="214">
        <f>+G7+G41</f>
        <v>0</v>
      </c>
      <c r="H43" s="179"/>
      <c r="I43" s="214">
        <f>+I7+I41</f>
        <v>0</v>
      </c>
      <c r="J43" s="179"/>
      <c r="K43" s="214">
        <f>+K7+K41</f>
        <v>0</v>
      </c>
      <c r="L43" s="179"/>
      <c r="M43" s="214">
        <f>+M7+M41</f>
        <v>0</v>
      </c>
      <c r="N43" s="179"/>
      <c r="O43" s="214">
        <f>+O7+O41</f>
        <v>0</v>
      </c>
      <c r="P43" s="179"/>
      <c r="Q43" s="214">
        <f>+Q7+Q41</f>
        <v>0</v>
      </c>
      <c r="R43" s="179"/>
      <c r="S43" s="214">
        <f>+S7+S41</f>
        <v>0</v>
      </c>
      <c r="T43" s="179"/>
      <c r="U43" s="214">
        <f>+U7+U41</f>
        <v>0</v>
      </c>
      <c r="V43" s="179"/>
      <c r="W43" s="214">
        <f>+W7+W41</f>
        <v>0</v>
      </c>
      <c r="X43" s="215"/>
      <c r="Y43" s="214">
        <f>+Y7+Y41</f>
        <v>0</v>
      </c>
      <c r="Z43" s="216"/>
      <c r="AA43" s="215"/>
      <c r="AB43" s="214">
        <f>+AB7+AB41</f>
        <v>17659566.719999991</v>
      </c>
    </row>
    <row r="44" spans="1:41">
      <c r="B44" s="188"/>
      <c r="C44" s="217"/>
      <c r="D44" s="190"/>
      <c r="F44" s="190"/>
      <c r="H44" s="190"/>
      <c r="J44" s="190"/>
      <c r="L44" s="190"/>
      <c r="N44" s="190"/>
      <c r="P44" s="190"/>
      <c r="R44" s="190"/>
      <c r="T44" s="190"/>
      <c r="V44" s="190"/>
      <c r="X44" s="190"/>
      <c r="Z44" s="191"/>
    </row>
    <row r="45" spans="1:41">
      <c r="B45" s="188"/>
      <c r="C45" s="217"/>
      <c r="D45" s="190"/>
      <c r="F45" s="190"/>
      <c r="H45" s="190"/>
      <c r="J45" s="190"/>
      <c r="L45" s="190"/>
      <c r="N45" s="190"/>
      <c r="P45" s="190"/>
      <c r="R45" s="190"/>
      <c r="T45" s="190"/>
      <c r="V45" s="190"/>
      <c r="X45" s="190"/>
      <c r="Z45" s="191"/>
    </row>
    <row r="46" spans="1:41">
      <c r="A46" s="203" t="s">
        <v>216</v>
      </c>
      <c r="B46" s="188"/>
      <c r="C46" s="189">
        <v>12161189.85</v>
      </c>
      <c r="D46" s="190"/>
      <c r="E46" s="189">
        <v>0</v>
      </c>
      <c r="F46" s="190"/>
      <c r="G46" s="189">
        <v>0</v>
      </c>
      <c r="H46" s="190"/>
      <c r="I46" s="189">
        <v>0</v>
      </c>
      <c r="J46" s="190"/>
      <c r="K46" s="189">
        <v>0</v>
      </c>
      <c r="L46" s="190"/>
      <c r="M46" s="189">
        <v>0</v>
      </c>
      <c r="N46" s="190"/>
      <c r="O46" s="189">
        <v>0</v>
      </c>
      <c r="P46" s="190"/>
      <c r="Q46" s="189">
        <v>0</v>
      </c>
      <c r="R46" s="190"/>
      <c r="S46" s="189">
        <v>0</v>
      </c>
      <c r="T46" s="190"/>
      <c r="U46" s="189">
        <v>0</v>
      </c>
      <c r="V46" s="190"/>
      <c r="W46" s="189">
        <v>0</v>
      </c>
      <c r="X46" s="190"/>
      <c r="Y46" s="189">
        <v>0</v>
      </c>
      <c r="Z46" s="191"/>
      <c r="AB46" s="199">
        <f>+C46</f>
        <v>12161189.85</v>
      </c>
    </row>
    <row r="47" spans="1:41">
      <c r="A47" s="203" t="s">
        <v>217</v>
      </c>
      <c r="B47" s="188"/>
      <c r="C47" s="189">
        <v>1378761.59</v>
      </c>
      <c r="D47" s="190"/>
      <c r="E47" s="189">
        <v>0</v>
      </c>
      <c r="F47" s="190"/>
      <c r="G47" s="189">
        <v>0</v>
      </c>
      <c r="H47" s="190"/>
      <c r="I47" s="189">
        <v>0</v>
      </c>
      <c r="J47" s="190"/>
      <c r="K47" s="189">
        <v>0</v>
      </c>
      <c r="L47" s="190"/>
      <c r="M47" s="189">
        <v>0</v>
      </c>
      <c r="N47" s="190"/>
      <c r="O47" s="189">
        <v>0</v>
      </c>
      <c r="P47" s="190"/>
      <c r="Q47" s="189">
        <v>0</v>
      </c>
      <c r="R47" s="190"/>
      <c r="S47" s="189">
        <v>0</v>
      </c>
      <c r="T47" s="190"/>
      <c r="U47" s="189">
        <v>0</v>
      </c>
      <c r="V47" s="190"/>
      <c r="W47" s="189">
        <v>0</v>
      </c>
      <c r="X47" s="190"/>
      <c r="Y47" s="189">
        <v>0</v>
      </c>
      <c r="Z47" s="191"/>
      <c r="AB47" s="199">
        <f>+C47</f>
        <v>1378761.59</v>
      </c>
    </row>
    <row r="48" spans="1:41">
      <c r="A48" s="203" t="s">
        <v>218</v>
      </c>
      <c r="B48" s="188"/>
      <c r="C48" s="189">
        <v>4444599.3899999997</v>
      </c>
      <c r="D48" s="190"/>
      <c r="E48" s="189">
        <v>0</v>
      </c>
      <c r="F48" s="190"/>
      <c r="G48" s="189">
        <v>0</v>
      </c>
      <c r="H48" s="190"/>
      <c r="I48" s="189">
        <v>0</v>
      </c>
      <c r="J48" s="190"/>
      <c r="K48" s="189">
        <v>0</v>
      </c>
      <c r="L48" s="190"/>
      <c r="M48" s="189">
        <v>0</v>
      </c>
      <c r="N48" s="190"/>
      <c r="O48" s="189">
        <v>0</v>
      </c>
      <c r="P48" s="190"/>
      <c r="Q48" s="189">
        <v>0</v>
      </c>
      <c r="R48" s="190"/>
      <c r="S48" s="189">
        <v>0</v>
      </c>
      <c r="T48" s="190"/>
      <c r="U48" s="189">
        <v>0</v>
      </c>
      <c r="V48" s="190"/>
      <c r="W48" s="189">
        <v>0</v>
      </c>
      <c r="X48" s="190"/>
      <c r="Y48" s="189">
        <v>0</v>
      </c>
      <c r="Z48" s="191"/>
      <c r="AB48" s="199">
        <f>+C48</f>
        <v>4444599.3899999997</v>
      </c>
    </row>
    <row r="49" spans="1:28">
      <c r="A49" s="203" t="s">
        <v>219</v>
      </c>
      <c r="B49" s="188"/>
      <c r="C49" s="189">
        <v>1200.1099999999999</v>
      </c>
      <c r="D49" s="190"/>
      <c r="E49" s="189">
        <v>0</v>
      </c>
      <c r="F49" s="190"/>
      <c r="G49" s="189">
        <v>0</v>
      </c>
      <c r="H49" s="190"/>
      <c r="I49" s="189">
        <v>0</v>
      </c>
      <c r="J49" s="190"/>
      <c r="K49" s="189">
        <v>0</v>
      </c>
      <c r="L49" s="190"/>
      <c r="M49" s="189">
        <v>0</v>
      </c>
      <c r="N49" s="190"/>
      <c r="O49" s="189">
        <v>0</v>
      </c>
      <c r="P49" s="190"/>
      <c r="Q49" s="189">
        <v>0</v>
      </c>
      <c r="R49" s="190"/>
      <c r="S49" s="189">
        <v>0</v>
      </c>
      <c r="T49" s="190"/>
      <c r="U49" s="189">
        <v>0</v>
      </c>
      <c r="V49" s="190"/>
      <c r="W49" s="189">
        <v>0</v>
      </c>
      <c r="X49" s="190"/>
      <c r="Y49" s="189">
        <v>0</v>
      </c>
      <c r="Z49" s="191"/>
      <c r="AB49" s="199">
        <f>SUM(C49:AA49)</f>
        <v>1200.1099999999999</v>
      </c>
    </row>
    <row r="50" spans="1:28">
      <c r="A50" s="203" t="s">
        <v>220</v>
      </c>
      <c r="B50" s="188"/>
      <c r="C50" s="189">
        <v>35.950000000000003</v>
      </c>
      <c r="D50" s="190"/>
      <c r="E50" s="189">
        <v>0</v>
      </c>
      <c r="F50" s="190"/>
      <c r="G50" s="189">
        <v>0</v>
      </c>
      <c r="H50" s="190"/>
      <c r="I50" s="189">
        <v>0</v>
      </c>
      <c r="J50" s="190"/>
      <c r="K50" s="189">
        <v>0</v>
      </c>
      <c r="L50" s="190"/>
      <c r="M50" s="189">
        <v>0</v>
      </c>
      <c r="N50" s="190"/>
      <c r="O50" s="189">
        <v>0</v>
      </c>
      <c r="P50" s="190"/>
      <c r="Q50" s="189">
        <v>0</v>
      </c>
      <c r="R50" s="190"/>
      <c r="S50" s="189">
        <v>0</v>
      </c>
      <c r="T50" s="190"/>
      <c r="U50" s="189">
        <v>0</v>
      </c>
      <c r="V50" s="190"/>
      <c r="W50" s="189">
        <v>0</v>
      </c>
      <c r="X50" s="190"/>
      <c r="Y50" s="189">
        <v>0</v>
      </c>
      <c r="Z50" s="191"/>
      <c r="AB50" s="199">
        <f>SUM(C50:AA50)</f>
        <v>35.950000000000003</v>
      </c>
    </row>
    <row r="51" spans="1:28">
      <c r="A51" s="203" t="s">
        <v>221</v>
      </c>
      <c r="B51" s="188"/>
      <c r="C51" s="189">
        <v>196.38</v>
      </c>
      <c r="D51" s="190"/>
      <c r="E51" s="189">
        <v>0</v>
      </c>
      <c r="F51" s="190"/>
      <c r="G51" s="189">
        <v>0</v>
      </c>
      <c r="H51" s="190"/>
      <c r="I51" s="189">
        <v>0</v>
      </c>
      <c r="J51" s="190"/>
      <c r="K51" s="189">
        <v>0</v>
      </c>
      <c r="L51" s="190"/>
      <c r="M51" s="189">
        <v>0</v>
      </c>
      <c r="N51" s="190"/>
      <c r="O51" s="189">
        <v>0</v>
      </c>
      <c r="P51" s="190"/>
      <c r="Q51" s="189">
        <v>0</v>
      </c>
      <c r="R51" s="190"/>
      <c r="S51" s="189">
        <v>0</v>
      </c>
      <c r="T51" s="190"/>
      <c r="U51" s="189">
        <v>0</v>
      </c>
      <c r="V51" s="190"/>
      <c r="W51" s="189">
        <v>0</v>
      </c>
      <c r="X51" s="190"/>
      <c r="Y51" s="189">
        <v>0</v>
      </c>
      <c r="Z51" s="191"/>
      <c r="AB51" s="199">
        <f>SUM(C51:AA51)</f>
        <v>196.38</v>
      </c>
    </row>
    <row r="52" spans="1:28">
      <c r="A52" s="187" t="s">
        <v>222</v>
      </c>
      <c r="C52" s="189">
        <v>-2635963.4300000002</v>
      </c>
      <c r="E52" s="189">
        <v>0</v>
      </c>
      <c r="G52" s="189">
        <v>0</v>
      </c>
      <c r="I52" s="189">
        <v>0</v>
      </c>
      <c r="K52" s="189">
        <v>0</v>
      </c>
      <c r="M52" s="189">
        <v>0</v>
      </c>
      <c r="O52" s="189">
        <v>0</v>
      </c>
      <c r="Q52" s="189">
        <v>0</v>
      </c>
      <c r="S52" s="189">
        <v>0</v>
      </c>
      <c r="U52" s="189">
        <v>0</v>
      </c>
      <c r="W52" s="189">
        <v>0</v>
      </c>
      <c r="Y52" s="189">
        <v>0</v>
      </c>
      <c r="AB52" s="199">
        <f>SUM(C52:AA52)</f>
        <v>-2635963.4300000002</v>
      </c>
    </row>
    <row r="53" spans="1:28">
      <c r="A53" s="187" t="s">
        <v>223</v>
      </c>
      <c r="B53" s="188"/>
      <c r="C53" s="196">
        <v>0</v>
      </c>
      <c r="D53" s="190"/>
      <c r="E53" s="196">
        <v>0</v>
      </c>
      <c r="F53" s="190"/>
      <c r="G53" s="196">
        <v>0</v>
      </c>
      <c r="H53" s="190"/>
      <c r="I53" s="196">
        <v>0</v>
      </c>
      <c r="J53" s="190"/>
      <c r="K53" s="196">
        <v>0</v>
      </c>
      <c r="L53" s="190"/>
      <c r="M53" s="196">
        <v>0</v>
      </c>
      <c r="N53" s="190"/>
      <c r="O53" s="196">
        <v>0</v>
      </c>
      <c r="P53" s="190"/>
      <c r="Q53" s="196">
        <v>0</v>
      </c>
      <c r="R53" s="190"/>
      <c r="S53" s="196">
        <v>0</v>
      </c>
      <c r="T53" s="190"/>
      <c r="U53" s="196">
        <v>0</v>
      </c>
      <c r="V53" s="190"/>
      <c r="W53" s="196">
        <v>0</v>
      </c>
      <c r="X53" s="190"/>
      <c r="Y53" s="196">
        <v>0</v>
      </c>
      <c r="Z53" s="191"/>
      <c r="AB53" s="204">
        <f>SUM(C53:AA53)</f>
        <v>0</v>
      </c>
    </row>
    <row r="54" spans="1:28">
      <c r="A54" s="213" t="s">
        <v>224</v>
      </c>
      <c r="B54" s="177"/>
      <c r="C54" s="198">
        <f>SUM(C46:C53)</f>
        <v>15350019.839999996</v>
      </c>
      <c r="D54" s="179"/>
      <c r="E54" s="198">
        <f>SUM(E46:E53)</f>
        <v>0</v>
      </c>
      <c r="F54" s="179"/>
      <c r="G54" s="198">
        <f>SUM(G46:G53)</f>
        <v>0</v>
      </c>
      <c r="H54" s="179"/>
      <c r="I54" s="198">
        <f>SUM(I46:I53)</f>
        <v>0</v>
      </c>
      <c r="J54" s="179"/>
      <c r="K54" s="198">
        <f>SUM(K46:K53)</f>
        <v>0</v>
      </c>
      <c r="L54" s="179"/>
      <c r="M54" s="198">
        <f>SUM(M46:M53)</f>
        <v>0</v>
      </c>
      <c r="N54" s="179"/>
      <c r="O54" s="198">
        <f>SUM(O46:O53)</f>
        <v>0</v>
      </c>
      <c r="P54" s="179"/>
      <c r="Q54" s="198">
        <f>SUM(Q46:Q53)</f>
        <v>0</v>
      </c>
      <c r="R54" s="179"/>
      <c r="S54" s="198">
        <f>SUM(S46:S53)</f>
        <v>0</v>
      </c>
      <c r="T54" s="179"/>
      <c r="U54" s="198">
        <f>SUM(U46:U53)</f>
        <v>0</v>
      </c>
      <c r="V54" s="179"/>
      <c r="W54" s="198">
        <f>SUM(W46:W53)</f>
        <v>0</v>
      </c>
      <c r="X54" s="179"/>
      <c r="Y54" s="198">
        <f>SUM(Y46:Y53)</f>
        <v>0</v>
      </c>
      <c r="Z54" s="179"/>
      <c r="AB54" s="189">
        <f>SUM(AB46:AB53)</f>
        <v>15350019.839999996</v>
      </c>
    </row>
    <row r="55" spans="1:28" ht="13.5" thickBot="1">
      <c r="B55" s="188"/>
      <c r="D55" s="190"/>
      <c r="F55" s="190"/>
      <c r="H55" s="190"/>
      <c r="J55" s="190"/>
      <c r="L55" s="190"/>
      <c r="N55" s="190"/>
      <c r="P55" s="190"/>
      <c r="R55" s="190"/>
      <c r="T55" s="190"/>
      <c r="V55" s="190"/>
      <c r="X55" s="190"/>
      <c r="Z55" s="190"/>
    </row>
    <row r="56" spans="1:28" ht="13.5" thickBot="1">
      <c r="A56" s="185" t="s">
        <v>225</v>
      </c>
      <c r="B56" s="177"/>
      <c r="C56" s="214">
        <f>+C43+C54</f>
        <v>33009586.559999987</v>
      </c>
      <c r="D56" s="179"/>
      <c r="E56" s="214">
        <f>+E43+E54</f>
        <v>0</v>
      </c>
      <c r="F56" s="179"/>
      <c r="G56" s="214">
        <f>+G43+G54</f>
        <v>0</v>
      </c>
      <c r="H56" s="179"/>
      <c r="I56" s="214">
        <f>+I43+I54</f>
        <v>0</v>
      </c>
      <c r="J56" s="179"/>
      <c r="K56" s="214">
        <f>+K43+K54</f>
        <v>0</v>
      </c>
      <c r="L56" s="179"/>
      <c r="M56" s="214">
        <f>+M43+M54</f>
        <v>0</v>
      </c>
      <c r="N56" s="179"/>
      <c r="O56" s="214">
        <f>+O43+O54</f>
        <v>0</v>
      </c>
      <c r="P56" s="179"/>
      <c r="Q56" s="214">
        <f>+Q43+Q54</f>
        <v>0</v>
      </c>
      <c r="R56" s="179"/>
      <c r="S56" s="214">
        <f>+S43+S54</f>
        <v>0</v>
      </c>
      <c r="T56" s="179"/>
      <c r="U56" s="214">
        <f>+U43+U54</f>
        <v>0</v>
      </c>
      <c r="V56" s="179"/>
      <c r="W56" s="214">
        <f>+W43+W54</f>
        <v>0</v>
      </c>
      <c r="X56" s="215"/>
      <c r="Y56" s="214">
        <f>+Y43+Y54</f>
        <v>0</v>
      </c>
      <c r="Z56" s="216"/>
      <c r="AA56" s="215"/>
      <c r="AB56" s="214">
        <f>+AB43+AB54</f>
        <v>33009586.559999987</v>
      </c>
    </row>
    <row r="57" spans="1:28">
      <c r="B57" s="188"/>
      <c r="D57" s="190"/>
      <c r="F57" s="190"/>
      <c r="H57" s="190"/>
      <c r="J57" s="190"/>
      <c r="L57" s="190"/>
      <c r="N57" s="190"/>
      <c r="P57" s="190"/>
      <c r="R57" s="190"/>
      <c r="T57" s="190"/>
      <c r="V57" s="190"/>
      <c r="X57" s="190"/>
      <c r="Z57" s="191"/>
    </row>
    <row r="58" spans="1:28">
      <c r="B58" s="188"/>
      <c r="D58" s="190"/>
      <c r="F58" s="190"/>
      <c r="H58" s="190"/>
      <c r="J58" s="190"/>
      <c r="L58" s="190"/>
      <c r="N58" s="190"/>
      <c r="P58" s="190"/>
      <c r="R58" s="190"/>
      <c r="T58" s="190"/>
      <c r="V58" s="190"/>
      <c r="X58" s="190"/>
      <c r="Z58" s="191"/>
    </row>
    <row r="59" spans="1:28">
      <c r="B59" s="188"/>
      <c r="D59" s="190"/>
      <c r="F59" s="190"/>
      <c r="H59" s="190"/>
      <c r="J59" s="190"/>
      <c r="L59" s="190"/>
      <c r="N59" s="190"/>
      <c r="P59" s="190"/>
      <c r="R59" s="190"/>
      <c r="T59" s="190"/>
      <c r="V59" s="190"/>
      <c r="X59" s="190"/>
      <c r="Z59" s="191"/>
    </row>
    <row r="60" spans="1:28">
      <c r="B60" s="188"/>
      <c r="D60" s="190"/>
      <c r="F60" s="190"/>
      <c r="H60" s="190"/>
      <c r="J60" s="190"/>
      <c r="L60" s="190"/>
      <c r="N60" s="190"/>
      <c r="P60" s="190"/>
      <c r="R60" s="190"/>
      <c r="T60" s="190"/>
      <c r="V60" s="190"/>
      <c r="X60" s="190"/>
      <c r="Z60" s="191"/>
    </row>
    <row r="61" spans="1:28">
      <c r="B61" s="188"/>
      <c r="D61" s="190"/>
      <c r="F61" s="190"/>
      <c r="H61" s="190"/>
      <c r="J61" s="190"/>
      <c r="L61" s="190"/>
      <c r="N61" s="190"/>
      <c r="P61" s="190"/>
      <c r="R61" s="190"/>
      <c r="T61" s="190"/>
      <c r="V61" s="190"/>
      <c r="X61" s="190"/>
      <c r="Z61" s="191"/>
    </row>
    <row r="62" spans="1:28">
      <c r="B62" s="188"/>
      <c r="D62" s="190"/>
      <c r="F62" s="190"/>
      <c r="H62" s="190"/>
      <c r="J62" s="190"/>
      <c r="L62" s="190"/>
      <c r="N62" s="190"/>
      <c r="P62" s="190"/>
      <c r="R62" s="190"/>
      <c r="T62" s="190"/>
      <c r="V62" s="190"/>
      <c r="X62" s="190"/>
      <c r="Z62" s="191"/>
    </row>
    <row r="63" spans="1:28">
      <c r="B63" s="188"/>
      <c r="D63" s="190"/>
      <c r="F63" s="190"/>
      <c r="H63" s="190"/>
      <c r="J63" s="190"/>
      <c r="L63" s="190"/>
      <c r="N63" s="190"/>
      <c r="P63" s="190"/>
      <c r="R63" s="190"/>
      <c r="T63" s="190"/>
      <c r="V63" s="190"/>
      <c r="X63" s="190"/>
      <c r="Z63" s="191"/>
    </row>
    <row r="64" spans="1:28">
      <c r="B64" s="188"/>
      <c r="D64" s="190"/>
      <c r="F64" s="190"/>
      <c r="H64" s="190"/>
      <c r="J64" s="190"/>
      <c r="L64" s="190"/>
      <c r="N64" s="190"/>
      <c r="P64" s="190"/>
      <c r="R64" s="190"/>
      <c r="T64" s="190"/>
      <c r="V64" s="190"/>
      <c r="X64" s="190"/>
      <c r="Z64" s="191"/>
    </row>
  </sheetData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32" sqref="C32"/>
    </sheetView>
  </sheetViews>
  <sheetFormatPr defaultColWidth="9.140625" defaultRowHeight="12.75"/>
  <cols>
    <col min="1" max="1" width="33" style="187" customWidth="1"/>
    <col min="2" max="2" width="1.7109375" style="187" customWidth="1"/>
    <col min="3" max="3" width="13.7109375" style="189" customWidth="1"/>
    <col min="4" max="4" width="0.85546875" style="192" customWidth="1"/>
    <col min="5" max="5" width="13.7109375" style="189" customWidth="1"/>
    <col min="6" max="6" width="0.85546875" style="192" customWidth="1"/>
    <col min="7" max="7" width="13.7109375" style="189" customWidth="1"/>
    <col min="8" max="8" width="0.85546875" style="192" customWidth="1"/>
    <col min="9" max="9" width="13.7109375" style="189" customWidth="1"/>
    <col min="10" max="10" width="0.85546875" style="192" customWidth="1"/>
    <col min="11" max="11" width="14.7109375" style="189" customWidth="1"/>
    <col min="12" max="12" width="0.85546875" style="192" customWidth="1"/>
    <col min="13" max="13" width="15" style="189" customWidth="1"/>
    <col min="14" max="14" width="0.85546875" style="192" customWidth="1"/>
    <col min="15" max="15" width="14.28515625" style="189" customWidth="1"/>
    <col min="16" max="16" width="0.85546875" style="192" customWidth="1"/>
    <col min="17" max="17" width="15" style="189" customWidth="1"/>
    <col min="18" max="18" width="0.85546875" style="192" customWidth="1"/>
    <col min="19" max="19" width="14.42578125" style="189" customWidth="1"/>
    <col min="20" max="20" width="0.85546875" style="192" customWidth="1"/>
    <col min="21" max="21" width="14.85546875" style="189" customWidth="1"/>
    <col min="22" max="22" width="0.85546875" style="192" customWidth="1"/>
    <col min="23" max="23" width="13.7109375" style="189" customWidth="1"/>
    <col min="24" max="24" width="0.85546875" style="192" customWidth="1"/>
    <col min="25" max="25" width="13.7109375" style="189" customWidth="1"/>
    <col min="26" max="26" width="0.140625" style="189" hidden="1" customWidth="1"/>
    <col min="27" max="27" width="0.85546875" style="192" customWidth="1"/>
    <col min="28" max="28" width="14.7109375" style="189" customWidth="1"/>
    <col min="29" max="16384" width="9.140625" style="187"/>
  </cols>
  <sheetData>
    <row r="1" spans="1:28" s="185" customFormat="1" ht="15.75">
      <c r="A1" s="176"/>
      <c r="B1" s="177"/>
      <c r="C1" s="178"/>
      <c r="D1" s="179"/>
      <c r="E1" s="178"/>
      <c r="F1" s="179"/>
      <c r="G1" s="178"/>
      <c r="H1" s="179"/>
      <c r="I1" s="178"/>
      <c r="J1" s="180"/>
      <c r="K1" s="181"/>
      <c r="L1" s="180"/>
      <c r="M1" s="182" t="s">
        <v>52</v>
      </c>
      <c r="N1" s="179"/>
      <c r="O1" s="178"/>
      <c r="P1" s="179"/>
      <c r="Q1" s="178"/>
      <c r="R1" s="179"/>
      <c r="S1" s="178"/>
      <c r="T1" s="179"/>
      <c r="U1" s="178"/>
      <c r="V1" s="179"/>
      <c r="W1" s="178"/>
      <c r="X1" s="179"/>
      <c r="Y1" s="178"/>
      <c r="Z1" s="183"/>
      <c r="AA1" s="184"/>
      <c r="AB1" s="178"/>
    </row>
    <row r="2" spans="1:28" s="185" customFormat="1" ht="15.75">
      <c r="B2" s="177"/>
      <c r="C2" s="178"/>
      <c r="D2" s="179"/>
      <c r="E2" s="178"/>
      <c r="F2" s="179"/>
      <c r="G2" s="178"/>
      <c r="H2" s="179"/>
      <c r="I2" s="178"/>
      <c r="J2" s="180"/>
      <c r="K2" s="181"/>
      <c r="L2" s="180"/>
      <c r="M2" s="182" t="s">
        <v>226</v>
      </c>
      <c r="N2" s="179"/>
      <c r="O2" s="178"/>
      <c r="P2" s="179"/>
      <c r="Q2" s="178"/>
      <c r="R2" s="179"/>
      <c r="S2" s="178"/>
      <c r="T2" s="179"/>
      <c r="U2" s="178"/>
      <c r="V2" s="179"/>
      <c r="W2" s="178"/>
      <c r="X2" s="179"/>
      <c r="Y2" s="178"/>
      <c r="Z2" s="183"/>
      <c r="AA2" s="184"/>
      <c r="AB2" s="178"/>
    </row>
    <row r="3" spans="1:28" s="185" customFormat="1" ht="15.75">
      <c r="B3" s="177"/>
      <c r="C3" s="178"/>
      <c r="D3" s="179"/>
      <c r="E3" s="178"/>
      <c r="F3" s="179"/>
      <c r="G3" s="178"/>
      <c r="H3" s="179"/>
      <c r="I3" s="178"/>
      <c r="J3" s="180"/>
      <c r="K3" s="181"/>
      <c r="L3" s="180"/>
      <c r="M3" s="186" t="s">
        <v>170</v>
      </c>
      <c r="N3" s="179"/>
      <c r="O3" s="178"/>
      <c r="P3" s="179"/>
      <c r="Q3" s="178"/>
      <c r="R3" s="179"/>
      <c r="S3" s="178"/>
      <c r="T3" s="179"/>
      <c r="U3" s="178"/>
      <c r="V3" s="179"/>
      <c r="W3" s="178"/>
      <c r="X3" s="179"/>
      <c r="Y3" s="178"/>
      <c r="Z3" s="183"/>
      <c r="AA3" s="184"/>
      <c r="AB3" s="178"/>
    </row>
    <row r="4" spans="1:28">
      <c r="B4" s="188"/>
      <c r="D4" s="190"/>
      <c r="F4" s="190"/>
      <c r="H4" s="190"/>
      <c r="J4" s="190"/>
      <c r="L4" s="190"/>
      <c r="N4" s="190"/>
      <c r="P4" s="190"/>
      <c r="R4" s="190"/>
      <c r="T4" s="190"/>
      <c r="V4" s="190"/>
      <c r="X4" s="190"/>
      <c r="Z4" s="191"/>
    </row>
    <row r="5" spans="1:28">
      <c r="B5" s="188"/>
      <c r="C5" s="193" t="s">
        <v>171</v>
      </c>
      <c r="D5" s="190"/>
      <c r="E5" s="193" t="s">
        <v>172</v>
      </c>
      <c r="F5" s="190"/>
      <c r="G5" s="193" t="s">
        <v>173</v>
      </c>
      <c r="H5" s="190"/>
      <c r="I5" s="193" t="s">
        <v>174</v>
      </c>
      <c r="J5" s="190"/>
      <c r="K5" s="193" t="s">
        <v>175</v>
      </c>
      <c r="L5" s="190"/>
      <c r="M5" s="193" t="s">
        <v>176</v>
      </c>
      <c r="N5" s="190"/>
      <c r="O5" s="193" t="s">
        <v>177</v>
      </c>
      <c r="P5" s="190"/>
      <c r="Q5" s="193" t="s">
        <v>178</v>
      </c>
      <c r="R5" s="190"/>
      <c r="S5" s="193" t="s">
        <v>179</v>
      </c>
      <c r="T5" s="190"/>
      <c r="U5" s="193" t="s">
        <v>180</v>
      </c>
      <c r="V5" s="190"/>
      <c r="W5" s="193" t="s">
        <v>181</v>
      </c>
      <c r="X5" s="190"/>
      <c r="Y5" s="193" t="s">
        <v>182</v>
      </c>
      <c r="Z5" s="191"/>
      <c r="AA5" s="194"/>
      <c r="AB5" s="193" t="s">
        <v>119</v>
      </c>
    </row>
    <row r="6" spans="1:28">
      <c r="B6" s="188"/>
      <c r="C6" s="195" t="s">
        <v>183</v>
      </c>
      <c r="D6" s="190"/>
      <c r="E6" s="195" t="s">
        <v>183</v>
      </c>
      <c r="F6" s="190"/>
      <c r="G6" s="195" t="s">
        <v>183</v>
      </c>
      <c r="H6" s="190"/>
      <c r="I6" s="195" t="s">
        <v>183</v>
      </c>
      <c r="J6" s="190"/>
      <c r="K6" s="195" t="s">
        <v>183</v>
      </c>
      <c r="L6" s="190"/>
      <c r="M6" s="195" t="s">
        <v>183</v>
      </c>
      <c r="N6" s="190"/>
      <c r="O6" s="195" t="s">
        <v>183</v>
      </c>
      <c r="P6" s="190"/>
      <c r="Q6" s="195" t="s">
        <v>183</v>
      </c>
      <c r="R6" s="190"/>
      <c r="S6" s="195" t="s">
        <v>183</v>
      </c>
      <c r="T6" s="190"/>
      <c r="U6" s="195" t="s">
        <v>183</v>
      </c>
      <c r="V6" s="190"/>
      <c r="W6" s="195" t="s">
        <v>183</v>
      </c>
      <c r="X6" s="190"/>
      <c r="Y6" s="195" t="s">
        <v>183</v>
      </c>
      <c r="Z6" s="191"/>
      <c r="AB6" s="196"/>
    </row>
    <row r="7" spans="1:28">
      <c r="A7" s="197" t="s">
        <v>184</v>
      </c>
      <c r="B7" s="188"/>
      <c r="C7" s="198">
        <v>2471571.7200000002</v>
      </c>
      <c r="D7" s="190"/>
      <c r="E7" s="198"/>
      <c r="F7" s="190"/>
      <c r="G7" s="198">
        <f>+E27</f>
        <v>0</v>
      </c>
      <c r="H7" s="190"/>
      <c r="I7" s="198">
        <f>+G27</f>
        <v>0</v>
      </c>
      <c r="J7" s="190"/>
      <c r="K7" s="198">
        <f>+I27</f>
        <v>0</v>
      </c>
      <c r="L7" s="190"/>
      <c r="M7" s="198">
        <f>+K27</f>
        <v>0</v>
      </c>
      <c r="N7" s="190"/>
      <c r="O7" s="198">
        <f>+M27</f>
        <v>0</v>
      </c>
      <c r="P7" s="190"/>
      <c r="Q7" s="198">
        <f>+O27</f>
        <v>0</v>
      </c>
      <c r="R7" s="190"/>
      <c r="S7" s="198">
        <f>+Q27</f>
        <v>0</v>
      </c>
      <c r="T7" s="190"/>
      <c r="U7" s="198">
        <f>+S27</f>
        <v>0</v>
      </c>
      <c r="V7" s="190"/>
      <c r="W7" s="198">
        <f>+U27</f>
        <v>0</v>
      </c>
      <c r="X7" s="190"/>
      <c r="Y7" s="198">
        <f>+W27</f>
        <v>0</v>
      </c>
      <c r="Z7" s="191"/>
      <c r="AB7" s="199">
        <f>+C7</f>
        <v>2471571.7200000002</v>
      </c>
    </row>
    <row r="8" spans="1:28">
      <c r="B8" s="188"/>
      <c r="D8" s="190"/>
      <c r="F8" s="190"/>
      <c r="H8" s="190"/>
      <c r="J8" s="190"/>
      <c r="L8" s="190"/>
      <c r="N8" s="190"/>
      <c r="P8" s="190"/>
      <c r="R8" s="190"/>
      <c r="T8" s="190"/>
      <c r="V8" s="190"/>
      <c r="X8" s="190"/>
      <c r="Z8" s="191"/>
      <c r="AB8" s="199"/>
    </row>
    <row r="9" spans="1:28">
      <c r="A9" s="185" t="s">
        <v>185</v>
      </c>
      <c r="B9" s="177"/>
      <c r="D9" s="179"/>
      <c r="F9" s="179"/>
      <c r="H9" s="179"/>
      <c r="J9" s="179"/>
      <c r="L9" s="179"/>
      <c r="N9" s="179"/>
      <c r="P9" s="179"/>
      <c r="R9" s="179"/>
      <c r="T9" s="179"/>
      <c r="V9" s="179"/>
      <c r="X9" s="179"/>
      <c r="Z9" s="183"/>
      <c r="AB9" s="199"/>
    </row>
    <row r="10" spans="1:28">
      <c r="A10" s="187" t="s">
        <v>186</v>
      </c>
      <c r="B10" s="188"/>
      <c r="C10" s="189">
        <v>7142.78</v>
      </c>
      <c r="D10" s="190"/>
      <c r="E10" s="200">
        <v>0</v>
      </c>
      <c r="F10" s="190"/>
      <c r="G10" s="200">
        <v>0</v>
      </c>
      <c r="H10" s="190"/>
      <c r="I10" s="189">
        <v>0</v>
      </c>
      <c r="J10" s="190"/>
      <c r="K10" s="189">
        <v>0</v>
      </c>
      <c r="L10" s="190"/>
      <c r="M10" s="189">
        <v>0</v>
      </c>
      <c r="N10" s="190"/>
      <c r="O10" s="189">
        <v>0</v>
      </c>
      <c r="P10" s="190"/>
      <c r="Q10" s="189">
        <v>0</v>
      </c>
      <c r="R10" s="190"/>
      <c r="S10" s="189">
        <v>0</v>
      </c>
      <c r="T10" s="190"/>
      <c r="U10" s="189">
        <v>0</v>
      </c>
      <c r="V10" s="190"/>
      <c r="W10" s="189">
        <v>0</v>
      </c>
      <c r="X10" s="190"/>
      <c r="Y10" s="189">
        <v>0</v>
      </c>
      <c r="Z10" s="191"/>
      <c r="AB10" s="199">
        <f t="shared" ref="AB10:AB15" si="0">SUM(C10:Y10)</f>
        <v>7142.78</v>
      </c>
    </row>
    <row r="11" spans="1:28">
      <c r="A11" s="187" t="s">
        <v>187</v>
      </c>
      <c r="B11" s="188"/>
      <c r="C11" s="201">
        <v>813.34</v>
      </c>
      <c r="D11" s="190"/>
      <c r="E11" s="189">
        <v>0</v>
      </c>
      <c r="F11" s="190"/>
      <c r="G11" s="189">
        <v>0</v>
      </c>
      <c r="H11" s="190"/>
      <c r="I11" s="189">
        <v>0</v>
      </c>
      <c r="J11" s="190"/>
      <c r="K11" s="189">
        <v>0</v>
      </c>
      <c r="L11" s="190"/>
      <c r="M11" s="189">
        <v>0</v>
      </c>
      <c r="N11" s="190"/>
      <c r="O11" s="189">
        <v>0</v>
      </c>
      <c r="P11" s="190"/>
      <c r="Q11" s="189">
        <v>0</v>
      </c>
      <c r="R11" s="190"/>
      <c r="S11" s="189">
        <v>0</v>
      </c>
      <c r="T11" s="190"/>
      <c r="U11" s="189">
        <v>0</v>
      </c>
      <c r="V11" s="190"/>
      <c r="W11" s="189">
        <v>0</v>
      </c>
      <c r="X11" s="190"/>
      <c r="Y11" s="189">
        <v>0</v>
      </c>
      <c r="Z11" s="191"/>
      <c r="AB11" s="199">
        <f t="shared" si="0"/>
        <v>813.34</v>
      </c>
    </row>
    <row r="12" spans="1:28">
      <c r="A12" s="187" t="s">
        <v>227</v>
      </c>
      <c r="B12" s="188"/>
      <c r="C12" s="201">
        <v>0</v>
      </c>
      <c r="D12" s="190"/>
      <c r="E12" s="189">
        <v>0</v>
      </c>
      <c r="F12" s="190"/>
      <c r="G12" s="189">
        <v>0</v>
      </c>
      <c r="H12" s="190"/>
      <c r="I12" s="189">
        <v>0</v>
      </c>
      <c r="J12" s="190"/>
      <c r="K12" s="189">
        <v>0</v>
      </c>
      <c r="L12" s="190"/>
      <c r="M12" s="189">
        <v>0</v>
      </c>
      <c r="N12" s="190"/>
      <c r="O12" s="189">
        <v>0</v>
      </c>
      <c r="P12" s="190"/>
      <c r="Q12" s="189">
        <v>0</v>
      </c>
      <c r="R12" s="190"/>
      <c r="S12" s="189">
        <v>0</v>
      </c>
      <c r="T12" s="190"/>
      <c r="U12" s="189">
        <v>0</v>
      </c>
      <c r="V12" s="190"/>
      <c r="W12" s="189">
        <v>0</v>
      </c>
      <c r="X12" s="190"/>
      <c r="Y12" s="189">
        <v>0</v>
      </c>
      <c r="Z12" s="191"/>
      <c r="AB12" s="199">
        <f t="shared" si="0"/>
        <v>0</v>
      </c>
    </row>
    <row r="13" spans="1:28">
      <c r="A13" s="203" t="s">
        <v>228</v>
      </c>
      <c r="B13" s="188"/>
      <c r="C13" s="201">
        <v>0</v>
      </c>
      <c r="D13" s="190"/>
      <c r="E13" s="189">
        <v>0</v>
      </c>
      <c r="F13" s="190"/>
      <c r="G13" s="189">
        <v>0</v>
      </c>
      <c r="H13" s="190"/>
      <c r="I13" s="189">
        <v>0</v>
      </c>
      <c r="J13" s="190"/>
      <c r="K13" s="189">
        <v>0</v>
      </c>
      <c r="L13" s="190"/>
      <c r="M13" s="189">
        <v>0</v>
      </c>
      <c r="N13" s="190"/>
      <c r="O13" s="189">
        <v>0</v>
      </c>
      <c r="P13" s="190"/>
      <c r="Q13" s="189">
        <v>0</v>
      </c>
      <c r="R13" s="190"/>
      <c r="S13" s="189">
        <v>0</v>
      </c>
      <c r="T13" s="190"/>
      <c r="U13" s="189">
        <v>0</v>
      </c>
      <c r="V13" s="190"/>
      <c r="W13" s="189">
        <v>0</v>
      </c>
      <c r="X13" s="190"/>
      <c r="Y13" s="189">
        <v>0</v>
      </c>
      <c r="Z13" s="191"/>
      <c r="AB13" s="199">
        <f t="shared" si="0"/>
        <v>0</v>
      </c>
    </row>
    <row r="14" spans="1:28">
      <c r="A14" s="187" t="s">
        <v>200</v>
      </c>
      <c r="B14" s="188"/>
      <c r="C14" s="196">
        <v>0</v>
      </c>
      <c r="D14" s="190"/>
      <c r="E14" s="196">
        <v>0</v>
      </c>
      <c r="F14" s="190"/>
      <c r="G14" s="196">
        <v>0</v>
      </c>
      <c r="H14" s="190"/>
      <c r="I14" s="196">
        <v>0</v>
      </c>
      <c r="J14" s="190"/>
      <c r="K14" s="196">
        <v>0</v>
      </c>
      <c r="L14" s="190"/>
      <c r="M14" s="196">
        <v>0</v>
      </c>
      <c r="N14" s="190"/>
      <c r="O14" s="196">
        <v>0</v>
      </c>
      <c r="P14" s="190"/>
      <c r="Q14" s="196">
        <v>0</v>
      </c>
      <c r="R14" s="190"/>
      <c r="S14" s="196">
        <v>0</v>
      </c>
      <c r="T14" s="190"/>
      <c r="U14" s="196">
        <v>0</v>
      </c>
      <c r="V14" s="190"/>
      <c r="W14" s="196">
        <v>0</v>
      </c>
      <c r="X14" s="190"/>
      <c r="Y14" s="196">
        <v>0</v>
      </c>
      <c r="Z14" s="191"/>
      <c r="AB14" s="204">
        <f t="shared" si="0"/>
        <v>0</v>
      </c>
    </row>
    <row r="15" spans="1:28">
      <c r="A15" s="187" t="s">
        <v>201</v>
      </c>
      <c r="B15" s="188"/>
      <c r="C15" s="198">
        <f>SUM(C10:C14)</f>
        <v>7956.12</v>
      </c>
      <c r="D15" s="190"/>
      <c r="E15" s="198">
        <f>SUM(E10:E14)</f>
        <v>0</v>
      </c>
      <c r="F15" s="190"/>
      <c r="G15" s="198">
        <f>SUM(G10:G14)</f>
        <v>0</v>
      </c>
      <c r="H15" s="190"/>
      <c r="I15" s="198">
        <f>SUM(I10:I14)</f>
        <v>0</v>
      </c>
      <c r="J15" s="190"/>
      <c r="K15" s="198">
        <f>SUM(K10:K14)</f>
        <v>0</v>
      </c>
      <c r="L15" s="190"/>
      <c r="M15" s="198">
        <f>SUM(M10:M14)</f>
        <v>0</v>
      </c>
      <c r="N15" s="190"/>
      <c r="O15" s="198">
        <f>SUM(O10:O14)</f>
        <v>0</v>
      </c>
      <c r="P15" s="190"/>
      <c r="Q15" s="198">
        <f>SUM(Q10:Q14)</f>
        <v>0</v>
      </c>
      <c r="R15" s="190"/>
      <c r="S15" s="198">
        <f>SUM(S10:S14)</f>
        <v>0</v>
      </c>
      <c r="T15" s="190"/>
      <c r="U15" s="198">
        <f>SUM(U10:U14)</f>
        <v>0</v>
      </c>
      <c r="V15" s="190"/>
      <c r="W15" s="198">
        <f>SUM(W10:W14)</f>
        <v>0</v>
      </c>
      <c r="X15" s="190"/>
      <c r="Y15" s="198">
        <f>SUM(Y10:Y14)</f>
        <v>0</v>
      </c>
      <c r="Z15" s="191"/>
      <c r="AB15" s="189">
        <f t="shared" si="0"/>
        <v>7956.12</v>
      </c>
    </row>
    <row r="16" spans="1:28">
      <c r="B16" s="188"/>
      <c r="D16" s="190"/>
      <c r="F16" s="190"/>
      <c r="H16" s="190"/>
      <c r="J16" s="190"/>
      <c r="L16" s="190"/>
      <c r="N16" s="190"/>
      <c r="P16" s="190"/>
      <c r="R16" s="190"/>
      <c r="T16" s="190"/>
      <c r="V16" s="190"/>
      <c r="X16" s="190"/>
      <c r="Z16" s="191"/>
    </row>
    <row r="17" spans="1:41">
      <c r="A17" s="185" t="s">
        <v>202</v>
      </c>
      <c r="B17" s="188"/>
      <c r="D17" s="190"/>
      <c r="F17" s="190"/>
      <c r="H17" s="190"/>
      <c r="J17" s="190"/>
      <c r="L17" s="190"/>
      <c r="N17" s="190"/>
      <c r="P17" s="190"/>
      <c r="R17" s="190"/>
      <c r="T17" s="190"/>
      <c r="V17" s="190"/>
      <c r="X17" s="190"/>
      <c r="Z17" s="191"/>
    </row>
    <row r="18" spans="1:41">
      <c r="A18" s="187" t="s">
        <v>207</v>
      </c>
      <c r="B18" s="206"/>
      <c r="C18" s="207">
        <v>0</v>
      </c>
      <c r="D18" s="208"/>
      <c r="E18" s="207">
        <v>0</v>
      </c>
      <c r="F18" s="190"/>
      <c r="G18" s="196">
        <v>0</v>
      </c>
      <c r="H18" s="190"/>
      <c r="I18" s="196">
        <v>0</v>
      </c>
      <c r="J18" s="190"/>
      <c r="K18" s="196">
        <v>0</v>
      </c>
      <c r="L18" s="190"/>
      <c r="M18" s="196">
        <v>0</v>
      </c>
      <c r="N18" s="190"/>
      <c r="O18" s="196">
        <v>0</v>
      </c>
      <c r="P18" s="190"/>
      <c r="Q18" s="196">
        <v>0</v>
      </c>
      <c r="R18" s="190"/>
      <c r="S18" s="196">
        <v>0</v>
      </c>
      <c r="T18" s="190"/>
      <c r="U18" s="196">
        <v>0</v>
      </c>
      <c r="V18" s="190"/>
      <c r="W18" s="196">
        <v>0</v>
      </c>
      <c r="X18" s="190"/>
      <c r="Y18" s="196">
        <v>0</v>
      </c>
      <c r="Z18" s="209"/>
      <c r="AB18" s="204">
        <f>SUM(C18:Y18)</f>
        <v>0</v>
      </c>
    </row>
    <row r="19" spans="1:41">
      <c r="A19" s="187" t="s">
        <v>208</v>
      </c>
      <c r="B19" s="188"/>
      <c r="C19" s="198">
        <f>SUM(C18:C18)</f>
        <v>0</v>
      </c>
      <c r="D19" s="190"/>
      <c r="E19" s="198">
        <f>SUM(E18:E18)</f>
        <v>0</v>
      </c>
      <c r="F19" s="190"/>
      <c r="G19" s="198">
        <f>SUM(G18:G18)</f>
        <v>0</v>
      </c>
      <c r="H19" s="190"/>
      <c r="I19" s="198">
        <f>SUM(I18:I18)</f>
        <v>0</v>
      </c>
      <c r="J19" s="190"/>
      <c r="K19" s="198">
        <f>SUM(K18:K18)</f>
        <v>0</v>
      </c>
      <c r="L19" s="190"/>
      <c r="M19" s="198">
        <f>SUM(M18:M18)</f>
        <v>0</v>
      </c>
      <c r="N19" s="190"/>
      <c r="O19" s="198">
        <f>SUM(O18:O18)</f>
        <v>0</v>
      </c>
      <c r="P19" s="190"/>
      <c r="Q19" s="198">
        <f>SUM(Q18:Q18)</f>
        <v>0</v>
      </c>
      <c r="R19" s="190"/>
      <c r="S19" s="198">
        <f>SUM(S18:S18)</f>
        <v>0</v>
      </c>
      <c r="T19" s="190"/>
      <c r="U19" s="198">
        <f>SUM(U18:U18)</f>
        <v>0</v>
      </c>
      <c r="V19" s="190"/>
      <c r="W19" s="198"/>
      <c r="X19" s="190"/>
      <c r="Y19" s="198"/>
      <c r="Z19" s="209"/>
      <c r="AB19" s="189">
        <f>SUM(C19:Y19)</f>
        <v>0</v>
      </c>
    </row>
    <row r="20" spans="1:41">
      <c r="B20" s="188"/>
      <c r="D20" s="190"/>
      <c r="F20" s="190"/>
      <c r="H20" s="190"/>
      <c r="J20" s="190"/>
      <c r="L20" s="190"/>
      <c r="M20" s="210"/>
      <c r="N20" s="190"/>
      <c r="P20" s="190"/>
      <c r="R20" s="190"/>
      <c r="T20" s="190"/>
      <c r="V20" s="190"/>
      <c r="X20" s="190"/>
      <c r="Z20" s="191"/>
    </row>
    <row r="21" spans="1:41">
      <c r="A21" s="203" t="s">
        <v>211</v>
      </c>
      <c r="B21" s="188"/>
      <c r="C21" s="189">
        <v>0</v>
      </c>
      <c r="D21" s="190"/>
      <c r="E21" s="189">
        <v>0</v>
      </c>
      <c r="F21" s="190"/>
      <c r="G21" s="189">
        <v>0</v>
      </c>
      <c r="H21" s="190"/>
      <c r="I21" s="189">
        <v>0</v>
      </c>
      <c r="J21" s="190"/>
      <c r="K21" s="189">
        <v>0</v>
      </c>
      <c r="L21" s="190"/>
      <c r="M21" s="189">
        <v>0</v>
      </c>
      <c r="N21" s="190"/>
      <c r="O21" s="189">
        <v>0</v>
      </c>
      <c r="P21" s="189"/>
      <c r="Q21" s="189">
        <v>0</v>
      </c>
      <c r="R21" s="190"/>
      <c r="S21" s="189">
        <v>0</v>
      </c>
      <c r="T21" s="190"/>
      <c r="U21" s="189">
        <v>0</v>
      </c>
      <c r="V21" s="190"/>
      <c r="W21" s="189">
        <v>0</v>
      </c>
      <c r="X21" s="190"/>
      <c r="Y21" s="189">
        <v>0</v>
      </c>
      <c r="Z21" s="191"/>
      <c r="AB21" s="199">
        <f>SUM(C21:Y21)</f>
        <v>0</v>
      </c>
    </row>
    <row r="22" spans="1:41">
      <c r="A22" s="203" t="s">
        <v>229</v>
      </c>
      <c r="B22" s="188"/>
      <c r="C22" s="196">
        <v>2543</v>
      </c>
      <c r="D22" s="190"/>
      <c r="E22" s="196">
        <v>0</v>
      </c>
      <c r="F22" s="190"/>
      <c r="G22" s="196">
        <v>0</v>
      </c>
      <c r="H22" s="190"/>
      <c r="I22" s="196">
        <v>0</v>
      </c>
      <c r="J22" s="190"/>
      <c r="K22" s="196">
        <v>0</v>
      </c>
      <c r="L22" s="190"/>
      <c r="M22" s="196">
        <v>0</v>
      </c>
      <c r="N22" s="190"/>
      <c r="O22" s="196">
        <v>0</v>
      </c>
      <c r="P22" s="190"/>
      <c r="Q22" s="196">
        <v>0</v>
      </c>
      <c r="R22" s="190"/>
      <c r="S22" s="196">
        <v>0</v>
      </c>
      <c r="T22" s="190"/>
      <c r="U22" s="196">
        <v>0</v>
      </c>
      <c r="V22" s="190"/>
      <c r="W22" s="196">
        <v>0</v>
      </c>
      <c r="X22" s="190"/>
      <c r="Y22" s="196">
        <v>0</v>
      </c>
      <c r="Z22" s="191"/>
      <c r="AB22" s="204">
        <f>SUM(C22:Y22)</f>
        <v>2543</v>
      </c>
    </row>
    <row r="23" spans="1:41">
      <c r="A23" s="187" t="s">
        <v>213</v>
      </c>
      <c r="B23" s="188"/>
      <c r="C23" s="198">
        <f>SUM(C21:C22)+C19</f>
        <v>2543</v>
      </c>
      <c r="D23" s="190"/>
      <c r="E23" s="198">
        <f>SUM(E21:E22)+E19</f>
        <v>0</v>
      </c>
      <c r="F23" s="190"/>
      <c r="G23" s="198">
        <f>SUM(G21:G22)+G19</f>
        <v>0</v>
      </c>
      <c r="H23" s="190"/>
      <c r="I23" s="198">
        <f>SUM(I21:I22)+I19</f>
        <v>0</v>
      </c>
      <c r="J23" s="190"/>
      <c r="K23" s="198">
        <f>SUM(K21:K22)+K19</f>
        <v>0</v>
      </c>
      <c r="L23" s="190"/>
      <c r="M23" s="198">
        <f>SUM(M21:M22)+M19</f>
        <v>0</v>
      </c>
      <c r="N23" s="190"/>
      <c r="O23" s="198">
        <f>SUM(O21:O22)+O19</f>
        <v>0</v>
      </c>
      <c r="P23" s="190"/>
      <c r="Q23" s="198">
        <f>SUM(Q21:Q22)+Q19</f>
        <v>0</v>
      </c>
      <c r="R23" s="190"/>
      <c r="S23" s="198">
        <f>SUM(S21:S22)+S19</f>
        <v>0</v>
      </c>
      <c r="T23" s="190"/>
      <c r="U23" s="198">
        <f>SUM(U21:U22)+U19</f>
        <v>0</v>
      </c>
      <c r="V23" s="190"/>
      <c r="W23" s="198">
        <f>SUM(W21:W22)+W19</f>
        <v>0</v>
      </c>
      <c r="X23" s="190"/>
      <c r="Y23" s="198">
        <f>SUM(Y19:Y22)</f>
        <v>0</v>
      </c>
      <c r="Z23" s="209"/>
      <c r="AB23" s="189">
        <f>SUM(C23:Y23)</f>
        <v>2543</v>
      </c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O23" s="212"/>
    </row>
    <row r="24" spans="1:41">
      <c r="B24" s="188"/>
      <c r="D24" s="190"/>
      <c r="E24" s="200"/>
      <c r="F24" s="190"/>
      <c r="G24" s="200"/>
      <c r="H24" s="190"/>
      <c r="I24" s="200"/>
      <c r="J24" s="190"/>
      <c r="K24" s="200"/>
      <c r="L24" s="190"/>
      <c r="M24" s="200"/>
      <c r="N24" s="190"/>
      <c r="O24" s="200"/>
      <c r="P24" s="190"/>
      <c r="Q24" s="200"/>
      <c r="R24" s="190"/>
      <c r="S24" s="200"/>
      <c r="T24" s="190"/>
      <c r="U24" s="200"/>
      <c r="V24" s="190"/>
      <c r="W24" s="200"/>
      <c r="X24" s="190"/>
      <c r="Y24" s="200"/>
      <c r="Z24" s="209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</row>
    <row r="25" spans="1:41">
      <c r="A25" s="187" t="s">
        <v>214</v>
      </c>
      <c r="B25" s="188"/>
      <c r="C25" s="198">
        <f>+C15-C23</f>
        <v>5413.12</v>
      </c>
      <c r="D25" s="190"/>
      <c r="E25" s="198">
        <f>+E15-E23</f>
        <v>0</v>
      </c>
      <c r="F25" s="190"/>
      <c r="G25" s="198">
        <f>+G15-G23</f>
        <v>0</v>
      </c>
      <c r="H25" s="190"/>
      <c r="I25" s="198">
        <f>+I15-I23</f>
        <v>0</v>
      </c>
      <c r="J25" s="190"/>
      <c r="K25" s="198">
        <f>+K15-K23</f>
        <v>0</v>
      </c>
      <c r="L25" s="190"/>
      <c r="M25" s="198">
        <f>+M15-M23</f>
        <v>0</v>
      </c>
      <c r="N25" s="190"/>
      <c r="O25" s="198">
        <f>+O15-O23</f>
        <v>0</v>
      </c>
      <c r="P25" s="190"/>
      <c r="Q25" s="198">
        <f>+Q15-Q23</f>
        <v>0</v>
      </c>
      <c r="R25" s="190"/>
      <c r="S25" s="198">
        <f>+S15-S23</f>
        <v>0</v>
      </c>
      <c r="T25" s="190"/>
      <c r="U25" s="198">
        <f>+U15-U23</f>
        <v>0</v>
      </c>
      <c r="V25" s="190"/>
      <c r="W25" s="198">
        <f>+W15-W23</f>
        <v>0</v>
      </c>
      <c r="Y25" s="198">
        <f>+Y15-Y23</f>
        <v>0</v>
      </c>
      <c r="AB25" s="189">
        <f>SUM(C25:Y25)</f>
        <v>5413.12</v>
      </c>
    </row>
    <row r="26" spans="1:41" ht="13.5" thickBot="1">
      <c r="B26" s="188"/>
      <c r="D26" s="190"/>
      <c r="F26" s="190"/>
      <c r="H26" s="190"/>
      <c r="J26" s="190"/>
      <c r="L26" s="190"/>
      <c r="N26" s="190"/>
      <c r="P26" s="190"/>
      <c r="R26" s="190"/>
      <c r="T26" s="190"/>
      <c r="V26" s="190"/>
      <c r="X26" s="190"/>
      <c r="Z26" s="191"/>
    </row>
    <row r="27" spans="1:41" ht="13.5" thickBot="1">
      <c r="A27" s="213" t="s">
        <v>215</v>
      </c>
      <c r="B27" s="177"/>
      <c r="C27" s="214">
        <f>+C7+C25</f>
        <v>2476984.8400000003</v>
      </c>
      <c r="D27" s="179"/>
      <c r="E27" s="214">
        <f>+E7+E25</f>
        <v>0</v>
      </c>
      <c r="F27" s="179"/>
      <c r="G27" s="214">
        <f>+G7+G25</f>
        <v>0</v>
      </c>
      <c r="H27" s="179"/>
      <c r="I27" s="214">
        <f>+I7+I25</f>
        <v>0</v>
      </c>
      <c r="J27" s="179"/>
      <c r="K27" s="214">
        <f>+K7+K25</f>
        <v>0</v>
      </c>
      <c r="L27" s="179"/>
      <c r="M27" s="214">
        <f>+M7+M25</f>
        <v>0</v>
      </c>
      <c r="N27" s="179"/>
      <c r="O27" s="214">
        <f>+O7+O25</f>
        <v>0</v>
      </c>
      <c r="P27" s="179"/>
      <c r="Q27" s="214">
        <f>+Q7+Q25</f>
        <v>0</v>
      </c>
      <c r="R27" s="179"/>
      <c r="S27" s="214">
        <f>+S7+S25</f>
        <v>0</v>
      </c>
      <c r="T27" s="179"/>
      <c r="U27" s="214">
        <f>+U7+U25</f>
        <v>0</v>
      </c>
      <c r="V27" s="179"/>
      <c r="W27" s="214">
        <f>+W7+W25</f>
        <v>0</v>
      </c>
      <c r="X27" s="215"/>
      <c r="Y27" s="214">
        <f>+Y7+Y25</f>
        <v>0</v>
      </c>
      <c r="Z27" s="216"/>
      <c r="AA27" s="215"/>
      <c r="AB27" s="214">
        <f>+AB7+AB25</f>
        <v>2476984.8400000003</v>
      </c>
    </row>
    <row r="28" spans="1:41">
      <c r="B28" s="188"/>
      <c r="D28" s="190"/>
      <c r="F28" s="190"/>
      <c r="H28" s="190"/>
      <c r="J28" s="190"/>
      <c r="L28" s="190"/>
      <c r="N28" s="190"/>
      <c r="P28" s="190"/>
      <c r="R28" s="190"/>
      <c r="T28" s="190"/>
      <c r="V28" s="190"/>
      <c r="X28" s="190"/>
      <c r="Z28" s="191"/>
    </row>
    <row r="29" spans="1:41">
      <c r="B29" s="188"/>
      <c r="D29" s="190"/>
      <c r="F29" s="190"/>
      <c r="H29" s="190"/>
      <c r="J29" s="190"/>
      <c r="L29" s="190"/>
      <c r="N29" s="190"/>
      <c r="P29" s="190"/>
      <c r="R29" s="190"/>
      <c r="T29" s="190"/>
      <c r="V29" s="190"/>
      <c r="X29" s="190"/>
      <c r="Z29" s="191"/>
    </row>
    <row r="30" spans="1:41">
      <c r="A30" s="203" t="s">
        <v>230</v>
      </c>
      <c r="B30" s="188"/>
      <c r="C30" s="189">
        <v>1240988.17</v>
      </c>
      <c r="D30" s="190"/>
      <c r="E30" s="189">
        <v>0</v>
      </c>
      <c r="F30" s="190"/>
      <c r="G30" s="189">
        <f>+E30+E31</f>
        <v>0</v>
      </c>
      <c r="H30" s="190"/>
      <c r="I30" s="189">
        <f>+G30+G31</f>
        <v>0</v>
      </c>
      <c r="J30" s="190"/>
      <c r="K30" s="189">
        <f>+I34</f>
        <v>0</v>
      </c>
      <c r="L30" s="190"/>
      <c r="M30" s="189">
        <f>+K34</f>
        <v>0</v>
      </c>
      <c r="N30" s="190"/>
      <c r="O30" s="189">
        <f>+M30+M31+M33</f>
        <v>0</v>
      </c>
      <c r="P30" s="190"/>
      <c r="Q30" s="189">
        <f>+O30+O31</f>
        <v>0</v>
      </c>
      <c r="R30" s="190"/>
      <c r="S30" s="189">
        <f>+Q30+Q31</f>
        <v>0</v>
      </c>
      <c r="T30" s="190"/>
      <c r="U30" s="189">
        <f>+S30+S31</f>
        <v>0</v>
      </c>
      <c r="V30" s="190"/>
      <c r="W30" s="189">
        <f>+U30+U31</f>
        <v>0</v>
      </c>
      <c r="X30" s="190"/>
      <c r="Y30" s="189">
        <f>+W30+W31</f>
        <v>0</v>
      </c>
      <c r="Z30" s="191"/>
      <c r="AB30" s="199">
        <f>+C30</f>
        <v>1240988.17</v>
      </c>
    </row>
    <row r="31" spans="1:41">
      <c r="A31" s="203" t="s">
        <v>231</v>
      </c>
      <c r="B31" s="188"/>
      <c r="C31" s="189">
        <v>33.94</v>
      </c>
      <c r="D31" s="190"/>
      <c r="E31" s="189">
        <v>0</v>
      </c>
      <c r="F31" s="190"/>
      <c r="G31" s="189">
        <v>0</v>
      </c>
      <c r="H31" s="190"/>
      <c r="I31" s="189">
        <v>0</v>
      </c>
      <c r="J31" s="190"/>
      <c r="K31" s="189">
        <v>0</v>
      </c>
      <c r="L31" s="190"/>
      <c r="M31" s="189">
        <v>0</v>
      </c>
      <c r="N31" s="190"/>
      <c r="O31" s="189">
        <v>0</v>
      </c>
      <c r="P31" s="190"/>
      <c r="Q31" s="189">
        <v>0</v>
      </c>
      <c r="R31" s="190"/>
      <c r="S31" s="189">
        <v>0</v>
      </c>
      <c r="T31" s="190"/>
      <c r="U31" s="189">
        <v>0</v>
      </c>
      <c r="V31" s="190"/>
      <c r="W31" s="189">
        <v>0</v>
      </c>
      <c r="X31" s="190"/>
      <c r="Y31" s="189">
        <v>0</v>
      </c>
      <c r="Z31" s="191"/>
      <c r="AB31" s="199">
        <f>SUM(C31:AA31)</f>
        <v>33.94</v>
      </c>
    </row>
    <row r="32" spans="1:41">
      <c r="A32" s="187" t="s">
        <v>223</v>
      </c>
      <c r="C32" s="189">
        <v>0</v>
      </c>
      <c r="E32" s="189">
        <v>0</v>
      </c>
      <c r="G32" s="189">
        <v>0</v>
      </c>
      <c r="I32" s="189">
        <v>0</v>
      </c>
      <c r="K32" s="189">
        <v>0</v>
      </c>
      <c r="M32" s="189">
        <v>0</v>
      </c>
      <c r="O32" s="189">
        <v>0</v>
      </c>
      <c r="Q32" s="189">
        <v>0</v>
      </c>
      <c r="S32" s="189">
        <v>0</v>
      </c>
      <c r="U32" s="189">
        <v>0</v>
      </c>
      <c r="W32" s="189">
        <v>0</v>
      </c>
      <c r="Y32" s="189">
        <v>0</v>
      </c>
      <c r="AB32" s="199">
        <f>SUM(C32:AA32)</f>
        <v>0</v>
      </c>
    </row>
    <row r="33" spans="1:28">
      <c r="A33" s="187" t="s">
        <v>222</v>
      </c>
      <c r="B33" s="188"/>
      <c r="C33" s="196">
        <v>0</v>
      </c>
      <c r="D33" s="190"/>
      <c r="E33" s="196">
        <v>0</v>
      </c>
      <c r="F33" s="190"/>
      <c r="G33" s="196">
        <v>0</v>
      </c>
      <c r="H33" s="190"/>
      <c r="I33" s="196">
        <v>0</v>
      </c>
      <c r="J33" s="190"/>
      <c r="K33" s="196">
        <v>0</v>
      </c>
      <c r="L33" s="190"/>
      <c r="M33" s="196">
        <v>0</v>
      </c>
      <c r="N33" s="190"/>
      <c r="O33" s="196">
        <v>0</v>
      </c>
      <c r="P33" s="190"/>
      <c r="Q33" s="196">
        <v>0</v>
      </c>
      <c r="R33" s="190"/>
      <c r="S33" s="196">
        <v>0</v>
      </c>
      <c r="T33" s="190"/>
      <c r="U33" s="196">
        <v>0</v>
      </c>
      <c r="V33" s="190"/>
      <c r="W33" s="196">
        <v>0</v>
      </c>
      <c r="X33" s="190"/>
      <c r="Y33" s="196">
        <v>0</v>
      </c>
      <c r="Z33" s="191"/>
      <c r="AB33" s="204">
        <f>SUM(C33:AA33)</f>
        <v>0</v>
      </c>
    </row>
    <row r="34" spans="1:28">
      <c r="A34" s="213" t="s">
        <v>224</v>
      </c>
      <c r="B34" s="177"/>
      <c r="C34" s="198">
        <f>SUM(C30:C33)</f>
        <v>1241022.1099999999</v>
      </c>
      <c r="D34" s="179"/>
      <c r="E34" s="198">
        <f>SUM(E30:E33)</f>
        <v>0</v>
      </c>
      <c r="F34" s="179"/>
      <c r="G34" s="198">
        <f>SUM(G30:G33)</f>
        <v>0</v>
      </c>
      <c r="H34" s="179"/>
      <c r="I34" s="198">
        <f>SUM(I30:I33)</f>
        <v>0</v>
      </c>
      <c r="J34" s="179"/>
      <c r="K34" s="198">
        <f>SUM(K30:K33)</f>
        <v>0</v>
      </c>
      <c r="L34" s="179"/>
      <c r="M34" s="198">
        <f>SUM(M30:M33)</f>
        <v>0</v>
      </c>
      <c r="N34" s="179"/>
      <c r="O34" s="198">
        <f>SUM(O30:O33)</f>
        <v>0</v>
      </c>
      <c r="P34" s="179"/>
      <c r="Q34" s="198">
        <f>SUM(Q30:Q33)</f>
        <v>0</v>
      </c>
      <c r="R34" s="179"/>
      <c r="S34" s="198">
        <f>SUM(S30:S33)</f>
        <v>0</v>
      </c>
      <c r="T34" s="179"/>
      <c r="U34" s="198">
        <f>SUM(U30:U33)</f>
        <v>0</v>
      </c>
      <c r="V34" s="179"/>
      <c r="W34" s="198">
        <f>SUM(W30:W33)</f>
        <v>0</v>
      </c>
      <c r="X34" s="179"/>
      <c r="Y34" s="198">
        <f>SUM(Y30:Y33)</f>
        <v>0</v>
      </c>
      <c r="Z34" s="179"/>
      <c r="AB34" s="189">
        <f>SUM(AB30:AB33)</f>
        <v>1241022.1099999999</v>
      </c>
    </row>
    <row r="35" spans="1:28" ht="13.5" thickBot="1">
      <c r="B35" s="188"/>
      <c r="D35" s="190"/>
      <c r="F35" s="190"/>
      <c r="H35" s="190"/>
      <c r="J35" s="190"/>
      <c r="L35" s="190"/>
      <c r="N35" s="190"/>
      <c r="P35" s="190"/>
      <c r="R35" s="190"/>
      <c r="T35" s="190"/>
      <c r="V35" s="190"/>
      <c r="X35" s="190"/>
      <c r="Z35" s="190"/>
    </row>
    <row r="36" spans="1:28" ht="13.5" thickBot="1">
      <c r="A36" s="185" t="s">
        <v>225</v>
      </c>
      <c r="B36" s="177"/>
      <c r="C36" s="214">
        <f>+C27+C34</f>
        <v>3718006.95</v>
      </c>
      <c r="D36" s="179"/>
      <c r="E36" s="214">
        <f>+E27+E34</f>
        <v>0</v>
      </c>
      <c r="F36" s="179"/>
      <c r="G36" s="214">
        <f>+G27+G34</f>
        <v>0</v>
      </c>
      <c r="H36" s="179"/>
      <c r="I36" s="214">
        <f>+I27+I34</f>
        <v>0</v>
      </c>
      <c r="J36" s="179"/>
      <c r="K36" s="214">
        <f>+K27+K34</f>
        <v>0</v>
      </c>
      <c r="L36" s="179"/>
      <c r="M36" s="214">
        <f>+M27+M34</f>
        <v>0</v>
      </c>
      <c r="N36" s="179"/>
      <c r="O36" s="214">
        <f>+O27+O34</f>
        <v>0</v>
      </c>
      <c r="P36" s="179"/>
      <c r="Q36" s="214">
        <f>+Q27+Q34</f>
        <v>0</v>
      </c>
      <c r="R36" s="179"/>
      <c r="S36" s="214">
        <f>+S27+S34</f>
        <v>0</v>
      </c>
      <c r="T36" s="179"/>
      <c r="U36" s="214">
        <f>+U27+U34</f>
        <v>0</v>
      </c>
      <c r="V36" s="179"/>
      <c r="W36" s="214">
        <f>+W27+W34</f>
        <v>0</v>
      </c>
      <c r="X36" s="215"/>
      <c r="Y36" s="214">
        <f>+Y27+Y34</f>
        <v>0</v>
      </c>
      <c r="Z36" s="216"/>
      <c r="AA36" s="215"/>
      <c r="AB36" s="214">
        <f>+AB27+AB34</f>
        <v>3718006.95</v>
      </c>
    </row>
    <row r="37" spans="1:28">
      <c r="B37" s="188"/>
      <c r="D37" s="190"/>
      <c r="F37" s="190"/>
      <c r="H37" s="190"/>
      <c r="J37" s="190"/>
      <c r="L37" s="190"/>
      <c r="N37" s="190"/>
      <c r="P37" s="190"/>
      <c r="R37" s="190"/>
      <c r="T37" s="190"/>
      <c r="V37" s="190"/>
      <c r="X37" s="190"/>
      <c r="Z37" s="191"/>
    </row>
    <row r="38" spans="1:28">
      <c r="B38" s="188"/>
      <c r="D38" s="190"/>
      <c r="F38" s="190"/>
      <c r="H38" s="190"/>
      <c r="J38" s="190"/>
      <c r="L38" s="190"/>
      <c r="N38" s="190"/>
      <c r="P38" s="190"/>
      <c r="R38" s="190"/>
      <c r="T38" s="190"/>
      <c r="V38" s="190"/>
      <c r="X38" s="190"/>
      <c r="Z38" s="191"/>
    </row>
    <row r="39" spans="1:28">
      <c r="B39" s="188"/>
      <c r="D39" s="190"/>
      <c r="F39" s="190"/>
      <c r="H39" s="190"/>
      <c r="J39" s="190"/>
      <c r="L39" s="190"/>
      <c r="N39" s="190"/>
      <c r="P39" s="190"/>
      <c r="R39" s="190"/>
      <c r="T39" s="190"/>
      <c r="V39" s="190"/>
      <c r="X39" s="190"/>
      <c r="Z39" s="191"/>
    </row>
    <row r="40" spans="1:28">
      <c r="B40" s="188"/>
      <c r="D40" s="190"/>
      <c r="F40" s="190"/>
      <c r="H40" s="190"/>
      <c r="J40" s="190"/>
      <c r="L40" s="190"/>
      <c r="N40" s="190"/>
      <c r="P40" s="190"/>
      <c r="R40" s="190"/>
      <c r="T40" s="190"/>
      <c r="V40" s="190"/>
      <c r="X40" s="190"/>
      <c r="Z40" s="191"/>
    </row>
    <row r="41" spans="1:28">
      <c r="B41" s="188"/>
      <c r="D41" s="190"/>
      <c r="F41" s="190"/>
      <c r="H41" s="190"/>
      <c r="J41" s="190"/>
      <c r="L41" s="190"/>
      <c r="N41" s="190"/>
      <c r="P41" s="190"/>
      <c r="R41" s="190"/>
      <c r="T41" s="190"/>
      <c r="V41" s="190"/>
      <c r="X41" s="190"/>
      <c r="Z41" s="191"/>
    </row>
    <row r="42" spans="1:28">
      <c r="B42" s="188"/>
      <c r="D42" s="190"/>
      <c r="F42" s="190"/>
      <c r="H42" s="190"/>
      <c r="J42" s="190"/>
      <c r="L42" s="190"/>
      <c r="N42" s="190"/>
      <c r="P42" s="190"/>
      <c r="R42" s="190"/>
      <c r="T42" s="190"/>
      <c r="V42" s="190"/>
      <c r="X42" s="190"/>
      <c r="Z42" s="191"/>
    </row>
    <row r="43" spans="1:28">
      <c r="B43" s="188"/>
      <c r="D43" s="190"/>
      <c r="F43" s="190"/>
      <c r="H43" s="190"/>
      <c r="J43" s="190"/>
      <c r="L43" s="190"/>
      <c r="N43" s="190"/>
      <c r="P43" s="190"/>
      <c r="R43" s="190"/>
      <c r="T43" s="190"/>
      <c r="V43" s="190"/>
      <c r="X43" s="190"/>
      <c r="Z43" s="191"/>
    </row>
    <row r="44" spans="1:28">
      <c r="B44" s="188"/>
      <c r="D44" s="190"/>
      <c r="F44" s="190"/>
      <c r="H44" s="190"/>
      <c r="J44" s="190"/>
      <c r="L44" s="190"/>
      <c r="N44" s="190"/>
      <c r="P44" s="190"/>
      <c r="R44" s="190"/>
      <c r="T44" s="190"/>
      <c r="V44" s="190"/>
      <c r="X44" s="190"/>
      <c r="Z44" s="191"/>
    </row>
  </sheetData>
  <pageMargins left="0.17" right="0.17" top="0.75" bottom="0.5" header="0.41" footer="0.37"/>
  <pageSetup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/>
  </sheetViews>
  <sheetFormatPr defaultColWidth="9.140625" defaultRowHeight="12.75"/>
  <cols>
    <col min="1" max="1" width="7" style="225" customWidth="1"/>
    <col min="2" max="2" width="9.140625" style="225"/>
    <col min="3" max="3" width="28.7109375" style="225" customWidth="1"/>
    <col min="4" max="4" width="22.7109375" style="225" customWidth="1"/>
    <col min="5" max="5" width="16.7109375" style="259" customWidth="1"/>
    <col min="6" max="6" width="4.5703125" style="225" customWidth="1"/>
    <col min="7" max="7" width="16.42578125" style="223" customWidth="1"/>
    <col min="8" max="8" width="13.5703125" style="224" customWidth="1"/>
    <col min="9" max="9" width="11.28515625" style="225" bestFit="1" customWidth="1"/>
    <col min="10" max="16384" width="9.140625" style="225"/>
  </cols>
  <sheetData>
    <row r="1" spans="1:8" ht="18" customHeight="1">
      <c r="A1" s="218" t="s">
        <v>50</v>
      </c>
      <c r="B1" s="219"/>
      <c r="C1" s="219"/>
      <c r="D1" s="220"/>
      <c r="E1" s="221"/>
      <c r="F1" s="222"/>
    </row>
    <row r="2" spans="1:8" ht="15.75" customHeight="1">
      <c r="A2" s="226" t="s">
        <v>232</v>
      </c>
      <c r="B2" s="219"/>
      <c r="C2" s="219"/>
      <c r="D2" s="220"/>
      <c r="E2" s="221"/>
      <c r="F2" s="222"/>
    </row>
    <row r="3" spans="1:8" ht="15" customHeight="1">
      <c r="A3" s="227" t="s">
        <v>55</v>
      </c>
      <c r="B3" s="219"/>
      <c r="C3" s="219"/>
      <c r="D3" s="220"/>
      <c r="E3" s="221"/>
      <c r="F3" s="222"/>
    </row>
    <row r="4" spans="1:8" ht="18" customHeight="1">
      <c r="A4" s="228" t="s">
        <v>51</v>
      </c>
      <c r="B4" s="228"/>
      <c r="C4" s="228"/>
      <c r="D4" s="229"/>
      <c r="E4" s="230"/>
      <c r="F4" s="231"/>
    </row>
    <row r="5" spans="1:8" ht="18" customHeight="1">
      <c r="A5" s="228"/>
      <c r="B5" s="228"/>
      <c r="C5" s="228"/>
      <c r="D5" s="229"/>
      <c r="E5" s="230"/>
      <c r="F5" s="231"/>
    </row>
    <row r="6" spans="1:8" ht="16.5" customHeight="1" thickBot="1">
      <c r="A6" s="232" t="s">
        <v>233</v>
      </c>
      <c r="B6" s="232"/>
      <c r="C6" s="233"/>
      <c r="D6" s="228"/>
      <c r="E6" s="230"/>
      <c r="F6" s="222"/>
    </row>
    <row r="7" spans="1:8" ht="16.5" customHeight="1">
      <c r="A7" s="234"/>
      <c r="B7" s="234"/>
      <c r="C7" s="235"/>
      <c r="D7" s="228"/>
      <c r="E7" s="230"/>
      <c r="F7" s="222"/>
    </row>
    <row r="8" spans="1:8" s="241" customFormat="1">
      <c r="A8" s="231" t="s">
        <v>234</v>
      </c>
      <c r="B8" s="231"/>
      <c r="C8" s="228"/>
      <c r="D8" s="236"/>
      <c r="E8" s="237">
        <f>+'[1]GO Cash Flow'!AB43</f>
        <v>17659566.719999991</v>
      </c>
      <c r="F8" s="238"/>
      <c r="G8" s="239"/>
      <c r="H8" s="240" t="s">
        <v>51</v>
      </c>
    </row>
    <row r="9" spans="1:8" s="241" customFormat="1">
      <c r="A9" s="231"/>
      <c r="B9" s="231"/>
      <c r="C9" s="228"/>
      <c r="D9" s="236"/>
      <c r="E9" s="237"/>
      <c r="F9" s="238"/>
      <c r="G9" s="223"/>
      <c r="H9" s="240"/>
    </row>
    <row r="10" spans="1:8" s="241" customFormat="1">
      <c r="A10" s="242" t="s">
        <v>235</v>
      </c>
      <c r="B10" s="243" t="s">
        <v>236</v>
      </c>
      <c r="C10" s="244"/>
      <c r="D10" s="245"/>
      <c r="E10" s="246">
        <v>1808832.34</v>
      </c>
      <c r="F10" s="238"/>
      <c r="G10" s="223"/>
      <c r="H10" s="240"/>
    </row>
    <row r="11" spans="1:8" s="241" customFormat="1">
      <c r="A11" s="243"/>
      <c r="B11" s="242" t="s">
        <v>237</v>
      </c>
      <c r="C11" s="228"/>
      <c r="D11" s="247"/>
      <c r="E11" s="248">
        <v>12162389.960000001</v>
      </c>
      <c r="F11" s="238"/>
      <c r="G11" s="223"/>
      <c r="H11" s="240"/>
    </row>
    <row r="12" spans="1:8" s="241" customFormat="1">
      <c r="A12" s="243"/>
      <c r="B12" s="243" t="s">
        <v>238</v>
      </c>
      <c r="C12" s="244"/>
      <c r="D12" s="245"/>
      <c r="E12" s="246">
        <v>1378797.54</v>
      </c>
      <c r="F12" s="238"/>
      <c r="G12" s="223"/>
      <c r="H12" s="240"/>
    </row>
    <row r="13" spans="1:8" s="241" customFormat="1">
      <c r="A13" s="243"/>
      <c r="B13" s="243"/>
      <c r="C13" s="244"/>
      <c r="D13" s="245"/>
      <c r="E13" s="249"/>
      <c r="F13" s="238"/>
      <c r="G13" s="223"/>
      <c r="H13" s="240"/>
    </row>
    <row r="14" spans="1:8" s="241" customFormat="1" ht="15">
      <c r="A14" s="242" t="s">
        <v>235</v>
      </c>
      <c r="B14" s="243" t="s">
        <v>239</v>
      </c>
      <c r="C14" s="244"/>
      <c r="D14" s="245"/>
      <c r="E14" s="250">
        <v>3284.8</v>
      </c>
      <c r="F14" s="238"/>
      <c r="G14" s="223"/>
      <c r="H14" s="240"/>
    </row>
    <row r="15" spans="1:8" s="241" customFormat="1">
      <c r="A15" s="242"/>
      <c r="B15" s="243" t="s">
        <v>240</v>
      </c>
      <c r="C15" s="244"/>
      <c r="D15" s="245"/>
      <c r="E15" s="249">
        <v>6544.6</v>
      </c>
      <c r="F15" s="238"/>
      <c r="G15" s="223"/>
      <c r="H15" s="240"/>
    </row>
    <row r="16" spans="1:8" s="241" customFormat="1">
      <c r="A16" s="242"/>
      <c r="B16" s="243"/>
      <c r="C16" s="244"/>
      <c r="D16" s="245"/>
      <c r="E16" s="249"/>
      <c r="F16" s="238"/>
      <c r="G16" s="223"/>
      <c r="H16" s="240"/>
    </row>
    <row r="17" spans="1:9" s="241" customFormat="1">
      <c r="A17" s="231" t="s">
        <v>241</v>
      </c>
      <c r="B17" s="231" t="s">
        <v>242</v>
      </c>
      <c r="C17" s="244"/>
      <c r="D17" s="245"/>
      <c r="E17" s="249">
        <f>-1635561.99-3378.57</f>
        <v>-1638940.56</v>
      </c>
      <c r="F17" s="238"/>
      <c r="G17" s="223"/>
      <c r="H17" s="240"/>
    </row>
    <row r="18" spans="1:9" s="241" customFormat="1">
      <c r="A18" s="231"/>
      <c r="B18" s="231"/>
      <c r="C18" s="238"/>
      <c r="D18" s="251"/>
      <c r="E18" s="252"/>
      <c r="F18" s="238"/>
      <c r="G18" s="223"/>
      <c r="H18" s="240"/>
    </row>
    <row r="19" spans="1:9" s="241" customFormat="1">
      <c r="A19" s="231"/>
      <c r="B19" s="231"/>
      <c r="C19" s="238"/>
      <c r="D19" s="251"/>
      <c r="E19" s="253"/>
      <c r="F19" s="238"/>
      <c r="G19" s="223"/>
      <c r="H19" s="240"/>
    </row>
    <row r="20" spans="1:9" s="241" customFormat="1" ht="17.25" customHeight="1" thickBot="1">
      <c r="A20" s="254" t="s">
        <v>243</v>
      </c>
      <c r="B20" s="254"/>
      <c r="C20" s="255"/>
      <c r="D20" s="255"/>
      <c r="E20" s="256">
        <f>SUM(E8:E18)</f>
        <v>31380475.399999995</v>
      </c>
      <c r="F20" s="257"/>
      <c r="G20" s="239"/>
      <c r="H20" s="258"/>
      <c r="I20" s="259"/>
    </row>
    <row r="21" spans="1:9" s="241" customFormat="1" ht="13.5" thickTop="1">
      <c r="A21" s="260"/>
      <c r="B21" s="260"/>
      <c r="C21" s="238"/>
      <c r="D21" s="238"/>
      <c r="E21" s="261"/>
      <c r="F21" s="257"/>
      <c r="G21" s="223"/>
      <c r="H21" s="240"/>
    </row>
    <row r="22" spans="1:9" s="241" customFormat="1">
      <c r="A22" s="260"/>
      <c r="B22" s="260"/>
      <c r="C22" s="238"/>
      <c r="D22" s="238"/>
      <c r="E22" s="261"/>
      <c r="F22" s="257"/>
      <c r="G22" s="223"/>
      <c r="H22" s="240"/>
    </row>
    <row r="23" spans="1:9">
      <c r="A23" s="242"/>
      <c r="B23" s="242"/>
      <c r="C23" s="222"/>
      <c r="D23" s="222"/>
      <c r="E23" s="261"/>
      <c r="F23" s="222"/>
    </row>
    <row r="24" spans="1:9" ht="16.5" customHeight="1" thickBot="1">
      <c r="A24" s="232" t="s">
        <v>244</v>
      </c>
      <c r="B24" s="232"/>
      <c r="C24" s="233"/>
      <c r="D24" s="228"/>
      <c r="E24" s="230"/>
      <c r="F24" s="222"/>
    </row>
    <row r="25" spans="1:9" ht="16.5" customHeight="1">
      <c r="A25" s="234"/>
      <c r="B25" s="234"/>
      <c r="C25" s="235"/>
      <c r="D25" s="228"/>
      <c r="E25" s="230"/>
      <c r="F25" s="222"/>
    </row>
    <row r="26" spans="1:9">
      <c r="A26" s="231" t="s">
        <v>234</v>
      </c>
      <c r="B26" s="231"/>
      <c r="C26" s="228"/>
      <c r="D26" s="236"/>
      <c r="E26" s="237">
        <f>+'[1]Debt Srv Cash Flow'!AB27</f>
        <v>2476984.8400000003</v>
      </c>
      <c r="F26" s="238"/>
    </row>
    <row r="27" spans="1:9">
      <c r="A27" s="231"/>
      <c r="B27" s="231"/>
      <c r="C27" s="228"/>
      <c r="D27" s="236"/>
      <c r="E27" s="237"/>
      <c r="F27" s="222"/>
    </row>
    <row r="28" spans="1:9">
      <c r="A28" s="242" t="s">
        <v>235</v>
      </c>
      <c r="B28" s="242" t="s">
        <v>245</v>
      </c>
      <c r="C28" s="228"/>
      <c r="D28" s="247"/>
      <c r="E28" s="230">
        <v>1241022.1100000001</v>
      </c>
      <c r="F28" s="238"/>
    </row>
    <row r="29" spans="1:9">
      <c r="A29" s="242"/>
      <c r="B29" s="242"/>
      <c r="C29" s="228"/>
      <c r="D29" s="247"/>
      <c r="E29" s="230"/>
      <c r="F29" s="222"/>
    </row>
    <row r="30" spans="1:9">
      <c r="A30" s="242" t="s">
        <v>235</v>
      </c>
      <c r="B30" s="242" t="s">
        <v>240</v>
      </c>
      <c r="C30" s="228"/>
      <c r="D30" s="247"/>
      <c r="E30" s="230">
        <v>3146.45</v>
      </c>
      <c r="F30" s="238"/>
    </row>
    <row r="31" spans="1:9">
      <c r="A31" s="242"/>
      <c r="B31" s="242"/>
      <c r="C31" s="228"/>
      <c r="D31" s="247"/>
      <c r="E31" s="230"/>
      <c r="F31" s="222"/>
    </row>
    <row r="32" spans="1:9">
      <c r="A32" s="231" t="s">
        <v>241</v>
      </c>
      <c r="B32" s="231" t="s">
        <v>246</v>
      </c>
      <c r="C32" s="238"/>
      <c r="D32" s="262"/>
      <c r="E32" s="263">
        <v>0</v>
      </c>
      <c r="F32" s="222"/>
    </row>
    <row r="33" spans="1:8">
      <c r="A33" s="231"/>
      <c r="B33" s="231"/>
      <c r="C33" s="238"/>
      <c r="D33" s="262"/>
      <c r="E33" s="264"/>
      <c r="F33" s="222"/>
    </row>
    <row r="34" spans="1:8" ht="15.75" customHeight="1" thickBot="1">
      <c r="A34" s="254" t="s">
        <v>243</v>
      </c>
      <c r="B34" s="254"/>
      <c r="C34" s="255"/>
      <c r="D34" s="255"/>
      <c r="E34" s="256">
        <f>SUM(E26:E32)</f>
        <v>3721153.4000000004</v>
      </c>
      <c r="F34" s="265"/>
      <c r="G34" s="239"/>
    </row>
    <row r="35" spans="1:8" ht="13.5" thickTop="1">
      <c r="A35" s="231"/>
      <c r="B35" s="231"/>
      <c r="C35" s="228"/>
      <c r="D35" s="238"/>
      <c r="E35" s="230"/>
      <c r="F35" s="222"/>
    </row>
    <row r="36" spans="1:8">
      <c r="A36" s="231"/>
      <c r="B36" s="231"/>
      <c r="C36" s="228"/>
      <c r="D36" s="238"/>
      <c r="E36" s="230"/>
      <c r="F36" s="222"/>
    </row>
    <row r="37" spans="1:8">
      <c r="A37" s="243"/>
      <c r="B37" s="243"/>
      <c r="C37" s="266"/>
      <c r="D37" s="267"/>
      <c r="E37" s="249"/>
      <c r="F37" s="268"/>
    </row>
    <row r="38" spans="1:8" ht="18.75" customHeight="1" thickBot="1">
      <c r="A38" s="254" t="s">
        <v>247</v>
      </c>
      <c r="B38" s="254"/>
      <c r="C38" s="269"/>
      <c r="D38" s="270"/>
      <c r="E38" s="271">
        <f>+E20+E34</f>
        <v>35101628.799999997</v>
      </c>
      <c r="F38" s="268"/>
      <c r="G38" s="225"/>
      <c r="H38" s="225"/>
    </row>
    <row r="39" spans="1:8" ht="18.75" customHeight="1" thickTop="1">
      <c r="A39" s="228"/>
      <c r="B39" s="228"/>
      <c r="C39" s="257"/>
      <c r="D39" s="272"/>
      <c r="E39" s="273"/>
      <c r="F39" s="268"/>
    </row>
    <row r="40" spans="1:8" ht="18.75" customHeight="1">
      <c r="A40" s="228"/>
      <c r="B40" s="228"/>
      <c r="C40" s="257"/>
      <c r="D40" s="272"/>
      <c r="E40" s="273"/>
      <c r="F40" s="268"/>
    </row>
    <row r="41" spans="1:8" ht="18.75" customHeight="1">
      <c r="A41" s="228"/>
      <c r="B41" s="228"/>
      <c r="C41" s="257"/>
      <c r="D41" s="272"/>
      <c r="E41" s="273"/>
      <c r="F41" s="268"/>
    </row>
    <row r="42" spans="1:8">
      <c r="A42" s="231"/>
      <c r="B42" s="231"/>
      <c r="C42" s="231"/>
      <c r="D42" s="231"/>
      <c r="E42" s="274"/>
      <c r="F42" s="275"/>
    </row>
    <row r="43" spans="1:8">
      <c r="D43" s="241"/>
    </row>
    <row r="44" spans="1:8">
      <c r="D44" s="241"/>
    </row>
    <row r="45" spans="1:8">
      <c r="D45" s="241"/>
    </row>
  </sheetData>
  <pageMargins left="1.25" right="0.75" top="1.02" bottom="0.4" header="0.5" footer="0.3"/>
  <pageSetup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3" workbookViewId="0">
      <selection activeCell="E45" sqref="E45"/>
    </sheetView>
  </sheetViews>
  <sheetFormatPr defaultColWidth="9.140625" defaultRowHeight="12.75"/>
  <cols>
    <col min="1" max="1" width="11.7109375" style="281" customWidth="1"/>
    <col min="2" max="2" width="10.7109375" style="281" customWidth="1"/>
    <col min="3" max="3" width="14.7109375" style="281" customWidth="1"/>
    <col min="4" max="4" width="16.7109375" style="281" customWidth="1"/>
    <col min="5" max="5" width="16.7109375" style="282" customWidth="1"/>
    <col min="6" max="8" width="10.7109375" style="281" customWidth="1"/>
    <col min="9" max="9" width="15.7109375" style="282" customWidth="1"/>
    <col min="10" max="10" width="8.7109375" style="281" customWidth="1"/>
    <col min="11" max="11" width="10.7109375" style="281" customWidth="1"/>
    <col min="12" max="12" width="13.7109375" style="282" customWidth="1"/>
    <col min="13" max="13" width="14.5703125" style="282" bestFit="1" customWidth="1"/>
    <col min="14" max="16384" width="9.140625" style="281"/>
  </cols>
  <sheetData>
    <row r="1" spans="1:15">
      <c r="A1" s="276" t="s">
        <v>50</v>
      </c>
      <c r="B1" s="276"/>
      <c r="C1" s="277"/>
      <c r="D1" s="277"/>
      <c r="E1" s="278"/>
      <c r="F1" s="279"/>
      <c r="G1" s="279"/>
      <c r="H1" s="279"/>
      <c r="I1" s="278"/>
      <c r="J1" s="277"/>
      <c r="K1" s="277"/>
      <c r="L1" s="278"/>
      <c r="M1" s="280"/>
    </row>
    <row r="2" spans="1:15">
      <c r="A2" s="276" t="s">
        <v>248</v>
      </c>
      <c r="B2" s="276"/>
      <c r="C2" s="277"/>
      <c r="D2" s="277"/>
      <c r="E2" s="278"/>
      <c r="F2" s="279"/>
      <c r="G2" s="279"/>
      <c r="H2" s="279"/>
      <c r="I2" s="278"/>
      <c r="J2" s="277"/>
      <c r="K2" s="277"/>
      <c r="L2" s="278"/>
    </row>
    <row r="3" spans="1:15">
      <c r="A3" s="283" t="s">
        <v>249</v>
      </c>
      <c r="B3" s="276"/>
      <c r="C3" s="277"/>
      <c r="D3" s="277"/>
      <c r="E3" s="278"/>
      <c r="F3" s="279"/>
      <c r="G3" s="279"/>
      <c r="H3" s="279"/>
      <c r="I3" s="278"/>
      <c r="J3" s="277"/>
      <c r="K3" s="277"/>
      <c r="L3" s="278"/>
    </row>
    <row r="4" spans="1:15">
      <c r="A4" s="276"/>
      <c r="B4" s="276"/>
      <c r="C4" s="277"/>
      <c r="D4" s="277"/>
      <c r="E4" s="278"/>
      <c r="F4" s="279"/>
      <c r="G4" s="279"/>
      <c r="H4" s="279"/>
      <c r="I4" s="278"/>
      <c r="J4" s="277"/>
      <c r="K4" s="277"/>
      <c r="L4" s="278"/>
    </row>
    <row r="5" spans="1:15">
      <c r="A5" s="276"/>
      <c r="B5" s="276"/>
      <c r="C5" s="277"/>
      <c r="D5" s="277"/>
      <c r="E5" s="278"/>
      <c r="F5" s="279"/>
      <c r="G5" s="279"/>
      <c r="H5" s="279"/>
      <c r="I5" s="278"/>
      <c r="J5" s="277"/>
      <c r="K5" s="277"/>
      <c r="L5" s="278"/>
    </row>
    <row r="6" spans="1:15" s="289" customFormat="1" ht="15.75" thickBot="1">
      <c r="A6" s="284" t="s">
        <v>250</v>
      </c>
      <c r="B6" s="284"/>
      <c r="C6" s="285"/>
      <c r="D6" s="285"/>
      <c r="E6" s="286"/>
      <c r="F6" s="287"/>
      <c r="G6" s="287"/>
      <c r="H6" s="287"/>
      <c r="I6" s="286"/>
      <c r="J6" s="285"/>
      <c r="K6" s="285"/>
      <c r="L6" s="286"/>
      <c r="M6" s="288"/>
    </row>
    <row r="7" spans="1:15">
      <c r="A7" s="290" t="s">
        <v>251</v>
      </c>
      <c r="B7" s="291"/>
      <c r="C7" s="291"/>
      <c r="D7" s="291" t="s">
        <v>252</v>
      </c>
      <c r="E7" s="292"/>
      <c r="F7" s="293" t="s">
        <v>253</v>
      </c>
      <c r="G7" s="293" t="s">
        <v>254</v>
      </c>
      <c r="H7" s="293" t="s">
        <v>255</v>
      </c>
      <c r="I7" s="292"/>
      <c r="J7" s="291" t="s">
        <v>256</v>
      </c>
      <c r="K7" s="291" t="s">
        <v>257</v>
      </c>
      <c r="L7" s="292" t="s">
        <v>258</v>
      </c>
      <c r="M7" s="294" t="s">
        <v>259</v>
      </c>
    </row>
    <row r="8" spans="1:15">
      <c r="A8" s="295" t="s">
        <v>260</v>
      </c>
      <c r="B8" s="296" t="s">
        <v>261</v>
      </c>
      <c r="C8" s="296" t="s">
        <v>262</v>
      </c>
      <c r="D8" s="296" t="s">
        <v>263</v>
      </c>
      <c r="E8" s="297" t="s">
        <v>264</v>
      </c>
      <c r="F8" s="298" t="s">
        <v>265</v>
      </c>
      <c r="G8" s="298" t="s">
        <v>265</v>
      </c>
      <c r="H8" s="298" t="s">
        <v>266</v>
      </c>
      <c r="I8" s="297" t="s">
        <v>267</v>
      </c>
      <c r="J8" s="296" t="s">
        <v>268</v>
      </c>
      <c r="K8" s="296" t="s">
        <v>113</v>
      </c>
      <c r="L8" s="297" t="s">
        <v>269</v>
      </c>
      <c r="M8" s="299" t="s">
        <v>270</v>
      </c>
    </row>
    <row r="9" spans="1:15" ht="13.5" thickBot="1">
      <c r="A9" s="300" t="s">
        <v>271</v>
      </c>
      <c r="B9" s="301" t="s">
        <v>272</v>
      </c>
      <c r="C9" s="301"/>
      <c r="D9" s="301" t="s">
        <v>273</v>
      </c>
      <c r="E9" s="302" t="s">
        <v>274</v>
      </c>
      <c r="F9" s="303" t="s">
        <v>274</v>
      </c>
      <c r="G9" s="303" t="s">
        <v>274</v>
      </c>
      <c r="H9" s="303" t="s">
        <v>275</v>
      </c>
      <c r="I9" s="302" t="s">
        <v>274</v>
      </c>
      <c r="J9" s="301" t="s">
        <v>276</v>
      </c>
      <c r="K9" s="301" t="s">
        <v>276</v>
      </c>
      <c r="L9" s="302" t="s">
        <v>277</v>
      </c>
      <c r="M9" s="304" t="s">
        <v>104</v>
      </c>
    </row>
    <row r="10" spans="1:15">
      <c r="A10" s="305"/>
      <c r="B10" s="296"/>
      <c r="C10" s="296"/>
      <c r="D10" s="296"/>
      <c r="E10" s="297"/>
      <c r="F10" s="298"/>
      <c r="G10" s="298"/>
      <c r="H10" s="298"/>
      <c r="I10" s="297"/>
      <c r="J10" s="296"/>
      <c r="K10" s="296"/>
      <c r="L10" s="297"/>
      <c r="M10" s="299"/>
    </row>
    <row r="11" spans="1:15">
      <c r="A11" s="306">
        <v>41883</v>
      </c>
      <c r="B11" s="602" t="s">
        <v>237</v>
      </c>
      <c r="C11" s="603"/>
      <c r="D11" s="307" t="s">
        <v>278</v>
      </c>
      <c r="E11" s="308">
        <v>12161189.850000001</v>
      </c>
      <c r="F11" s="309">
        <v>1</v>
      </c>
      <c r="G11" s="309">
        <v>1</v>
      </c>
      <c r="H11" s="309">
        <v>0</v>
      </c>
      <c r="I11" s="308">
        <f>+E11</f>
        <v>12161189.850000001</v>
      </c>
      <c r="J11" s="310"/>
      <c r="K11" s="309"/>
      <c r="L11" s="311"/>
      <c r="M11" s="312"/>
      <c r="O11" s="313"/>
    </row>
    <row r="12" spans="1:15">
      <c r="A12" s="314"/>
      <c r="B12" s="604"/>
      <c r="C12" s="604"/>
      <c r="D12" s="307" t="s">
        <v>279</v>
      </c>
      <c r="E12" s="315">
        <v>0</v>
      </c>
      <c r="F12" s="309"/>
      <c r="G12" s="309"/>
      <c r="H12" s="309"/>
      <c r="I12" s="315">
        <f>+I11+E12</f>
        <v>12161189.850000001</v>
      </c>
      <c r="J12" s="310"/>
      <c r="K12" s="309"/>
      <c r="L12" s="315"/>
      <c r="M12" s="316"/>
      <c r="O12" s="313"/>
    </row>
    <row r="13" spans="1:15">
      <c r="A13" s="314"/>
      <c r="B13" s="307"/>
      <c r="C13" s="307"/>
      <c r="D13" s="307" t="s">
        <v>280</v>
      </c>
      <c r="E13" s="315">
        <v>0</v>
      </c>
      <c r="F13" s="309"/>
      <c r="G13" s="309"/>
      <c r="H13" s="309"/>
      <c r="I13" s="315">
        <f>+I12+E13</f>
        <v>12161189.850000001</v>
      </c>
      <c r="J13" s="310"/>
      <c r="K13" s="309"/>
      <c r="L13" s="315"/>
      <c r="M13" s="316">
        <f>+E13</f>
        <v>0</v>
      </c>
      <c r="O13" s="313"/>
    </row>
    <row r="14" spans="1:15">
      <c r="A14" s="314">
        <v>41912</v>
      </c>
      <c r="B14" s="317"/>
      <c r="C14" s="310"/>
      <c r="D14" s="307" t="s">
        <v>187</v>
      </c>
      <c r="E14" s="318">
        <v>1200.1099999999999</v>
      </c>
      <c r="F14" s="309"/>
      <c r="G14" s="309"/>
      <c r="H14" s="309">
        <v>1.1999999999999999E-3</v>
      </c>
      <c r="I14" s="319">
        <f>+I13+E14</f>
        <v>12162389.960000001</v>
      </c>
      <c r="J14" s="310"/>
      <c r="K14" s="309"/>
      <c r="L14" s="318">
        <f>+E14</f>
        <v>1200.1099999999999</v>
      </c>
      <c r="M14" s="320"/>
      <c r="O14" s="313"/>
    </row>
    <row r="15" spans="1:15">
      <c r="A15" s="321"/>
      <c r="B15" s="322"/>
      <c r="C15" s="310"/>
      <c r="D15" s="310"/>
      <c r="E15" s="311"/>
      <c r="F15" s="309"/>
      <c r="G15" s="309"/>
      <c r="H15" s="309"/>
      <c r="I15" s="311"/>
      <c r="J15" s="310"/>
      <c r="K15" s="310"/>
      <c r="L15" s="311"/>
      <c r="M15" s="323"/>
    </row>
    <row r="16" spans="1:15" s="289" customFormat="1" ht="13.5" thickBot="1">
      <c r="A16" s="324"/>
      <c r="B16" s="325"/>
      <c r="C16" s="325"/>
      <c r="D16" s="326"/>
      <c r="E16" s="327">
        <f>SUM(E11:E14)</f>
        <v>12162389.960000001</v>
      </c>
      <c r="F16" s="328"/>
      <c r="G16" s="328"/>
      <c r="H16" s="328"/>
      <c r="I16" s="327">
        <f>I14</f>
        <v>12162389.960000001</v>
      </c>
      <c r="J16" s="329"/>
      <c r="K16" s="328"/>
      <c r="L16" s="327">
        <f>SUM(L14:L15)</f>
        <v>1200.1099999999999</v>
      </c>
      <c r="M16" s="330">
        <f>+M13</f>
        <v>0</v>
      </c>
    </row>
    <row r="17" spans="1:13" ht="14.25" thickTop="1" thickBot="1">
      <c r="A17" s="331"/>
      <c r="B17" s="332"/>
      <c r="C17" s="332"/>
      <c r="D17" s="332"/>
      <c r="E17" s="333"/>
      <c r="F17" s="332"/>
      <c r="G17" s="332"/>
      <c r="H17" s="332"/>
      <c r="I17" s="333"/>
      <c r="J17" s="332"/>
      <c r="K17" s="332"/>
      <c r="L17" s="333"/>
      <c r="M17" s="334"/>
    </row>
    <row r="21" spans="1:13" s="289" customFormat="1" ht="15.75" thickBot="1">
      <c r="A21" s="284" t="s">
        <v>250</v>
      </c>
      <c r="B21" s="284"/>
      <c r="C21" s="285"/>
      <c r="D21" s="285"/>
      <c r="E21" s="286"/>
      <c r="F21" s="287"/>
      <c r="G21" s="287"/>
      <c r="H21" s="287"/>
      <c r="I21" s="286"/>
      <c r="J21" s="285"/>
      <c r="K21" s="285"/>
      <c r="L21" s="286"/>
      <c r="M21" s="288"/>
    </row>
    <row r="22" spans="1:13">
      <c r="A22" s="290" t="s">
        <v>251</v>
      </c>
      <c r="B22" s="291"/>
      <c r="C22" s="291"/>
      <c r="D22" s="291" t="s">
        <v>252</v>
      </c>
      <c r="E22" s="292"/>
      <c r="F22" s="293" t="s">
        <v>253</v>
      </c>
      <c r="G22" s="293" t="s">
        <v>254</v>
      </c>
      <c r="H22" s="293" t="s">
        <v>255</v>
      </c>
      <c r="I22" s="292"/>
      <c r="J22" s="291" t="s">
        <v>256</v>
      </c>
      <c r="K22" s="291" t="s">
        <v>257</v>
      </c>
      <c r="L22" s="292" t="s">
        <v>258</v>
      </c>
      <c r="M22" s="294" t="s">
        <v>259</v>
      </c>
    </row>
    <row r="23" spans="1:13">
      <c r="A23" s="295" t="s">
        <v>260</v>
      </c>
      <c r="B23" s="296" t="s">
        <v>261</v>
      </c>
      <c r="C23" s="296" t="s">
        <v>262</v>
      </c>
      <c r="D23" s="296" t="s">
        <v>263</v>
      </c>
      <c r="E23" s="297" t="s">
        <v>264</v>
      </c>
      <c r="F23" s="298" t="s">
        <v>265</v>
      </c>
      <c r="G23" s="298" t="s">
        <v>265</v>
      </c>
      <c r="H23" s="298" t="s">
        <v>266</v>
      </c>
      <c r="I23" s="297" t="s">
        <v>267</v>
      </c>
      <c r="J23" s="296" t="s">
        <v>268</v>
      </c>
      <c r="K23" s="296" t="s">
        <v>113</v>
      </c>
      <c r="L23" s="297" t="s">
        <v>269</v>
      </c>
      <c r="M23" s="299" t="s">
        <v>281</v>
      </c>
    </row>
    <row r="24" spans="1:13" ht="13.5" thickBot="1">
      <c r="A24" s="300" t="s">
        <v>271</v>
      </c>
      <c r="B24" s="301" t="s">
        <v>272</v>
      </c>
      <c r="C24" s="301"/>
      <c r="D24" s="301" t="s">
        <v>273</v>
      </c>
      <c r="E24" s="302" t="s">
        <v>274</v>
      </c>
      <c r="F24" s="303" t="s">
        <v>274</v>
      </c>
      <c r="G24" s="303" t="s">
        <v>274</v>
      </c>
      <c r="H24" s="303" t="s">
        <v>275</v>
      </c>
      <c r="I24" s="302" t="s">
        <v>274</v>
      </c>
      <c r="J24" s="301" t="s">
        <v>276</v>
      </c>
      <c r="K24" s="301" t="s">
        <v>276</v>
      </c>
      <c r="L24" s="302" t="s">
        <v>277</v>
      </c>
      <c r="M24" s="304" t="s">
        <v>104</v>
      </c>
    </row>
    <row r="25" spans="1:13">
      <c r="A25" s="321"/>
      <c r="B25" s="322"/>
      <c r="C25" s="310"/>
      <c r="D25" s="310"/>
      <c r="E25" s="311"/>
      <c r="F25" s="309"/>
      <c r="G25" s="309"/>
      <c r="H25" s="309"/>
      <c r="I25" s="311"/>
      <c r="J25" s="310"/>
      <c r="K25" s="310"/>
      <c r="L25" s="311"/>
      <c r="M25" s="323"/>
    </row>
    <row r="26" spans="1:13">
      <c r="A26" s="306">
        <f>+A11</f>
        <v>41883</v>
      </c>
      <c r="B26" s="603" t="s">
        <v>282</v>
      </c>
      <c r="C26" s="603"/>
      <c r="D26" s="335" t="s">
        <v>278</v>
      </c>
      <c r="E26" s="308">
        <v>1378761.5899999996</v>
      </c>
      <c r="F26" s="309">
        <v>1</v>
      </c>
      <c r="G26" s="309">
        <v>1</v>
      </c>
      <c r="H26" s="309">
        <v>0</v>
      </c>
      <c r="I26" s="308">
        <f>E26</f>
        <v>1378761.5899999996</v>
      </c>
      <c r="J26" s="310"/>
      <c r="K26" s="309"/>
      <c r="L26" s="311"/>
      <c r="M26" s="312"/>
    </row>
    <row r="27" spans="1:13">
      <c r="A27" s="314"/>
      <c r="B27" s="317"/>
      <c r="C27" s="310"/>
      <c r="D27" s="335" t="s">
        <v>279</v>
      </c>
      <c r="E27" s="315">
        <v>0</v>
      </c>
      <c r="F27" s="309"/>
      <c r="G27" s="309"/>
      <c r="H27" s="309"/>
      <c r="I27" s="315">
        <f>+I26+E27</f>
        <v>1378761.5899999996</v>
      </c>
      <c r="J27" s="310"/>
      <c r="K27" s="309"/>
      <c r="L27" s="315"/>
      <c r="M27" s="336"/>
    </row>
    <row r="28" spans="1:13">
      <c r="A28" s="314"/>
      <c r="B28" s="317"/>
      <c r="C28" s="310"/>
      <c r="D28" s="307" t="s">
        <v>280</v>
      </c>
      <c r="E28" s="315">
        <v>0</v>
      </c>
      <c r="F28" s="309"/>
      <c r="G28" s="309"/>
      <c r="H28" s="309"/>
      <c r="I28" s="315">
        <f>+I27+E28</f>
        <v>1378761.5899999996</v>
      </c>
      <c r="J28" s="310"/>
      <c r="K28" s="309"/>
      <c r="L28" s="315"/>
      <c r="M28" s="336">
        <f>+E28</f>
        <v>0</v>
      </c>
    </row>
    <row r="29" spans="1:13">
      <c r="A29" s="314">
        <f>+A14</f>
        <v>41912</v>
      </c>
      <c r="B29" s="317"/>
      <c r="C29" s="310"/>
      <c r="D29" s="335" t="s">
        <v>187</v>
      </c>
      <c r="E29" s="318">
        <v>35.950000000000003</v>
      </c>
      <c r="F29" s="309"/>
      <c r="G29" s="309"/>
      <c r="H29" s="309">
        <v>3.1700000000000001E-4</v>
      </c>
      <c r="I29" s="315">
        <f>+I28+E29</f>
        <v>1378797.5399999996</v>
      </c>
      <c r="J29" s="310"/>
      <c r="K29" s="309"/>
      <c r="L29" s="318">
        <f>E29</f>
        <v>35.950000000000003</v>
      </c>
      <c r="M29" s="337"/>
    </row>
    <row r="30" spans="1:13">
      <c r="A30" s="321"/>
      <c r="B30" s="322"/>
      <c r="C30" s="310"/>
      <c r="D30" s="310"/>
      <c r="E30" s="311"/>
      <c r="F30" s="309"/>
      <c r="G30" s="309"/>
      <c r="H30" s="309"/>
      <c r="I30" s="311"/>
      <c r="J30" s="310"/>
      <c r="K30" s="310"/>
      <c r="L30" s="311"/>
      <c r="M30" s="323"/>
    </row>
    <row r="31" spans="1:13" s="289" customFormat="1" ht="13.5" thickBot="1">
      <c r="A31" s="324"/>
      <c r="B31" s="325"/>
      <c r="C31" s="325"/>
      <c r="D31" s="326"/>
      <c r="E31" s="327">
        <f>E26+E27+E29</f>
        <v>1378797.5399999996</v>
      </c>
      <c r="F31" s="328"/>
      <c r="G31" s="328"/>
      <c r="H31" s="328"/>
      <c r="I31" s="327">
        <f>I29</f>
        <v>1378797.5399999996</v>
      </c>
      <c r="J31" s="329"/>
      <c r="K31" s="328"/>
      <c r="L31" s="327">
        <f>L29</f>
        <v>35.950000000000003</v>
      </c>
      <c r="M31" s="338">
        <f>+M28</f>
        <v>0</v>
      </c>
    </row>
    <row r="32" spans="1:13" ht="14.25" thickTop="1" thickBot="1">
      <c r="A32" s="331"/>
      <c r="B32" s="332"/>
      <c r="C32" s="332"/>
      <c r="D32" s="332"/>
      <c r="E32" s="333"/>
      <c r="F32" s="332"/>
      <c r="G32" s="332"/>
      <c r="H32" s="332"/>
      <c r="I32" s="333"/>
      <c r="J32" s="332"/>
      <c r="K32" s="332"/>
      <c r="L32" s="333"/>
      <c r="M32" s="334"/>
    </row>
    <row r="36" spans="1:13" s="289" customFormat="1" ht="15.75" thickBot="1">
      <c r="A36" s="284" t="s">
        <v>283</v>
      </c>
      <c r="B36" s="284"/>
      <c r="C36" s="285"/>
      <c r="D36" s="285"/>
      <c r="E36" s="286"/>
      <c r="F36" s="287"/>
      <c r="G36" s="287"/>
      <c r="H36" s="287"/>
      <c r="I36" s="286"/>
      <c r="J36" s="285"/>
      <c r="K36" s="285"/>
      <c r="L36" s="286"/>
      <c r="M36" s="288"/>
    </row>
    <row r="37" spans="1:13">
      <c r="A37" s="290" t="s">
        <v>251</v>
      </c>
      <c r="B37" s="291"/>
      <c r="C37" s="291"/>
      <c r="D37" s="291" t="s">
        <v>252</v>
      </c>
      <c r="E37" s="292"/>
      <c r="F37" s="293" t="s">
        <v>253</v>
      </c>
      <c r="G37" s="293" t="s">
        <v>254</v>
      </c>
      <c r="H37" s="293" t="s">
        <v>255</v>
      </c>
      <c r="I37" s="292"/>
      <c r="J37" s="291" t="s">
        <v>256</v>
      </c>
      <c r="K37" s="291" t="s">
        <v>257</v>
      </c>
      <c r="L37" s="292" t="s">
        <v>258</v>
      </c>
      <c r="M37" s="294" t="s">
        <v>259</v>
      </c>
    </row>
    <row r="38" spans="1:13">
      <c r="A38" s="295" t="s">
        <v>260</v>
      </c>
      <c r="B38" s="296" t="s">
        <v>261</v>
      </c>
      <c r="C38" s="296" t="s">
        <v>262</v>
      </c>
      <c r="D38" s="296" t="s">
        <v>263</v>
      </c>
      <c r="E38" s="297" t="s">
        <v>264</v>
      </c>
      <c r="F38" s="298" t="s">
        <v>265</v>
      </c>
      <c r="G38" s="298" t="s">
        <v>265</v>
      </c>
      <c r="H38" s="298" t="s">
        <v>266</v>
      </c>
      <c r="I38" s="297" t="s">
        <v>267</v>
      </c>
      <c r="J38" s="296" t="s">
        <v>268</v>
      </c>
      <c r="K38" s="296" t="s">
        <v>113</v>
      </c>
      <c r="L38" s="297" t="s">
        <v>269</v>
      </c>
      <c r="M38" s="299" t="s">
        <v>281</v>
      </c>
    </row>
    <row r="39" spans="1:13" ht="13.5" thickBot="1">
      <c r="A39" s="300" t="s">
        <v>271</v>
      </c>
      <c r="B39" s="301" t="s">
        <v>272</v>
      </c>
      <c r="C39" s="301"/>
      <c r="D39" s="301" t="s">
        <v>273</v>
      </c>
      <c r="E39" s="302" t="s">
        <v>274</v>
      </c>
      <c r="F39" s="303" t="s">
        <v>274</v>
      </c>
      <c r="G39" s="303" t="s">
        <v>274</v>
      </c>
      <c r="H39" s="303" t="s">
        <v>275</v>
      </c>
      <c r="I39" s="302" t="s">
        <v>274</v>
      </c>
      <c r="J39" s="301" t="s">
        <v>276</v>
      </c>
      <c r="K39" s="301" t="s">
        <v>276</v>
      </c>
      <c r="L39" s="302" t="s">
        <v>277</v>
      </c>
      <c r="M39" s="304" t="s">
        <v>104</v>
      </c>
    </row>
    <row r="40" spans="1:13">
      <c r="A40" s="321"/>
      <c r="B40" s="322"/>
      <c r="C40" s="310"/>
      <c r="D40" s="310"/>
      <c r="E40" s="311"/>
      <c r="F40" s="309"/>
      <c r="G40" s="309"/>
      <c r="H40" s="309"/>
      <c r="I40" s="311"/>
      <c r="J40" s="310"/>
      <c r="K40" s="310"/>
      <c r="L40" s="311"/>
      <c r="M40" s="323"/>
    </row>
    <row r="41" spans="1:13">
      <c r="A41" s="306">
        <f>+A11</f>
        <v>41883</v>
      </c>
      <c r="B41" s="603" t="s">
        <v>284</v>
      </c>
      <c r="C41" s="603"/>
      <c r="D41" s="335" t="s">
        <v>278</v>
      </c>
      <c r="E41" s="308">
        <v>4444599.3900000053</v>
      </c>
      <c r="F41" s="309">
        <v>1</v>
      </c>
      <c r="G41" s="309">
        <v>1</v>
      </c>
      <c r="H41" s="309">
        <v>0</v>
      </c>
      <c r="I41" s="308">
        <f>E41</f>
        <v>4444599.3900000053</v>
      </c>
      <c r="J41" s="310"/>
      <c r="K41" s="309"/>
      <c r="L41" s="311"/>
      <c r="M41" s="312"/>
    </row>
    <row r="42" spans="1:13">
      <c r="A42" s="314"/>
      <c r="B42" s="317"/>
      <c r="C42" s="310"/>
      <c r="D42" s="335" t="s">
        <v>279</v>
      </c>
      <c r="E42" s="315">
        <v>0</v>
      </c>
      <c r="F42" s="309"/>
      <c r="G42" s="309"/>
      <c r="H42" s="309"/>
      <c r="I42" s="315">
        <f>+I41+E42</f>
        <v>4444599.3900000053</v>
      </c>
      <c r="J42" s="310"/>
      <c r="K42" s="309"/>
      <c r="L42" s="315"/>
      <c r="M42" s="336"/>
    </row>
    <row r="43" spans="1:13">
      <c r="A43" s="314"/>
      <c r="B43" s="317"/>
      <c r="C43" s="310"/>
      <c r="D43" s="307" t="s">
        <v>280</v>
      </c>
      <c r="E43" s="315">
        <v>-2635963.4300000002</v>
      </c>
      <c r="F43" s="309"/>
      <c r="G43" s="309"/>
      <c r="H43" s="309"/>
      <c r="I43" s="315">
        <f>+I42+E43</f>
        <v>1808635.9600000051</v>
      </c>
      <c r="J43" s="310"/>
      <c r="K43" s="309"/>
      <c r="L43" s="315"/>
      <c r="M43" s="336">
        <f>+E43</f>
        <v>-2635963.4300000002</v>
      </c>
    </row>
    <row r="44" spans="1:13">
      <c r="A44" s="314">
        <f>+A14</f>
        <v>41912</v>
      </c>
      <c r="B44" s="317"/>
      <c r="C44" s="310"/>
      <c r="D44" s="335" t="s">
        <v>187</v>
      </c>
      <c r="E44" s="339">
        <v>196.38</v>
      </c>
      <c r="F44" s="309"/>
      <c r="G44" s="309"/>
      <c r="H44" s="309">
        <v>1E-3</v>
      </c>
      <c r="I44" s="315">
        <f>+I43+E44</f>
        <v>1808832.340000005</v>
      </c>
      <c r="J44" s="310"/>
      <c r="K44" s="309"/>
      <c r="L44" s="318">
        <f>E44</f>
        <v>196.38</v>
      </c>
      <c r="M44" s="337"/>
    </row>
    <row r="45" spans="1:13">
      <c r="A45" s="321"/>
      <c r="B45" s="322"/>
      <c r="C45" s="310"/>
      <c r="D45" s="310"/>
      <c r="E45" s="340" t="s">
        <v>51</v>
      </c>
      <c r="F45" s="309"/>
      <c r="G45" s="309"/>
      <c r="H45" s="309"/>
      <c r="I45" s="311"/>
      <c r="J45" s="310"/>
      <c r="K45" s="310"/>
      <c r="L45" s="311"/>
      <c r="M45" s="323"/>
    </row>
    <row r="46" spans="1:13" s="289" customFormat="1" ht="13.5" thickBot="1">
      <c r="A46" s="324"/>
      <c r="B46" s="325"/>
      <c r="C46" s="325"/>
      <c r="D46" s="326"/>
      <c r="E46" s="327">
        <f>SUM(E41:E44)</f>
        <v>1808832.340000005</v>
      </c>
      <c r="F46" s="328"/>
      <c r="G46" s="328"/>
      <c r="H46" s="328"/>
      <c r="I46" s="327">
        <f>I44</f>
        <v>1808832.340000005</v>
      </c>
      <c r="J46" s="329"/>
      <c r="K46" s="328"/>
      <c r="L46" s="327">
        <f>L44</f>
        <v>196.38</v>
      </c>
      <c r="M46" s="338">
        <f>+M43</f>
        <v>-2635963.4300000002</v>
      </c>
    </row>
    <row r="47" spans="1:13" ht="14.25" thickTop="1" thickBot="1">
      <c r="A47" s="331"/>
      <c r="B47" s="332"/>
      <c r="C47" s="332"/>
      <c r="D47" s="332"/>
      <c r="E47" s="333"/>
      <c r="F47" s="332"/>
      <c r="G47" s="332"/>
      <c r="H47" s="332"/>
      <c r="I47" s="333"/>
      <c r="J47" s="332"/>
      <c r="K47" s="332"/>
      <c r="L47" s="333"/>
      <c r="M47" s="334"/>
    </row>
  </sheetData>
  <mergeCells count="4">
    <mergeCell ref="B11:C11"/>
    <mergeCell ref="B12:C12"/>
    <mergeCell ref="B26:C26"/>
    <mergeCell ref="B41:C41"/>
  </mergeCells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ColWidth="9.140625" defaultRowHeight="12.75"/>
  <cols>
    <col min="1" max="1" width="11.7109375" style="281" customWidth="1"/>
    <col min="2" max="2" width="10.7109375" style="281" customWidth="1"/>
    <col min="3" max="3" width="14.7109375" style="281" customWidth="1"/>
    <col min="4" max="4" width="16.7109375" style="281" customWidth="1"/>
    <col min="5" max="5" width="16.7109375" style="282" customWidth="1"/>
    <col min="6" max="8" width="10.7109375" style="281" customWidth="1"/>
    <col min="9" max="9" width="15.7109375" style="282" customWidth="1"/>
    <col min="10" max="10" width="8.7109375" style="281" customWidth="1"/>
    <col min="11" max="11" width="10.7109375" style="281" customWidth="1"/>
    <col min="12" max="12" width="13.7109375" style="282" customWidth="1"/>
    <col min="13" max="13" width="14.5703125" style="282" bestFit="1" customWidth="1"/>
    <col min="14" max="16384" width="9.140625" style="281"/>
  </cols>
  <sheetData>
    <row r="1" spans="1:15">
      <c r="A1" s="276" t="s">
        <v>50</v>
      </c>
      <c r="B1" s="276"/>
      <c r="C1" s="277"/>
      <c r="D1" s="277"/>
      <c r="E1" s="278"/>
      <c r="F1" s="279"/>
      <c r="G1" s="279"/>
      <c r="H1" s="279"/>
      <c r="I1" s="278"/>
      <c r="J1" s="277"/>
      <c r="K1" s="277"/>
      <c r="L1" s="278"/>
      <c r="M1" s="280"/>
    </row>
    <row r="2" spans="1:15">
      <c r="A2" s="276" t="s">
        <v>248</v>
      </c>
      <c r="B2" s="276"/>
      <c r="C2" s="277"/>
      <c r="D2" s="277"/>
      <c r="E2" s="278"/>
      <c r="F2" s="279"/>
      <c r="G2" s="279"/>
      <c r="H2" s="279"/>
      <c r="I2" s="278"/>
      <c r="J2" s="277"/>
      <c r="K2" s="277"/>
      <c r="L2" s="278"/>
    </row>
    <row r="3" spans="1:15">
      <c r="A3" s="283" t="s">
        <v>285</v>
      </c>
      <c r="B3" s="276"/>
      <c r="C3" s="277"/>
      <c r="D3" s="277"/>
      <c r="E3" s="278"/>
      <c r="F3" s="279"/>
      <c r="G3" s="279"/>
      <c r="H3" s="279"/>
      <c r="I3" s="278"/>
      <c r="J3" s="277"/>
      <c r="K3" s="277"/>
      <c r="L3" s="278"/>
    </row>
    <row r="4" spans="1:15">
      <c r="A4" s="276"/>
      <c r="B4" s="276"/>
      <c r="C4" s="277"/>
      <c r="D4" s="277"/>
      <c r="E4" s="278"/>
      <c r="F4" s="279"/>
      <c r="G4" s="279"/>
      <c r="H4" s="279"/>
      <c r="I4" s="278"/>
      <c r="J4" s="277"/>
      <c r="K4" s="277"/>
      <c r="L4" s="278"/>
    </row>
    <row r="5" spans="1:15">
      <c r="A5" s="276"/>
      <c r="B5" s="276"/>
      <c r="C5" s="277"/>
      <c r="D5" s="277"/>
      <c r="E5" s="278"/>
      <c r="F5" s="279"/>
      <c r="G5" s="279"/>
      <c r="H5" s="279"/>
      <c r="I5" s="278"/>
      <c r="J5" s="277"/>
      <c r="K5" s="277"/>
      <c r="L5" s="278"/>
    </row>
    <row r="6" spans="1:15" s="289" customFormat="1" ht="15.75" thickBot="1">
      <c r="A6" s="284" t="s">
        <v>286</v>
      </c>
      <c r="B6" s="284"/>
      <c r="C6" s="285"/>
      <c r="D6" s="285"/>
      <c r="E6" s="286"/>
      <c r="F6" s="287"/>
      <c r="G6" s="287"/>
      <c r="H6" s="287"/>
      <c r="I6" s="286"/>
      <c r="J6" s="285"/>
      <c r="K6" s="285"/>
      <c r="L6" s="286"/>
      <c r="M6" s="288"/>
    </row>
    <row r="7" spans="1:15">
      <c r="A7" s="290" t="s">
        <v>251</v>
      </c>
      <c r="B7" s="291"/>
      <c r="C7" s="291"/>
      <c r="D7" s="291" t="s">
        <v>252</v>
      </c>
      <c r="E7" s="292"/>
      <c r="F7" s="293" t="s">
        <v>253</v>
      </c>
      <c r="G7" s="293" t="s">
        <v>254</v>
      </c>
      <c r="H7" s="293" t="s">
        <v>255</v>
      </c>
      <c r="I7" s="292"/>
      <c r="J7" s="291" t="s">
        <v>256</v>
      </c>
      <c r="K7" s="291" t="s">
        <v>257</v>
      </c>
      <c r="L7" s="292" t="s">
        <v>258</v>
      </c>
      <c r="M7" s="294" t="s">
        <v>259</v>
      </c>
    </row>
    <row r="8" spans="1:15">
      <c r="A8" s="295" t="s">
        <v>260</v>
      </c>
      <c r="B8" s="296" t="s">
        <v>261</v>
      </c>
      <c r="C8" s="296" t="s">
        <v>262</v>
      </c>
      <c r="D8" s="296" t="s">
        <v>263</v>
      </c>
      <c r="E8" s="297" t="s">
        <v>264</v>
      </c>
      <c r="F8" s="298" t="s">
        <v>265</v>
      </c>
      <c r="G8" s="298" t="s">
        <v>265</v>
      </c>
      <c r="H8" s="298" t="s">
        <v>266</v>
      </c>
      <c r="I8" s="297" t="s">
        <v>267</v>
      </c>
      <c r="J8" s="296" t="s">
        <v>268</v>
      </c>
      <c r="K8" s="296" t="s">
        <v>113</v>
      </c>
      <c r="L8" s="297" t="s">
        <v>269</v>
      </c>
      <c r="M8" s="299" t="s">
        <v>270</v>
      </c>
    </row>
    <row r="9" spans="1:15" ht="13.5" thickBot="1">
      <c r="A9" s="300" t="s">
        <v>271</v>
      </c>
      <c r="B9" s="301" t="s">
        <v>272</v>
      </c>
      <c r="C9" s="301"/>
      <c r="D9" s="301" t="s">
        <v>273</v>
      </c>
      <c r="E9" s="302" t="s">
        <v>274</v>
      </c>
      <c r="F9" s="303" t="s">
        <v>274</v>
      </c>
      <c r="G9" s="303" t="s">
        <v>274</v>
      </c>
      <c r="H9" s="303" t="s">
        <v>275</v>
      </c>
      <c r="I9" s="302" t="s">
        <v>274</v>
      </c>
      <c r="J9" s="301" t="s">
        <v>276</v>
      </c>
      <c r="K9" s="301" t="s">
        <v>276</v>
      </c>
      <c r="L9" s="302" t="s">
        <v>277</v>
      </c>
      <c r="M9" s="304" t="s">
        <v>104</v>
      </c>
    </row>
    <row r="10" spans="1:15">
      <c r="A10" s="305"/>
      <c r="B10" s="296"/>
      <c r="C10" s="296"/>
      <c r="D10" s="296"/>
      <c r="E10" s="297"/>
      <c r="F10" s="298"/>
      <c r="G10" s="298"/>
      <c r="H10" s="298"/>
      <c r="I10" s="297"/>
      <c r="J10" s="296"/>
      <c r="K10" s="296"/>
      <c r="L10" s="297"/>
      <c r="M10" s="299"/>
    </row>
    <row r="11" spans="1:15">
      <c r="A11" s="306">
        <v>41883</v>
      </c>
      <c r="B11" s="602" t="s">
        <v>287</v>
      </c>
      <c r="C11" s="603"/>
      <c r="D11" s="307" t="s">
        <v>278</v>
      </c>
      <c r="E11" s="308">
        <v>1240988.1700000011</v>
      </c>
      <c r="F11" s="309">
        <v>1</v>
      </c>
      <c r="G11" s="309">
        <v>1</v>
      </c>
      <c r="H11" s="309">
        <v>0</v>
      </c>
      <c r="I11" s="308">
        <f>+E11</f>
        <v>1240988.1700000011</v>
      </c>
      <c r="J11" s="310"/>
      <c r="K11" s="309"/>
      <c r="L11" s="311"/>
      <c r="M11" s="312"/>
      <c r="O11" s="313"/>
    </row>
    <row r="12" spans="1:15">
      <c r="A12" s="314"/>
      <c r="B12" s="604"/>
      <c r="C12" s="604"/>
      <c r="D12" s="307" t="s">
        <v>279</v>
      </c>
      <c r="E12" s="315">
        <v>0</v>
      </c>
      <c r="F12" s="309"/>
      <c r="G12" s="309"/>
      <c r="H12" s="309"/>
      <c r="I12" s="315">
        <f>+I11+E12</f>
        <v>1240988.1700000011</v>
      </c>
      <c r="J12" s="310"/>
      <c r="K12" s="309"/>
      <c r="L12" s="315"/>
      <c r="M12" s="316"/>
      <c r="O12" s="313"/>
    </row>
    <row r="13" spans="1:15">
      <c r="A13" s="314"/>
      <c r="B13" s="307"/>
      <c r="C13" s="307"/>
      <c r="D13" s="307" t="s">
        <v>280</v>
      </c>
      <c r="E13" s="315">
        <v>0</v>
      </c>
      <c r="F13" s="309"/>
      <c r="G13" s="309"/>
      <c r="H13" s="309"/>
      <c r="I13" s="315">
        <f>+I12+E13</f>
        <v>1240988.1700000011</v>
      </c>
      <c r="J13" s="310"/>
      <c r="K13" s="309"/>
      <c r="L13" s="315"/>
      <c r="M13" s="316">
        <f>+E13</f>
        <v>0</v>
      </c>
      <c r="O13" s="313"/>
    </row>
    <row r="14" spans="1:15">
      <c r="A14" s="314">
        <v>41912</v>
      </c>
      <c r="B14" s="317"/>
      <c r="C14" s="310"/>
      <c r="D14" s="307" t="s">
        <v>187</v>
      </c>
      <c r="E14" s="318">
        <v>33.94</v>
      </c>
      <c r="F14" s="309"/>
      <c r="G14" s="309"/>
      <c r="H14" s="341">
        <v>3.3300000000000002E-4</v>
      </c>
      <c r="I14" s="315">
        <f>+I13+E14</f>
        <v>1241022.110000001</v>
      </c>
      <c r="J14" s="310"/>
      <c r="K14" s="309"/>
      <c r="L14" s="318">
        <f>+E14</f>
        <v>33.94</v>
      </c>
      <c r="M14" s="320"/>
      <c r="O14" s="313"/>
    </row>
    <row r="15" spans="1:15">
      <c r="A15" s="321" t="s">
        <v>51</v>
      </c>
      <c r="B15" s="322"/>
      <c r="C15" s="310"/>
      <c r="D15" s="310"/>
      <c r="E15" s="311"/>
      <c r="F15" s="309"/>
      <c r="G15" s="309"/>
      <c r="H15" s="309" t="s">
        <v>51</v>
      </c>
      <c r="I15" s="311"/>
      <c r="J15" s="310"/>
      <c r="K15" s="310"/>
      <c r="L15" s="311"/>
      <c r="M15" s="323"/>
    </row>
    <row r="16" spans="1:15" s="289" customFormat="1" ht="13.5" thickBot="1">
      <c r="A16" s="324"/>
      <c r="B16" s="325"/>
      <c r="C16" s="325"/>
      <c r="D16" s="326"/>
      <c r="E16" s="327">
        <f>SUM(E11:E14)</f>
        <v>1241022.110000001</v>
      </c>
      <c r="F16" s="328"/>
      <c r="G16" s="328"/>
      <c r="H16" s="328"/>
      <c r="I16" s="327">
        <f>I14</f>
        <v>1241022.110000001</v>
      </c>
      <c r="J16" s="329"/>
      <c r="K16" s="328"/>
      <c r="L16" s="327">
        <f>SUM(L14:L15)</f>
        <v>33.94</v>
      </c>
      <c r="M16" s="330">
        <f>SUM(M12:M15)</f>
        <v>0</v>
      </c>
    </row>
    <row r="17" spans="1:13" ht="14.25" thickTop="1" thickBot="1">
      <c r="A17" s="331"/>
      <c r="B17" s="332"/>
      <c r="C17" s="332"/>
      <c r="D17" s="332"/>
      <c r="E17" s="333"/>
      <c r="F17" s="332"/>
      <c r="G17" s="332"/>
      <c r="H17" s="332"/>
      <c r="I17" s="333"/>
      <c r="J17" s="332"/>
      <c r="K17" s="332"/>
      <c r="L17" s="333"/>
      <c r="M17" s="334"/>
    </row>
  </sheetData>
  <mergeCells count="2">
    <mergeCell ref="B11:C11"/>
    <mergeCell ref="B12:C12"/>
  </mergeCells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workbookViewId="0">
      <selection activeCell="AW11" sqref="AW11"/>
    </sheetView>
  </sheetViews>
  <sheetFormatPr defaultColWidth="9.140625" defaultRowHeight="12.75"/>
  <cols>
    <col min="1" max="1" width="26.7109375" style="344" customWidth="1"/>
    <col min="2" max="2" width="5" style="344" customWidth="1"/>
    <col min="3" max="3" width="17.5703125" style="349" customWidth="1"/>
    <col min="4" max="4" width="0.85546875" style="344" customWidth="1"/>
    <col min="5" max="5" width="9.140625" style="344"/>
    <col min="6" max="6" width="17.5703125" style="349" customWidth="1"/>
    <col min="7" max="7" width="0.85546875" style="344" customWidth="1"/>
    <col min="8" max="8" width="9.140625" style="344"/>
    <col min="9" max="9" width="17.7109375" style="349" customWidth="1"/>
    <col min="10" max="10" width="0.85546875" style="349" customWidth="1"/>
    <col min="11" max="11" width="9.140625" style="344"/>
    <col min="12" max="12" width="17.5703125" style="349" customWidth="1"/>
    <col min="13" max="13" width="0.85546875" style="344" customWidth="1"/>
    <col min="14" max="14" width="8.7109375" style="344" customWidth="1"/>
    <col min="15" max="15" width="26.7109375" style="344" customWidth="1"/>
    <col min="16" max="16" width="1.28515625" style="344" customWidth="1"/>
    <col min="17" max="17" width="17.5703125" style="349" customWidth="1"/>
    <col min="18" max="18" width="0.85546875" style="344" customWidth="1"/>
    <col min="19" max="19" width="9.140625" style="344"/>
    <col min="20" max="20" width="17.5703125" style="349" customWidth="1"/>
    <col min="21" max="21" width="0.85546875" style="344" customWidth="1"/>
    <col min="22" max="22" width="9.140625" style="344"/>
    <col min="23" max="23" width="17.5703125" style="349" customWidth="1"/>
    <col min="24" max="24" width="0.85546875" style="349" customWidth="1"/>
    <col min="25" max="25" width="9.140625" style="344"/>
    <col min="26" max="26" width="17.5703125" style="349" customWidth="1"/>
    <col min="27" max="27" width="0.85546875" style="344" customWidth="1"/>
    <col min="28" max="28" width="9.140625" style="344"/>
    <col min="29" max="29" width="31.140625" style="344" customWidth="1"/>
    <col min="30" max="30" width="1.28515625" style="344" customWidth="1"/>
    <col min="31" max="31" width="17.42578125" style="349" customWidth="1"/>
    <col min="32" max="32" width="0.85546875" style="344" customWidth="1"/>
    <col min="33" max="33" width="9.140625" style="344"/>
    <col min="34" max="34" width="17.5703125" style="349" customWidth="1"/>
    <col min="35" max="35" width="0.7109375" style="344" customWidth="1"/>
    <col min="36" max="36" width="9.7109375" style="344" customWidth="1"/>
    <col min="37" max="37" width="15.85546875" style="349" customWidth="1"/>
    <col min="38" max="38" width="0.85546875" style="344" customWidth="1"/>
    <col min="39" max="39" width="10.7109375" style="344" customWidth="1"/>
    <col min="40" max="40" width="17.7109375" style="349" customWidth="1"/>
    <col min="41" max="41" width="0.85546875" style="349" customWidth="1"/>
    <col min="42" max="42" width="9.140625" style="344"/>
    <col min="43" max="43" width="31.140625" style="344" customWidth="1"/>
    <col min="44" max="44" width="15.85546875" style="344" customWidth="1"/>
    <col min="45" max="45" width="1.5703125" style="344" customWidth="1"/>
    <col min="46" max="46" width="8.28515625" style="344" customWidth="1"/>
    <col min="47" max="47" width="14.85546875" style="349" customWidth="1"/>
    <col min="48" max="48" width="0.85546875" style="344" customWidth="1"/>
    <col min="49" max="49" width="10" style="344" customWidth="1"/>
    <col min="50" max="50" width="2.28515625" style="344" hidden="1" customWidth="1"/>
    <col min="51" max="51" width="16" style="349" customWidth="1"/>
    <col min="52" max="52" width="0.85546875" style="344" customWidth="1"/>
    <col min="53" max="53" width="11.7109375" style="344" customWidth="1"/>
    <col min="54" max="54" width="16.140625" style="349" customWidth="1"/>
    <col min="55" max="55" width="0.85546875" style="349" customWidth="1"/>
    <col min="56" max="56" width="9.140625" style="344" customWidth="1"/>
    <col min="57" max="57" width="17.5703125" style="349" customWidth="1"/>
    <col min="58" max="58" width="1.42578125" style="344" customWidth="1"/>
    <col min="59" max="59" width="9.85546875" style="344" customWidth="1"/>
    <col min="60" max="16384" width="9.140625" style="344"/>
  </cols>
  <sheetData>
    <row r="1" spans="1:59" ht="19.5">
      <c r="A1" s="605" t="s">
        <v>52</v>
      </c>
      <c r="B1" s="605"/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 t="s">
        <v>52</v>
      </c>
      <c r="P1" s="605"/>
      <c r="Q1" s="605"/>
      <c r="R1" s="605"/>
      <c r="S1" s="605"/>
      <c r="T1" s="605"/>
      <c r="U1" s="605"/>
      <c r="V1" s="605"/>
      <c r="W1" s="605"/>
      <c r="X1" s="605"/>
      <c r="Y1" s="605"/>
      <c r="Z1" s="605"/>
      <c r="AA1" s="605"/>
      <c r="AB1" s="605"/>
      <c r="AC1" s="605" t="s">
        <v>52</v>
      </c>
      <c r="AD1" s="605"/>
      <c r="AE1" s="605"/>
      <c r="AF1" s="605"/>
      <c r="AG1" s="605"/>
      <c r="AH1" s="605"/>
      <c r="AI1" s="605"/>
      <c r="AJ1" s="605"/>
      <c r="AK1" s="605"/>
      <c r="AL1" s="605"/>
      <c r="AM1" s="605"/>
      <c r="AN1" s="605"/>
      <c r="AO1" s="605"/>
      <c r="AP1" s="605"/>
      <c r="AQ1" s="605" t="s">
        <v>52</v>
      </c>
      <c r="AR1" s="605"/>
      <c r="AS1" s="605"/>
      <c r="AT1" s="605"/>
      <c r="AU1" s="605"/>
      <c r="AV1" s="605"/>
      <c r="AW1" s="605"/>
      <c r="AX1" s="605"/>
      <c r="AY1" s="605"/>
      <c r="AZ1" s="605"/>
      <c r="BA1" s="605"/>
      <c r="BB1" s="605"/>
      <c r="BC1" s="605"/>
      <c r="BD1" s="605"/>
      <c r="BE1" s="342"/>
      <c r="BF1" s="343"/>
      <c r="BG1" s="343"/>
    </row>
    <row r="2" spans="1:59" ht="19.5">
      <c r="A2" s="605" t="s">
        <v>288</v>
      </c>
      <c r="B2" s="605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 t="str">
        <f>A2</f>
        <v>Summary of Revenue &amp; Expenditures As Of  09/30/14</v>
      </c>
      <c r="P2" s="605"/>
      <c r="Q2" s="605"/>
      <c r="R2" s="605"/>
      <c r="S2" s="605"/>
      <c r="T2" s="605"/>
      <c r="U2" s="605"/>
      <c r="V2" s="605"/>
      <c r="W2" s="605"/>
      <c r="X2" s="605"/>
      <c r="Y2" s="605"/>
      <c r="Z2" s="605"/>
      <c r="AA2" s="605"/>
      <c r="AB2" s="605"/>
      <c r="AC2" s="605" t="str">
        <f>A2</f>
        <v>Summary of Revenue &amp; Expenditures As Of  09/30/14</v>
      </c>
      <c r="AD2" s="605"/>
      <c r="AE2" s="605"/>
      <c r="AF2" s="605"/>
      <c r="AG2" s="605"/>
      <c r="AH2" s="605"/>
      <c r="AI2" s="605"/>
      <c r="AJ2" s="605"/>
      <c r="AK2" s="605"/>
      <c r="AL2" s="605"/>
      <c r="AM2" s="605"/>
      <c r="AN2" s="605"/>
      <c r="AO2" s="605"/>
      <c r="AP2" s="605"/>
      <c r="AQ2" s="605" t="str">
        <f>A2</f>
        <v>Summary of Revenue &amp; Expenditures As Of  09/30/14</v>
      </c>
      <c r="AR2" s="605"/>
      <c r="AS2" s="605"/>
      <c r="AT2" s="605"/>
      <c r="AU2" s="605"/>
      <c r="AV2" s="605"/>
      <c r="AW2" s="605"/>
      <c r="AX2" s="605"/>
      <c r="AY2" s="605"/>
      <c r="AZ2" s="605"/>
      <c r="BA2" s="605"/>
      <c r="BB2" s="605"/>
      <c r="BC2" s="605"/>
      <c r="BD2" s="605"/>
      <c r="BE2" s="342"/>
      <c r="BF2" s="343"/>
      <c r="BG2" s="343"/>
    </row>
    <row r="3" spans="1:59" s="347" customFormat="1" ht="19.5">
      <c r="A3" s="606" t="s">
        <v>289</v>
      </c>
      <c r="B3" s="606"/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 t="str">
        <f>A3</f>
        <v>Accounting Period: 09</v>
      </c>
      <c r="P3" s="606"/>
      <c r="Q3" s="606"/>
      <c r="R3" s="606"/>
      <c r="S3" s="606"/>
      <c r="T3" s="606"/>
      <c r="U3" s="606"/>
      <c r="V3" s="606"/>
      <c r="W3" s="606"/>
      <c r="X3" s="606"/>
      <c r="Y3" s="606"/>
      <c r="Z3" s="606"/>
      <c r="AA3" s="606"/>
      <c r="AB3" s="606"/>
      <c r="AC3" s="606" t="str">
        <f>O3</f>
        <v>Accounting Period: 09</v>
      </c>
      <c r="AD3" s="606"/>
      <c r="AE3" s="606"/>
      <c r="AF3" s="606"/>
      <c r="AG3" s="606"/>
      <c r="AH3" s="606"/>
      <c r="AI3" s="606"/>
      <c r="AJ3" s="606"/>
      <c r="AK3" s="606"/>
      <c r="AL3" s="606"/>
      <c r="AM3" s="606"/>
      <c r="AN3" s="606"/>
      <c r="AO3" s="606"/>
      <c r="AP3" s="606"/>
      <c r="AQ3" s="606" t="str">
        <f>A3</f>
        <v>Accounting Period: 09</v>
      </c>
      <c r="AR3" s="606"/>
      <c r="AS3" s="606"/>
      <c r="AT3" s="606"/>
      <c r="AU3" s="606"/>
      <c r="AV3" s="606"/>
      <c r="AW3" s="606"/>
      <c r="AX3" s="606"/>
      <c r="AY3" s="606"/>
      <c r="AZ3" s="606"/>
      <c r="BA3" s="606"/>
      <c r="BB3" s="606"/>
      <c r="BC3" s="606"/>
      <c r="BD3" s="606"/>
      <c r="BE3" s="345"/>
      <c r="BF3" s="346"/>
      <c r="BG3" s="346"/>
    </row>
    <row r="4" spans="1:59" ht="20.25" thickBot="1">
      <c r="A4" s="607"/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7"/>
      <c r="W4" s="607"/>
      <c r="X4" s="607"/>
      <c r="Y4" s="607"/>
      <c r="Z4" s="607"/>
      <c r="AA4" s="607"/>
      <c r="AB4" s="607"/>
      <c r="AC4" s="607"/>
      <c r="AD4" s="607"/>
      <c r="AE4" s="607"/>
      <c r="AF4" s="607"/>
      <c r="AG4" s="607"/>
      <c r="AH4" s="607"/>
      <c r="AI4" s="607"/>
      <c r="AJ4" s="607"/>
      <c r="AK4" s="607"/>
      <c r="AL4" s="607"/>
      <c r="AM4" s="607"/>
      <c r="AN4" s="607"/>
      <c r="AO4" s="607"/>
      <c r="AP4" s="607"/>
      <c r="AQ4" s="607"/>
      <c r="AR4" s="607"/>
      <c r="AS4" s="607"/>
      <c r="AT4" s="607"/>
      <c r="AU4" s="607"/>
      <c r="AV4" s="607"/>
      <c r="AW4" s="607"/>
      <c r="AX4" s="607"/>
      <c r="AY4" s="607"/>
      <c r="AZ4" s="607"/>
      <c r="BA4" s="607"/>
      <c r="BB4" s="606"/>
      <c r="BC4" s="606"/>
      <c r="BD4" s="606"/>
      <c r="BE4" s="345"/>
      <c r="BF4" s="346"/>
      <c r="BG4" s="346"/>
    </row>
    <row r="5" spans="1:59">
      <c r="B5" s="348"/>
      <c r="E5" s="348"/>
      <c r="H5" s="348"/>
      <c r="K5" s="348"/>
      <c r="N5" s="348"/>
      <c r="P5" s="348"/>
      <c r="S5" s="348"/>
      <c r="V5" s="348"/>
      <c r="Y5" s="348"/>
      <c r="Z5" s="350"/>
      <c r="AB5" s="348"/>
      <c r="AD5" s="348"/>
      <c r="AE5" s="350"/>
      <c r="AF5" s="349"/>
      <c r="AG5" s="348"/>
      <c r="AH5" s="350"/>
      <c r="AK5" s="350"/>
      <c r="AN5" s="350"/>
      <c r="AO5" s="344"/>
      <c r="AP5" s="348"/>
      <c r="AR5" s="350"/>
      <c r="AS5" s="349"/>
      <c r="AT5" s="348"/>
      <c r="AU5" s="351"/>
      <c r="AV5" s="352"/>
      <c r="AW5" s="353"/>
      <c r="AX5" s="354"/>
      <c r="BA5" s="355"/>
      <c r="BB5" s="356"/>
      <c r="BC5" s="347"/>
      <c r="BD5" s="347"/>
      <c r="BE5" s="344"/>
    </row>
    <row r="6" spans="1:59" ht="13.5" thickBot="1">
      <c r="B6" s="354"/>
      <c r="C6" s="357" t="s">
        <v>290</v>
      </c>
      <c r="D6" s="358"/>
      <c r="E6" s="359" t="s">
        <v>291</v>
      </c>
      <c r="F6" s="357" t="s">
        <v>292</v>
      </c>
      <c r="G6" s="358"/>
      <c r="H6" s="359" t="s">
        <v>291</v>
      </c>
      <c r="I6" s="357" t="s">
        <v>293</v>
      </c>
      <c r="J6" s="357"/>
      <c r="K6" s="359" t="s">
        <v>291</v>
      </c>
      <c r="L6" s="357" t="s">
        <v>294</v>
      </c>
      <c r="M6" s="360"/>
      <c r="N6" s="359" t="s">
        <v>291</v>
      </c>
      <c r="P6" s="354"/>
      <c r="Q6" s="357" t="s">
        <v>295</v>
      </c>
      <c r="R6" s="358"/>
      <c r="S6" s="359" t="s">
        <v>291</v>
      </c>
      <c r="T6" s="357" t="s">
        <v>296</v>
      </c>
      <c r="U6" s="358"/>
      <c r="V6" s="359" t="s">
        <v>291</v>
      </c>
      <c r="W6" s="361" t="s">
        <v>297</v>
      </c>
      <c r="X6" s="361"/>
      <c r="Y6" s="359" t="s">
        <v>291</v>
      </c>
      <c r="Z6" s="362" t="s">
        <v>298</v>
      </c>
      <c r="AA6" s="358"/>
      <c r="AB6" s="359" t="s">
        <v>291</v>
      </c>
      <c r="AD6" s="354"/>
      <c r="AE6" s="362" t="s">
        <v>299</v>
      </c>
      <c r="AF6" s="358"/>
      <c r="AG6" s="359" t="s">
        <v>291</v>
      </c>
      <c r="AH6" s="362" t="s">
        <v>300</v>
      </c>
      <c r="AI6" s="358"/>
      <c r="AJ6" s="363" t="s">
        <v>291</v>
      </c>
      <c r="AK6" s="362" t="s">
        <v>301</v>
      </c>
      <c r="AL6" s="358"/>
      <c r="AM6" s="363" t="s">
        <v>291</v>
      </c>
      <c r="AN6" s="362" t="s">
        <v>302</v>
      </c>
      <c r="AO6" s="358"/>
      <c r="AP6" s="359" t="s">
        <v>291</v>
      </c>
      <c r="AR6" s="362" t="s">
        <v>303</v>
      </c>
      <c r="AS6" s="358"/>
      <c r="AT6" s="359" t="s">
        <v>291</v>
      </c>
      <c r="AU6" s="364" t="s">
        <v>304</v>
      </c>
      <c r="AV6" s="365"/>
      <c r="AW6" s="366" t="s">
        <v>291</v>
      </c>
      <c r="AX6" s="354"/>
      <c r="AY6" s="361" t="s">
        <v>305</v>
      </c>
      <c r="AZ6" s="358"/>
      <c r="BA6" s="367" t="s">
        <v>291</v>
      </c>
      <c r="BB6" s="368"/>
      <c r="BC6" s="369"/>
      <c r="BD6" s="370"/>
      <c r="BE6" s="344"/>
    </row>
    <row r="7" spans="1:59">
      <c r="B7" s="354"/>
      <c r="C7" s="371" t="s">
        <v>306</v>
      </c>
      <c r="E7" s="354"/>
      <c r="F7" s="371" t="s">
        <v>307</v>
      </c>
      <c r="H7" s="354"/>
      <c r="I7" s="371" t="s">
        <v>308</v>
      </c>
      <c r="J7" s="371"/>
      <c r="K7" s="354"/>
      <c r="L7" s="371" t="s">
        <v>309</v>
      </c>
      <c r="M7" s="372"/>
      <c r="N7" s="354"/>
      <c r="P7" s="354"/>
      <c r="Q7" s="371" t="s">
        <v>310</v>
      </c>
      <c r="S7" s="354"/>
      <c r="T7" s="371" t="s">
        <v>311</v>
      </c>
      <c r="V7" s="354"/>
      <c r="W7" s="371" t="s">
        <v>312</v>
      </c>
      <c r="X7" s="371"/>
      <c r="Y7" s="354"/>
      <c r="Z7" s="373" t="s">
        <v>313</v>
      </c>
      <c r="AB7" s="354"/>
      <c r="AD7" s="354"/>
      <c r="AE7" s="374" t="s">
        <v>314</v>
      </c>
      <c r="AG7" s="354"/>
      <c r="AH7" s="374" t="s">
        <v>315</v>
      </c>
      <c r="AK7" s="374" t="s">
        <v>316</v>
      </c>
      <c r="AN7" s="374" t="s">
        <v>317</v>
      </c>
      <c r="AO7" s="344"/>
      <c r="AP7" s="354"/>
      <c r="AR7" s="374" t="s">
        <v>318</v>
      </c>
      <c r="AT7" s="354"/>
      <c r="AU7" s="375" t="s">
        <v>319</v>
      </c>
      <c r="AV7" s="376"/>
      <c r="AW7" s="377"/>
      <c r="AX7" s="378"/>
      <c r="AY7" s="371" t="s">
        <v>320</v>
      </c>
      <c r="BA7" s="379"/>
      <c r="BB7" s="368"/>
      <c r="BC7" s="369"/>
      <c r="BD7" s="347"/>
      <c r="BE7" s="344"/>
    </row>
    <row r="8" spans="1:59">
      <c r="B8" s="354"/>
      <c r="E8" s="378"/>
      <c r="F8" s="371" t="s">
        <v>321</v>
      </c>
      <c r="H8" s="354"/>
      <c r="I8" s="380" t="s">
        <v>322</v>
      </c>
      <c r="J8" s="380"/>
      <c r="K8" s="354"/>
      <c r="L8" s="380" t="s">
        <v>322</v>
      </c>
      <c r="M8" s="372"/>
      <c r="N8" s="354"/>
      <c r="P8" s="354"/>
      <c r="Q8" s="371" t="s">
        <v>323</v>
      </c>
      <c r="S8" s="378"/>
      <c r="V8" s="354"/>
      <c r="W8" s="371" t="s">
        <v>324</v>
      </c>
      <c r="X8" s="371"/>
      <c r="Y8" s="354"/>
      <c r="Z8" s="381"/>
      <c r="AB8" s="354"/>
      <c r="AD8" s="354"/>
      <c r="AE8" s="381"/>
      <c r="AG8" s="354"/>
      <c r="AH8" s="381"/>
      <c r="AK8" s="381"/>
      <c r="AN8" s="374"/>
      <c r="AO8" s="344"/>
      <c r="AP8" s="354"/>
      <c r="AR8" s="374"/>
      <c r="AT8" s="354"/>
      <c r="AU8" s="375"/>
      <c r="AV8" s="376"/>
      <c r="AW8" s="377"/>
      <c r="AX8" s="378"/>
      <c r="AY8" s="371"/>
      <c r="BA8" s="382"/>
      <c r="BB8" s="368"/>
      <c r="BC8" s="369"/>
      <c r="BD8" s="347"/>
      <c r="BE8" s="344"/>
    </row>
    <row r="9" spans="1:59">
      <c r="B9" s="354"/>
      <c r="E9" s="378"/>
      <c r="H9" s="354"/>
      <c r="K9" s="354"/>
      <c r="M9" s="372"/>
      <c r="N9" s="354"/>
      <c r="P9" s="354"/>
      <c r="S9" s="378"/>
      <c r="V9" s="354"/>
      <c r="Y9" s="354"/>
      <c r="Z9" s="381"/>
      <c r="AB9" s="354"/>
      <c r="AD9" s="354"/>
      <c r="AE9" s="381"/>
      <c r="AG9" s="354"/>
      <c r="AH9" s="381"/>
      <c r="AK9" s="381"/>
      <c r="AN9" s="381"/>
      <c r="AO9" s="344"/>
      <c r="AP9" s="354"/>
      <c r="AR9" s="381"/>
      <c r="AT9" s="354"/>
      <c r="AU9" s="383"/>
      <c r="AV9" s="376"/>
      <c r="AW9" s="377"/>
      <c r="AX9" s="378"/>
      <c r="BA9" s="382"/>
      <c r="BB9" s="356"/>
      <c r="BC9" s="369"/>
      <c r="BD9" s="347"/>
      <c r="BE9" s="344"/>
    </row>
    <row r="10" spans="1:59" s="387" customFormat="1">
      <c r="A10" s="384" t="s">
        <v>325</v>
      </c>
      <c r="B10" s="385"/>
      <c r="C10" s="386">
        <f>110000+49373841</f>
        <v>49483841</v>
      </c>
      <c r="E10" s="388">
        <v>1</v>
      </c>
      <c r="F10" s="386">
        <v>379382</v>
      </c>
      <c r="H10" s="388">
        <v>1</v>
      </c>
      <c r="I10" s="386">
        <v>737203</v>
      </c>
      <c r="J10" s="386"/>
      <c r="K10" s="388">
        <v>1</v>
      </c>
      <c r="L10" s="386">
        <v>8977</v>
      </c>
      <c r="M10" s="389"/>
      <c r="N10" s="388">
        <v>1</v>
      </c>
      <c r="O10" s="384" t="s">
        <v>325</v>
      </c>
      <c r="P10" s="385"/>
      <c r="Q10" s="386">
        <v>52414</v>
      </c>
      <c r="S10" s="388">
        <v>1</v>
      </c>
      <c r="T10" s="386">
        <v>46831</v>
      </c>
      <c r="V10" s="388">
        <v>1</v>
      </c>
      <c r="W10" s="386">
        <v>117290</v>
      </c>
      <c r="X10" s="386"/>
      <c r="Y10" s="388">
        <v>1</v>
      </c>
      <c r="Z10" s="390">
        <v>0</v>
      </c>
      <c r="AB10" s="388">
        <v>1</v>
      </c>
      <c r="AC10" s="384" t="s">
        <v>325</v>
      </c>
      <c r="AD10" s="385"/>
      <c r="AE10" s="390">
        <v>0</v>
      </c>
      <c r="AG10" s="388">
        <v>1</v>
      </c>
      <c r="AH10" s="390">
        <v>0</v>
      </c>
      <c r="AJ10" s="391">
        <v>1</v>
      </c>
      <c r="AK10" s="390">
        <v>0</v>
      </c>
      <c r="AM10" s="391">
        <v>1</v>
      </c>
      <c r="AN10" s="390">
        <v>2849784</v>
      </c>
      <c r="AP10" s="388">
        <v>1</v>
      </c>
      <c r="AQ10" s="384" t="s">
        <v>325</v>
      </c>
      <c r="AR10" s="390">
        <v>11330893</v>
      </c>
      <c r="AT10" s="388">
        <v>1</v>
      </c>
      <c r="AU10" s="392">
        <v>18180345</v>
      </c>
      <c r="AV10" s="393"/>
      <c r="AW10" s="394">
        <v>1</v>
      </c>
      <c r="AX10" s="388"/>
      <c r="AY10" s="386">
        <v>579032</v>
      </c>
      <c r="BA10" s="395">
        <v>1</v>
      </c>
      <c r="BB10" s="396"/>
      <c r="BC10" s="397"/>
      <c r="BD10" s="398"/>
    </row>
    <row r="11" spans="1:59">
      <c r="A11" s="380" t="s">
        <v>326</v>
      </c>
      <c r="B11" s="378"/>
      <c r="C11" s="349">
        <v>7519286.75</v>
      </c>
      <c r="E11" s="354"/>
      <c r="F11" s="349">
        <v>0</v>
      </c>
      <c r="H11" s="399"/>
      <c r="I11" s="349">
        <v>0</v>
      </c>
      <c r="K11" s="399"/>
      <c r="L11" s="349">
        <v>0</v>
      </c>
      <c r="M11" s="400"/>
      <c r="N11" s="399"/>
      <c r="O11" s="380" t="s">
        <v>326</v>
      </c>
      <c r="P11" s="378"/>
      <c r="Q11" s="349">
        <v>0</v>
      </c>
      <c r="S11" s="354"/>
      <c r="T11" s="349">
        <v>0</v>
      </c>
      <c r="V11" s="399"/>
      <c r="W11" s="349">
        <v>0</v>
      </c>
      <c r="Y11" s="399"/>
      <c r="Z11" s="381">
        <v>0</v>
      </c>
      <c r="AB11" s="399"/>
      <c r="AC11" s="380" t="s">
        <v>326</v>
      </c>
      <c r="AD11" s="378"/>
      <c r="AE11" s="381">
        <v>0</v>
      </c>
      <c r="AG11" s="399"/>
      <c r="AH11" s="381">
        <v>0</v>
      </c>
      <c r="AJ11" s="401"/>
      <c r="AK11" s="381">
        <v>0</v>
      </c>
      <c r="AM11" s="401"/>
      <c r="AN11" s="381">
        <v>158598.96</v>
      </c>
      <c r="AO11" s="344"/>
      <c r="AP11" s="399"/>
      <c r="AQ11" s="380" t="s">
        <v>326</v>
      </c>
      <c r="AR11" s="381">
        <v>10449.629999999999</v>
      </c>
      <c r="AT11" s="399"/>
      <c r="AU11" s="383">
        <v>398.67</v>
      </c>
      <c r="AV11" s="376"/>
      <c r="AW11" s="402"/>
      <c r="AX11" s="399"/>
      <c r="AY11" s="349">
        <v>48146.63</v>
      </c>
      <c r="BA11" s="379"/>
      <c r="BB11" s="356"/>
      <c r="BC11" s="403"/>
      <c r="BD11" s="404"/>
      <c r="BE11" s="344"/>
    </row>
    <row r="12" spans="1:59" ht="13.5" thickBot="1">
      <c r="A12" s="380" t="s">
        <v>327</v>
      </c>
      <c r="B12" s="354"/>
      <c r="C12" s="405">
        <v>7519286.75</v>
      </c>
      <c r="D12" s="358"/>
      <c r="E12" s="406">
        <f>C12/C10</f>
        <v>0.15195438749388918</v>
      </c>
      <c r="F12" s="405">
        <v>0</v>
      </c>
      <c r="G12" s="358"/>
      <c r="H12" s="406">
        <f>F12/F10</f>
        <v>0</v>
      </c>
      <c r="I12" s="405">
        <v>0</v>
      </c>
      <c r="J12" s="405"/>
      <c r="K12" s="406">
        <f>I12/I10</f>
        <v>0</v>
      </c>
      <c r="L12" s="405">
        <v>0</v>
      </c>
      <c r="M12" s="407"/>
      <c r="N12" s="406">
        <f>L12/L10</f>
        <v>0</v>
      </c>
      <c r="O12" s="380" t="s">
        <v>327</v>
      </c>
      <c r="P12" s="354"/>
      <c r="Q12" s="405">
        <v>0</v>
      </c>
      <c r="R12" s="358"/>
      <c r="S12" s="406">
        <f>Q12/Q10</f>
        <v>0</v>
      </c>
      <c r="T12" s="405">
        <v>0</v>
      </c>
      <c r="U12" s="358"/>
      <c r="V12" s="406">
        <f>T12/T10</f>
        <v>0</v>
      </c>
      <c r="W12" s="405">
        <v>0</v>
      </c>
      <c r="X12" s="405"/>
      <c r="Y12" s="406">
        <f>W12/W10</f>
        <v>0</v>
      </c>
      <c r="Z12" s="408">
        <v>0</v>
      </c>
      <c r="AA12" s="358"/>
      <c r="AB12" s="406" t="e">
        <f>Z12/Z10</f>
        <v>#DIV/0!</v>
      </c>
      <c r="AC12" s="380" t="s">
        <v>327</v>
      </c>
      <c r="AD12" s="354"/>
      <c r="AE12" s="408">
        <v>0</v>
      </c>
      <c r="AF12" s="358"/>
      <c r="AG12" s="406" t="e">
        <f>AE12/AE10</f>
        <v>#DIV/0!</v>
      </c>
      <c r="AH12" s="408">
        <v>0</v>
      </c>
      <c r="AI12" s="358"/>
      <c r="AJ12" s="406" t="e">
        <f>AH12/AH10</f>
        <v>#DIV/0!</v>
      </c>
      <c r="AK12" s="408">
        <v>0</v>
      </c>
      <c r="AL12" s="358"/>
      <c r="AM12" s="406" t="e">
        <f>AK12/AK10</f>
        <v>#DIV/0!</v>
      </c>
      <c r="AN12" s="408">
        <v>158598.96</v>
      </c>
      <c r="AO12" s="358"/>
      <c r="AP12" s="406">
        <f>AN12/AN10</f>
        <v>5.5652975804482023E-2</v>
      </c>
      <c r="AQ12" s="380" t="s">
        <v>327</v>
      </c>
      <c r="AR12" s="408">
        <v>10449.629999999999</v>
      </c>
      <c r="AS12" s="358"/>
      <c r="AT12" s="406">
        <f>AR12/AR10</f>
        <v>9.2222475315934937E-4</v>
      </c>
      <c r="AU12" s="409">
        <v>18192197.5</v>
      </c>
      <c r="AV12" s="365"/>
      <c r="AW12" s="406">
        <f>AU12/AU10</f>
        <v>1.0006519403234646</v>
      </c>
      <c r="AX12" s="399"/>
      <c r="AY12" s="405">
        <v>48146.63</v>
      </c>
      <c r="AZ12" s="358"/>
      <c r="BA12" s="410">
        <f>AY12/AY10</f>
        <v>8.3150205860815979E-2</v>
      </c>
      <c r="BB12" s="356"/>
      <c r="BC12" s="403"/>
      <c r="BD12" s="404"/>
      <c r="BE12" s="344"/>
    </row>
    <row r="13" spans="1:59">
      <c r="A13" s="380"/>
      <c r="B13" s="354"/>
      <c r="E13" s="399"/>
      <c r="H13" s="399"/>
      <c r="K13" s="399"/>
      <c r="M13" s="400"/>
      <c r="N13" s="399"/>
      <c r="O13" s="380"/>
      <c r="P13" s="354"/>
      <c r="S13" s="399"/>
      <c r="V13" s="399"/>
      <c r="Y13" s="399"/>
      <c r="Z13" s="381"/>
      <c r="AB13" s="399"/>
      <c r="AC13" s="380"/>
      <c r="AD13" s="354"/>
      <c r="AE13" s="381"/>
      <c r="AG13" s="399"/>
      <c r="AH13" s="381"/>
      <c r="AJ13" s="401"/>
      <c r="AK13" s="381"/>
      <c r="AM13" s="401"/>
      <c r="AN13" s="381"/>
      <c r="AO13" s="344"/>
      <c r="AP13" s="399"/>
      <c r="AQ13" s="380"/>
      <c r="AR13" s="381"/>
      <c r="AT13" s="399"/>
      <c r="AU13" s="383"/>
      <c r="AV13" s="376"/>
      <c r="AW13" s="402"/>
      <c r="AX13" s="399"/>
      <c r="BA13" s="411"/>
      <c r="BB13" s="356"/>
      <c r="BC13" s="403"/>
      <c r="BD13" s="404"/>
      <c r="BE13" s="344"/>
    </row>
    <row r="14" spans="1:59" s="420" customFormat="1">
      <c r="A14" s="380" t="s">
        <v>328</v>
      </c>
      <c r="B14" s="412"/>
      <c r="C14" s="371">
        <f>C10-C12</f>
        <v>41964554.25</v>
      </c>
      <c r="D14" s="380"/>
      <c r="E14" s="413">
        <f>C14/C10</f>
        <v>0.84804561250611088</v>
      </c>
      <c r="F14" s="371">
        <f>F10-F12</f>
        <v>379382</v>
      </c>
      <c r="G14" s="380"/>
      <c r="H14" s="413">
        <f>F14/F10</f>
        <v>1</v>
      </c>
      <c r="I14" s="371">
        <f>I10-I12</f>
        <v>737203</v>
      </c>
      <c r="J14" s="371"/>
      <c r="K14" s="413">
        <f>I14/I10</f>
        <v>1</v>
      </c>
      <c r="L14" s="371">
        <f>L10-L12</f>
        <v>8977</v>
      </c>
      <c r="M14" s="414"/>
      <c r="N14" s="413">
        <f>L14/L10</f>
        <v>1</v>
      </c>
      <c r="O14" s="380" t="s">
        <v>328</v>
      </c>
      <c r="P14" s="412"/>
      <c r="Q14" s="371">
        <f>Q10-Q12</f>
        <v>52414</v>
      </c>
      <c r="R14" s="380"/>
      <c r="S14" s="413">
        <f>Q14/Q10</f>
        <v>1</v>
      </c>
      <c r="T14" s="371">
        <f>T10-T12</f>
        <v>46831</v>
      </c>
      <c r="U14" s="380"/>
      <c r="V14" s="413">
        <f>T14/T10</f>
        <v>1</v>
      </c>
      <c r="W14" s="371">
        <f>W10-W12</f>
        <v>117290</v>
      </c>
      <c r="X14" s="371"/>
      <c r="Y14" s="413">
        <f>W14/W10</f>
        <v>1</v>
      </c>
      <c r="Z14" s="374">
        <f>Z10-Z12</f>
        <v>0</v>
      </c>
      <c r="AA14" s="380"/>
      <c r="AB14" s="413"/>
      <c r="AC14" s="380" t="s">
        <v>328</v>
      </c>
      <c r="AD14" s="412"/>
      <c r="AE14" s="374">
        <f>AE10-AE12</f>
        <v>0</v>
      </c>
      <c r="AF14" s="380"/>
      <c r="AG14" s="413"/>
      <c r="AH14" s="374">
        <f>AH10-AH12</f>
        <v>0</v>
      </c>
      <c r="AI14" s="380"/>
      <c r="AJ14" s="413" t="e">
        <f>AH14/AH10</f>
        <v>#DIV/0!</v>
      </c>
      <c r="AK14" s="374">
        <f>AK10-AK12</f>
        <v>0</v>
      </c>
      <c r="AL14" s="380"/>
      <c r="AM14" s="413" t="e">
        <f>AK14/AK10</f>
        <v>#DIV/0!</v>
      </c>
      <c r="AN14" s="375">
        <f>IF(AN10-AN12&lt;0,0,AN10-AN12)</f>
        <v>2691185.04</v>
      </c>
      <c r="AO14" s="380" t="s">
        <v>329</v>
      </c>
      <c r="AP14" s="413">
        <f>AN14/AN10</f>
        <v>0.94434702419551797</v>
      </c>
      <c r="AQ14" s="380" t="s">
        <v>328</v>
      </c>
      <c r="AR14" s="374">
        <v>0</v>
      </c>
      <c r="AS14" s="380"/>
      <c r="AT14" s="413">
        <f>AR14/AR10</f>
        <v>0</v>
      </c>
      <c r="AU14" s="375">
        <f>IF(AU10-AU12&lt;0,0,AU10-AU12)</f>
        <v>0</v>
      </c>
      <c r="AV14" s="415"/>
      <c r="AW14" s="413">
        <f>AU14/AU10</f>
        <v>0</v>
      </c>
      <c r="AX14" s="416"/>
      <c r="AY14" s="371">
        <f>AY10-AY12</f>
        <v>530885.37</v>
      </c>
      <c r="AZ14" s="380"/>
      <c r="BA14" s="417">
        <f>AY14/AY10</f>
        <v>0.91684979413918399</v>
      </c>
      <c r="BB14" s="368"/>
      <c r="BC14" s="418"/>
      <c r="BD14" s="419"/>
    </row>
    <row r="15" spans="1:59">
      <c r="A15" s="380"/>
      <c r="B15" s="354"/>
      <c r="E15" s="399"/>
      <c r="H15" s="399"/>
      <c r="I15" s="421"/>
      <c r="J15" s="421"/>
      <c r="K15" s="399"/>
      <c r="M15" s="400"/>
      <c r="N15" s="399"/>
      <c r="O15" s="380"/>
      <c r="P15" s="354"/>
      <c r="Q15" s="421"/>
      <c r="S15" s="399"/>
      <c r="V15" s="399"/>
      <c r="Y15" s="399"/>
      <c r="Z15" s="381"/>
      <c r="AB15" s="399"/>
      <c r="AC15" s="380"/>
      <c r="AD15" s="354"/>
      <c r="AE15" s="381"/>
      <c r="AG15" s="399"/>
      <c r="AH15" s="381"/>
      <c r="AJ15" s="401"/>
      <c r="AK15" s="381"/>
      <c r="AM15" s="401"/>
      <c r="AN15" s="381"/>
      <c r="AO15" s="344"/>
      <c r="AP15" s="399"/>
      <c r="AQ15" s="380"/>
      <c r="AR15" s="381"/>
      <c r="AT15" s="399"/>
      <c r="AU15" s="383"/>
      <c r="AV15" s="376"/>
      <c r="AW15" s="402"/>
      <c r="AX15" s="399"/>
      <c r="BA15" s="411"/>
      <c r="BB15" s="356"/>
      <c r="BC15" s="403"/>
      <c r="BD15" s="404"/>
      <c r="BE15" s="344"/>
    </row>
    <row r="16" spans="1:59">
      <c r="A16" s="380"/>
      <c r="B16" s="354"/>
      <c r="E16" s="399"/>
      <c r="H16" s="399"/>
      <c r="K16" s="399"/>
      <c r="M16" s="400"/>
      <c r="N16" s="399"/>
      <c r="O16" s="380"/>
      <c r="P16" s="354"/>
      <c r="S16" s="399"/>
      <c r="V16" s="399"/>
      <c r="Y16" s="399"/>
      <c r="Z16" s="381"/>
      <c r="AB16" s="399"/>
      <c r="AC16" s="380"/>
      <c r="AD16" s="354"/>
      <c r="AE16" s="381"/>
      <c r="AG16" s="399"/>
      <c r="AH16" s="381"/>
      <c r="AJ16" s="401"/>
      <c r="AK16" s="381"/>
      <c r="AM16" s="401"/>
      <c r="AN16" s="381"/>
      <c r="AO16" s="344"/>
      <c r="AP16" s="399"/>
      <c r="AQ16" s="380"/>
      <c r="AR16" s="381"/>
      <c r="AT16" s="399"/>
      <c r="AU16" s="383"/>
      <c r="AV16" s="376"/>
      <c r="AW16" s="402"/>
      <c r="AX16" s="399"/>
      <c r="BA16" s="411"/>
      <c r="BB16" s="356"/>
      <c r="BC16" s="403"/>
      <c r="BD16" s="404"/>
      <c r="BE16" s="344"/>
    </row>
    <row r="17" spans="1:59">
      <c r="A17" s="380" t="s">
        <v>330</v>
      </c>
      <c r="B17" s="354"/>
      <c r="C17" s="349">
        <v>49631615</v>
      </c>
      <c r="E17" s="399">
        <v>1</v>
      </c>
      <c r="F17" s="349">
        <v>379382</v>
      </c>
      <c r="H17" s="399">
        <v>1</v>
      </c>
      <c r="I17" s="349">
        <v>737203</v>
      </c>
      <c r="K17" s="399">
        <v>1</v>
      </c>
      <c r="L17" s="349">
        <v>8977</v>
      </c>
      <c r="M17" s="400"/>
      <c r="N17" s="399">
        <v>1</v>
      </c>
      <c r="O17" s="380" t="s">
        <v>330</v>
      </c>
      <c r="P17" s="354"/>
      <c r="Q17" s="349">
        <v>52414</v>
      </c>
      <c r="S17" s="399">
        <v>1</v>
      </c>
      <c r="T17" s="349">
        <v>46831</v>
      </c>
      <c r="V17" s="399">
        <v>1</v>
      </c>
      <c r="W17" s="349">
        <v>117290</v>
      </c>
      <c r="Y17" s="399">
        <v>1</v>
      </c>
      <c r="Z17" s="381">
        <v>0</v>
      </c>
      <c r="AB17" s="399">
        <v>1</v>
      </c>
      <c r="AC17" s="380" t="s">
        <v>330</v>
      </c>
      <c r="AD17" s="354"/>
      <c r="AE17" s="381">
        <v>0</v>
      </c>
      <c r="AG17" s="399">
        <v>1</v>
      </c>
      <c r="AH17" s="381">
        <v>0</v>
      </c>
      <c r="AJ17" s="401">
        <v>1</v>
      </c>
      <c r="AK17" s="381">
        <v>24925</v>
      </c>
      <c r="AM17" s="401">
        <v>1</v>
      </c>
      <c r="AN17" s="381">
        <v>2849784</v>
      </c>
      <c r="AO17" s="344"/>
      <c r="AP17" s="399">
        <v>1</v>
      </c>
      <c r="AQ17" s="380" t="s">
        <v>330</v>
      </c>
      <c r="AR17" s="381">
        <v>11330893</v>
      </c>
      <c r="AT17" s="399">
        <v>1</v>
      </c>
      <c r="AU17" s="383">
        <v>18180345</v>
      </c>
      <c r="AV17" s="376"/>
      <c r="AW17" s="402">
        <v>1</v>
      </c>
      <c r="AX17" s="399"/>
      <c r="AY17" s="349">
        <v>579032</v>
      </c>
      <c r="BA17" s="411">
        <v>1</v>
      </c>
      <c r="BB17" s="356"/>
      <c r="BC17" s="403"/>
      <c r="BD17" s="404"/>
      <c r="BE17" s="344"/>
    </row>
    <row r="18" spans="1:59">
      <c r="A18" s="380" t="s">
        <v>331</v>
      </c>
      <c r="B18" s="354"/>
      <c r="C18" s="349">
        <v>5198865.17</v>
      </c>
      <c r="E18" s="399"/>
      <c r="F18" s="349">
        <v>19415.05</v>
      </c>
      <c r="H18" s="399"/>
      <c r="I18" s="349">
        <v>75054.03</v>
      </c>
      <c r="K18" s="399"/>
      <c r="L18" s="349">
        <v>0</v>
      </c>
      <c r="M18" s="400"/>
      <c r="N18" s="399"/>
      <c r="O18" s="380" t="s">
        <v>331</v>
      </c>
      <c r="P18" s="354"/>
      <c r="Q18" s="349">
        <v>786.44</v>
      </c>
      <c r="S18" s="399"/>
      <c r="T18" s="349">
        <v>2068.92</v>
      </c>
      <c r="V18" s="399"/>
      <c r="W18" s="349">
        <v>5066.75</v>
      </c>
      <c r="Y18" s="399"/>
      <c r="Z18" s="381">
        <v>0</v>
      </c>
      <c r="AB18" s="399"/>
      <c r="AC18" s="380" t="s">
        <v>331</v>
      </c>
      <c r="AD18" s="354"/>
      <c r="AE18" s="381">
        <v>0</v>
      </c>
      <c r="AG18" s="399"/>
      <c r="AH18" s="381">
        <v>0</v>
      </c>
      <c r="AJ18" s="401"/>
      <c r="AK18" s="381">
        <v>0</v>
      </c>
      <c r="AM18" s="401"/>
      <c r="AN18" s="381">
        <v>77756.84</v>
      </c>
      <c r="AO18" s="344"/>
      <c r="AP18" s="399"/>
      <c r="AQ18" s="380" t="s">
        <v>331</v>
      </c>
      <c r="AR18" s="381">
        <v>2410</v>
      </c>
      <c r="AT18" s="399"/>
      <c r="AU18" s="383">
        <v>2594045.63</v>
      </c>
      <c r="AV18" s="376"/>
      <c r="AW18" s="402"/>
      <c r="AX18" s="399"/>
      <c r="AY18" s="349">
        <v>47105.87</v>
      </c>
      <c r="BA18" s="411"/>
      <c r="BB18" s="356"/>
      <c r="BC18" s="403"/>
      <c r="BD18" s="404"/>
      <c r="BE18" s="344"/>
    </row>
    <row r="19" spans="1:59" ht="13.5" thickBot="1">
      <c r="A19" s="380" t="s">
        <v>332</v>
      </c>
      <c r="B19" s="354"/>
      <c r="C19" s="405">
        <f>400389.01+5198865.17</f>
        <v>5599254.1799999997</v>
      </c>
      <c r="D19" s="358"/>
      <c r="E19" s="406">
        <f>C19/C17</f>
        <v>0.11281628010694393</v>
      </c>
      <c r="F19" s="405">
        <f>1158.97+19415.05</f>
        <v>20574.02</v>
      </c>
      <c r="G19" s="358"/>
      <c r="H19" s="406">
        <f>F19/F17</f>
        <v>5.4230353575024648E-2</v>
      </c>
      <c r="I19" s="422">
        <f>21006.97+75054.03</f>
        <v>96061</v>
      </c>
      <c r="J19" s="405"/>
      <c r="K19" s="406">
        <f>I19/I17</f>
        <v>0.13030467862990247</v>
      </c>
      <c r="L19" s="405">
        <v>0</v>
      </c>
      <c r="M19" s="407"/>
      <c r="N19" s="406">
        <f>L19/L17</f>
        <v>0</v>
      </c>
      <c r="O19" s="380" t="str">
        <f>A19</f>
        <v>Exp./Encumbrances to Date</v>
      </c>
      <c r="P19" s="354"/>
      <c r="Q19" s="405">
        <f>650+786.44</f>
        <v>1436.44</v>
      </c>
      <c r="R19" s="358"/>
      <c r="S19" s="406">
        <f>Q19/Q17</f>
        <v>2.7405654977677722E-2</v>
      </c>
      <c r="T19" s="405">
        <f>3555+2068.92</f>
        <v>5623.92</v>
      </c>
      <c r="U19" s="358"/>
      <c r="V19" s="406">
        <f>T19/T17</f>
        <v>0.12008968418355363</v>
      </c>
      <c r="W19" s="405">
        <f>1924.89+5066.75</f>
        <v>6991.64</v>
      </c>
      <c r="X19" s="405"/>
      <c r="Y19" s="406">
        <f>W19/W17</f>
        <v>5.9609855912695034E-2</v>
      </c>
      <c r="Z19" s="408">
        <v>0</v>
      </c>
      <c r="AA19" s="358"/>
      <c r="AB19" s="406" t="e">
        <f>Z19/Z17</f>
        <v>#DIV/0!</v>
      </c>
      <c r="AC19" s="380" t="str">
        <f>A19</f>
        <v>Exp./Encumbrances to Date</v>
      </c>
      <c r="AD19" s="354"/>
      <c r="AE19" s="408">
        <v>0</v>
      </c>
      <c r="AF19" s="358"/>
      <c r="AG19" s="406" t="e">
        <f>AE19/AE17</f>
        <v>#DIV/0!</v>
      </c>
      <c r="AH19" s="408">
        <v>0</v>
      </c>
      <c r="AI19" s="358"/>
      <c r="AJ19" s="406" t="e">
        <f>AH19/AH17</f>
        <v>#DIV/0!</v>
      </c>
      <c r="AK19" s="408">
        <v>122700.26</v>
      </c>
      <c r="AL19" s="358"/>
      <c r="AM19" s="406">
        <f>AK19/AK17</f>
        <v>4.9227787362086257</v>
      </c>
      <c r="AN19" s="408">
        <f>9657.1+77756.84</f>
        <v>87413.94</v>
      </c>
      <c r="AO19" s="358"/>
      <c r="AP19" s="406">
        <f>AN19/AN17</f>
        <v>3.0673882652158903E-2</v>
      </c>
      <c r="AQ19" s="380" t="str">
        <f>+A19</f>
        <v>Exp./Encumbrances to Date</v>
      </c>
      <c r="AR19" s="408">
        <v>2410</v>
      </c>
      <c r="AS19" s="358"/>
      <c r="AT19" s="406">
        <f>AR19/AR17</f>
        <v>2.1269285660009321E-4</v>
      </c>
      <c r="AU19" s="409">
        <v>16341643.74</v>
      </c>
      <c r="AV19" s="365"/>
      <c r="AW19" s="423">
        <f>AU19/AU17</f>
        <v>0.89886323609370455</v>
      </c>
      <c r="AX19" s="399"/>
      <c r="AY19" s="405">
        <f>24220+47105.87</f>
        <v>71325.87</v>
      </c>
      <c r="AZ19" s="358"/>
      <c r="BA19" s="410">
        <f>AY19/AY17</f>
        <v>0.12318122314483482</v>
      </c>
      <c r="BB19" s="356"/>
      <c r="BC19" s="403"/>
      <c r="BD19" s="404"/>
      <c r="BE19" s="344"/>
    </row>
    <row r="20" spans="1:59">
      <c r="A20" s="380"/>
      <c r="B20" s="354"/>
      <c r="E20" s="399"/>
      <c r="H20" s="399"/>
      <c r="K20" s="399"/>
      <c r="M20" s="400"/>
      <c r="N20" s="399"/>
      <c r="O20" s="380"/>
      <c r="P20" s="354"/>
      <c r="S20" s="399"/>
      <c r="V20" s="399"/>
      <c r="Y20" s="399"/>
      <c r="Z20" s="381"/>
      <c r="AB20" s="399"/>
      <c r="AC20" s="380"/>
      <c r="AD20" s="354"/>
      <c r="AE20" s="381"/>
      <c r="AG20" s="399"/>
      <c r="AH20" s="381"/>
      <c r="AJ20" s="401"/>
      <c r="AK20" s="381"/>
      <c r="AM20" s="401"/>
      <c r="AN20" s="381"/>
      <c r="AO20" s="344"/>
      <c r="AP20" s="399"/>
      <c r="AQ20" s="380"/>
      <c r="AR20" s="381"/>
      <c r="AT20" s="399"/>
      <c r="AU20" s="383"/>
      <c r="AV20" s="376"/>
      <c r="AW20" s="402"/>
      <c r="AX20" s="399"/>
      <c r="BA20" s="411"/>
      <c r="BB20" s="356"/>
      <c r="BC20" s="403"/>
      <c r="BD20" s="404"/>
      <c r="BE20" s="344"/>
    </row>
    <row r="21" spans="1:59">
      <c r="A21" s="380" t="s">
        <v>333</v>
      </c>
      <c r="B21" s="354"/>
      <c r="C21" s="371">
        <f>C17-C19</f>
        <v>44032360.82</v>
      </c>
      <c r="D21" s="380"/>
      <c r="E21" s="413">
        <f>C21/C17</f>
        <v>0.88718371989305611</v>
      </c>
      <c r="F21" s="371">
        <f>F17-F19</f>
        <v>358807.98</v>
      </c>
      <c r="G21" s="380"/>
      <c r="H21" s="413">
        <f>F21/F17</f>
        <v>0.9457696464249753</v>
      </c>
      <c r="I21" s="371">
        <f>I17-I19</f>
        <v>641142</v>
      </c>
      <c r="J21" s="371"/>
      <c r="K21" s="413">
        <f>I21/I17</f>
        <v>0.86969532137009753</v>
      </c>
      <c r="L21" s="371">
        <f>L17-L19</f>
        <v>8977</v>
      </c>
      <c r="M21" s="424"/>
      <c r="N21" s="413">
        <f>L21/L17</f>
        <v>1</v>
      </c>
      <c r="O21" s="380" t="s">
        <v>333</v>
      </c>
      <c r="P21" s="354"/>
      <c r="Q21" s="371">
        <f>Q17-Q19</f>
        <v>50977.56</v>
      </c>
      <c r="R21" s="380"/>
      <c r="S21" s="413">
        <f>Q21/Q17</f>
        <v>0.97259434502232223</v>
      </c>
      <c r="T21" s="371">
        <f>T17-T19</f>
        <v>41207.08</v>
      </c>
      <c r="U21" s="380"/>
      <c r="V21" s="413">
        <f>T21/T17</f>
        <v>0.87991031581644641</v>
      </c>
      <c r="W21" s="371">
        <f>W17-W19</f>
        <v>110298.36</v>
      </c>
      <c r="X21" s="371"/>
      <c r="Y21" s="413">
        <f>W21/W17</f>
        <v>0.94039014408730492</v>
      </c>
      <c r="Z21" s="374">
        <f>Z17-Z19</f>
        <v>0</v>
      </c>
      <c r="AA21" s="380"/>
      <c r="AB21" s="413"/>
      <c r="AC21" s="380" t="s">
        <v>333</v>
      </c>
      <c r="AD21" s="354"/>
      <c r="AE21" s="374">
        <f>AE17-AE19</f>
        <v>0</v>
      </c>
      <c r="AF21" s="380"/>
      <c r="AG21" s="413"/>
      <c r="AH21" s="374">
        <f>AH17-AH19</f>
        <v>0</v>
      </c>
      <c r="AI21" s="380"/>
      <c r="AJ21" s="425" t="e">
        <f>AH21/AH17</f>
        <v>#DIV/0!</v>
      </c>
      <c r="AK21" s="374">
        <f>AK17-AK19</f>
        <v>-97775.26</v>
      </c>
      <c r="AL21" s="380"/>
      <c r="AM21" s="425">
        <f>AK21/AK17</f>
        <v>-3.9227787362086257</v>
      </c>
      <c r="AN21" s="374">
        <f>AN17-AN19</f>
        <v>2762370.06</v>
      </c>
      <c r="AO21" s="380"/>
      <c r="AP21" s="413">
        <f>AN21/AN17</f>
        <v>0.96932611734784113</v>
      </c>
      <c r="AQ21" s="380" t="s">
        <v>333</v>
      </c>
      <c r="AR21" s="374">
        <f>AR17-AR19</f>
        <v>11328483</v>
      </c>
      <c r="AS21" s="380"/>
      <c r="AT21" s="413">
        <f>AR21/AR17</f>
        <v>0.99978730714339992</v>
      </c>
      <c r="AU21" s="375">
        <f>AU17-AU19</f>
        <v>1838701.2599999998</v>
      </c>
      <c r="AV21" s="415"/>
      <c r="AW21" s="426">
        <f>AU21/AU17</f>
        <v>0.1011367639062955</v>
      </c>
      <c r="AX21" s="399"/>
      <c r="AY21" s="371">
        <f>AY17-AY19</f>
        <v>507706.13</v>
      </c>
      <c r="AZ21" s="380"/>
      <c r="BA21" s="417">
        <f>AY21/AY17</f>
        <v>0.87681877685516518</v>
      </c>
      <c r="BB21" s="368"/>
      <c r="BC21" s="427"/>
      <c r="BD21" s="419"/>
      <c r="BE21" s="344"/>
    </row>
    <row r="22" spans="1:59">
      <c r="B22" s="354"/>
      <c r="E22" s="399"/>
      <c r="H22" s="399"/>
      <c r="K22" s="399"/>
      <c r="M22" s="400"/>
      <c r="N22" s="399"/>
      <c r="P22" s="354"/>
      <c r="S22" s="399"/>
      <c r="V22" s="399"/>
      <c r="Y22" s="399"/>
      <c r="Z22" s="381"/>
      <c r="AB22" s="399"/>
      <c r="AD22" s="354"/>
      <c r="AE22" s="381"/>
      <c r="AG22" s="399"/>
      <c r="AH22" s="381"/>
      <c r="AJ22" s="401"/>
      <c r="AK22" s="381"/>
      <c r="AM22" s="401"/>
      <c r="AN22" s="381"/>
      <c r="AO22" s="344"/>
      <c r="AP22" s="399"/>
      <c r="AR22" s="381"/>
      <c r="AT22" s="399"/>
      <c r="AU22" s="383"/>
      <c r="AV22" s="376"/>
      <c r="AW22" s="402"/>
      <c r="AX22" s="399"/>
      <c r="BA22" s="411"/>
      <c r="BB22" s="356"/>
      <c r="BC22" s="403"/>
      <c r="BD22" s="404"/>
      <c r="BE22" s="344"/>
    </row>
    <row r="23" spans="1:59">
      <c r="A23" s="380" t="s">
        <v>334</v>
      </c>
      <c r="B23" s="354"/>
      <c r="E23" s="354"/>
      <c r="H23" s="354"/>
      <c r="K23" s="354"/>
      <c r="M23" s="372"/>
      <c r="N23" s="354"/>
      <c r="O23" s="380" t="s">
        <v>334</v>
      </c>
      <c r="P23" s="354"/>
      <c r="S23" s="354"/>
      <c r="V23" s="354"/>
      <c r="Y23" s="354"/>
      <c r="Z23" s="381"/>
      <c r="AB23" s="354"/>
      <c r="AC23" s="380" t="s">
        <v>334</v>
      </c>
      <c r="AD23" s="354"/>
      <c r="AE23" s="381"/>
      <c r="AG23" s="354"/>
      <c r="AH23" s="381"/>
      <c r="AK23" s="381"/>
      <c r="AN23" s="381"/>
      <c r="AO23" s="344"/>
      <c r="AP23" s="354"/>
      <c r="AQ23" s="380" t="s">
        <v>334</v>
      </c>
      <c r="AR23" s="381"/>
      <c r="AT23" s="354"/>
      <c r="AU23" s="383"/>
      <c r="AV23" s="376"/>
      <c r="AW23" s="377"/>
      <c r="AX23" s="354"/>
      <c r="BA23" s="379"/>
      <c r="BB23" s="356"/>
      <c r="BC23" s="369"/>
      <c r="BD23" s="347"/>
      <c r="BE23" s="344"/>
    </row>
    <row r="24" spans="1:59">
      <c r="A24" s="428" t="s">
        <v>335</v>
      </c>
      <c r="B24" s="354"/>
      <c r="C24" s="429">
        <f>C12-C19</f>
        <v>1920032.5700000003</v>
      </c>
      <c r="D24" s="430"/>
      <c r="E24" s="431"/>
      <c r="F24" s="371">
        <f>F12-F19</f>
        <v>-20574.02</v>
      </c>
      <c r="G24" s="430"/>
      <c r="H24" s="431"/>
      <c r="I24" s="432">
        <f>I12-I19</f>
        <v>-96061</v>
      </c>
      <c r="J24" s="432"/>
      <c r="K24" s="431"/>
      <c r="L24" s="432">
        <f>L12-L19</f>
        <v>0</v>
      </c>
      <c r="M24" s="433"/>
      <c r="N24" s="434"/>
      <c r="O24" s="380" t="s">
        <v>336</v>
      </c>
      <c r="P24" s="354"/>
      <c r="Q24" s="432">
        <f>Q12-Q19</f>
        <v>-1436.44</v>
      </c>
      <c r="R24" s="430"/>
      <c r="S24" s="431"/>
      <c r="T24" s="432">
        <f>T12-T19</f>
        <v>-5623.92</v>
      </c>
      <c r="U24" s="430"/>
      <c r="V24" s="431"/>
      <c r="W24" s="432">
        <f>W12-W19</f>
        <v>-6991.64</v>
      </c>
      <c r="X24" s="432"/>
      <c r="Y24" s="431"/>
      <c r="Z24" s="374">
        <f>Z12-Z19</f>
        <v>0</v>
      </c>
      <c r="AA24" s="430"/>
      <c r="AB24" s="431"/>
      <c r="AC24" s="428" t="str">
        <f>A24</f>
        <v>Actual Expenditures &amp; Encumbrances:</v>
      </c>
      <c r="AD24" s="354"/>
      <c r="AE24" s="374">
        <f>AE12-AE19</f>
        <v>0</v>
      </c>
      <c r="AF24" s="430"/>
      <c r="AG24" s="431"/>
      <c r="AH24" s="374">
        <f>AH12-AH19</f>
        <v>0</v>
      </c>
      <c r="AI24" s="430"/>
      <c r="AJ24" s="430"/>
      <c r="AK24" s="374">
        <f>AK12-AK19</f>
        <v>-122700.26</v>
      </c>
      <c r="AL24" s="430"/>
      <c r="AM24" s="430"/>
      <c r="AN24" s="374">
        <f>AN12-AN19</f>
        <v>71185.01999999999</v>
      </c>
      <c r="AO24" s="430"/>
      <c r="AP24" s="431"/>
      <c r="AQ24" s="428" t="str">
        <f>+A24</f>
        <v>Actual Expenditures &amp; Encumbrances:</v>
      </c>
      <c r="AR24" s="374">
        <f>AR12-AR19</f>
        <v>8039.6299999999992</v>
      </c>
      <c r="AS24" s="430"/>
      <c r="AT24" s="431"/>
      <c r="AU24" s="375">
        <f>AU12-AU19</f>
        <v>1850553.7599999998</v>
      </c>
      <c r="AV24" s="435"/>
      <c r="AW24" s="436"/>
      <c r="AX24" s="431"/>
      <c r="AY24" s="432">
        <f>AY12-AY19</f>
        <v>-23179.239999999998</v>
      </c>
      <c r="AZ24" s="430"/>
      <c r="BA24" s="437"/>
      <c r="BB24" s="438"/>
      <c r="BC24" s="439"/>
      <c r="BD24" s="440"/>
      <c r="BE24" s="344"/>
    </row>
    <row r="25" spans="1:59">
      <c r="B25" s="354"/>
      <c r="E25" s="354"/>
      <c r="H25" s="354"/>
      <c r="K25" s="354"/>
      <c r="L25" s="421"/>
      <c r="M25" s="372"/>
      <c r="N25" s="354"/>
      <c r="P25" s="354"/>
      <c r="S25" s="354"/>
      <c r="T25" s="421"/>
      <c r="V25" s="354"/>
      <c r="Y25" s="354"/>
      <c r="Z25" s="381"/>
      <c r="AB25" s="354"/>
      <c r="AD25" s="354"/>
      <c r="AE25" s="381"/>
      <c r="AG25" s="354"/>
      <c r="AH25" s="381"/>
      <c r="AK25" s="381"/>
      <c r="AN25" s="381"/>
      <c r="AO25" s="344"/>
      <c r="AP25" s="354"/>
      <c r="AR25" s="381"/>
      <c r="AT25" s="354"/>
      <c r="AU25" s="383"/>
      <c r="AV25" s="376"/>
      <c r="AW25" s="377"/>
      <c r="AX25" s="354"/>
      <c r="AY25" s="421"/>
      <c r="BA25" s="379"/>
      <c r="BB25" s="441"/>
      <c r="BC25" s="369"/>
      <c r="BD25" s="347"/>
      <c r="BE25" s="344"/>
    </row>
    <row r="26" spans="1:59">
      <c r="B26" s="354"/>
      <c r="E26" s="354"/>
      <c r="H26" s="354"/>
      <c r="K26" s="354"/>
      <c r="L26" s="421"/>
      <c r="M26" s="372"/>
      <c r="N26" s="354"/>
      <c r="P26" s="354"/>
      <c r="S26" s="354"/>
      <c r="V26" s="354"/>
      <c r="Y26" s="354"/>
      <c r="Z26" s="381"/>
      <c r="AB26" s="354"/>
      <c r="AD26" s="354"/>
      <c r="AE26" s="381"/>
      <c r="AG26" s="354"/>
      <c r="AH26" s="381"/>
      <c r="AK26" s="381"/>
      <c r="AN26" s="381"/>
      <c r="AO26" s="344"/>
      <c r="AP26" s="354"/>
      <c r="AR26" s="381"/>
      <c r="AT26" s="354"/>
      <c r="AU26" s="383"/>
      <c r="AV26" s="376"/>
      <c r="AW26" s="377"/>
      <c r="AX26" s="354"/>
      <c r="AY26" s="421"/>
      <c r="BA26" s="379"/>
      <c r="BB26" s="441"/>
      <c r="BC26" s="369"/>
      <c r="BD26" s="347"/>
      <c r="BE26" s="344"/>
    </row>
    <row r="27" spans="1:59">
      <c r="A27" s="380"/>
      <c r="B27" s="354"/>
      <c r="C27" s="442"/>
      <c r="E27" s="354"/>
      <c r="H27" s="354"/>
      <c r="K27" s="354"/>
      <c r="L27" s="421"/>
      <c r="M27" s="372"/>
      <c r="N27" s="354"/>
      <c r="P27" s="354"/>
      <c r="S27" s="354"/>
      <c r="V27" s="354"/>
      <c r="Y27" s="354"/>
      <c r="Z27" s="381"/>
      <c r="AB27" s="354"/>
      <c r="AD27" s="354"/>
      <c r="AE27" s="381"/>
      <c r="AF27" s="349"/>
      <c r="AG27" s="354"/>
      <c r="AH27" s="381"/>
      <c r="AK27" s="381"/>
      <c r="AN27" s="381"/>
      <c r="AO27" s="344"/>
      <c r="AP27" s="354"/>
      <c r="AR27" s="381"/>
      <c r="AS27" s="349"/>
      <c r="AT27" s="354"/>
      <c r="AU27" s="383"/>
      <c r="AV27" s="352"/>
      <c r="AW27" s="377"/>
      <c r="AX27" s="354"/>
      <c r="AY27" s="421"/>
      <c r="BA27" s="379"/>
      <c r="BB27" s="441"/>
      <c r="BC27" s="369"/>
      <c r="BD27" s="347"/>
      <c r="BE27" s="344"/>
    </row>
    <row r="28" spans="1:59">
      <c r="A28" s="380"/>
      <c r="B28" s="354"/>
      <c r="C28" s="432"/>
      <c r="E28" s="354"/>
      <c r="F28" s="443"/>
      <c r="H28" s="354"/>
      <c r="K28" s="354"/>
      <c r="L28" s="421"/>
      <c r="M28" s="372"/>
      <c r="N28" s="354"/>
      <c r="P28" s="354"/>
      <c r="S28" s="354"/>
      <c r="V28" s="354"/>
      <c r="Y28" s="354"/>
      <c r="Z28" s="381"/>
      <c r="AB28" s="354"/>
      <c r="AD28" s="354"/>
      <c r="AE28" s="381"/>
      <c r="AF28" s="349"/>
      <c r="AG28" s="354"/>
      <c r="AH28" s="381"/>
      <c r="AK28" s="381"/>
      <c r="AN28" s="381"/>
      <c r="AO28" s="344"/>
      <c r="AP28" s="354"/>
      <c r="AR28" s="381"/>
      <c r="AS28" s="349"/>
      <c r="AT28" s="354"/>
      <c r="AU28" s="383"/>
      <c r="AV28" s="352"/>
      <c r="AW28" s="377"/>
      <c r="AX28" s="354"/>
      <c r="AY28" s="421"/>
      <c r="BA28" s="379"/>
      <c r="BB28" s="441"/>
      <c r="BC28" s="369"/>
      <c r="BD28" s="347"/>
      <c r="BE28" s="344"/>
    </row>
    <row r="29" spans="1:59">
      <c r="A29" s="380"/>
      <c r="B29" s="354"/>
      <c r="E29" s="354"/>
      <c r="F29" s="371"/>
      <c r="H29" s="354"/>
      <c r="K29" s="354"/>
      <c r="L29" s="421"/>
      <c r="M29" s="372"/>
      <c r="N29" s="354"/>
      <c r="P29" s="354"/>
      <c r="S29" s="354"/>
      <c r="V29" s="354"/>
      <c r="Y29" s="354"/>
      <c r="Z29" s="381"/>
      <c r="AB29" s="354"/>
      <c r="AD29" s="354"/>
      <c r="AE29" s="381"/>
      <c r="AF29" s="349"/>
      <c r="AG29" s="354"/>
      <c r="AH29" s="381"/>
      <c r="AK29" s="381"/>
      <c r="AN29" s="381"/>
      <c r="AO29" s="344"/>
      <c r="AP29" s="354"/>
      <c r="AR29" s="381"/>
      <c r="AS29" s="349"/>
      <c r="AT29" s="354"/>
      <c r="AU29" s="383"/>
      <c r="AV29" s="352"/>
      <c r="AW29" s="377"/>
      <c r="AX29" s="354"/>
      <c r="AY29" s="421"/>
      <c r="BA29" s="379"/>
      <c r="BB29" s="441"/>
      <c r="BC29" s="369"/>
      <c r="BD29" s="347"/>
      <c r="BE29" s="344"/>
    </row>
    <row r="30" spans="1:59">
      <c r="AU30" s="352"/>
      <c r="AV30" s="376"/>
      <c r="AW30" s="376"/>
      <c r="BE30" s="356"/>
      <c r="BF30" s="347"/>
      <c r="BG30" s="347"/>
    </row>
    <row r="31" spans="1:59">
      <c r="AU31" s="352"/>
    </row>
    <row r="32" spans="1:59">
      <c r="AQ32" s="444"/>
    </row>
    <row r="33" spans="1:57" ht="15.75">
      <c r="A33" s="445"/>
    </row>
    <row r="34" spans="1:57">
      <c r="A34" s="444"/>
      <c r="AC34" s="444"/>
    </row>
    <row r="35" spans="1:57">
      <c r="A35" s="446"/>
      <c r="L35" s="447" t="s">
        <v>337</v>
      </c>
      <c r="W35" s="349" t="s">
        <v>51</v>
      </c>
      <c r="Z35" s="447" t="s">
        <v>338</v>
      </c>
      <c r="AN35" s="447" t="s">
        <v>339</v>
      </c>
      <c r="AO35" s="447"/>
      <c r="BA35" s="447" t="s">
        <v>340</v>
      </c>
      <c r="BE35" s="448"/>
    </row>
    <row r="36" spans="1:57">
      <c r="A36" s="446"/>
    </row>
    <row r="37" spans="1:57">
      <c r="A37" s="446"/>
      <c r="Z37" s="447"/>
      <c r="AN37" s="447"/>
      <c r="AO37" s="447"/>
    </row>
  </sheetData>
  <mergeCells count="16">
    <mergeCell ref="A3:N3"/>
    <mergeCell ref="O3:AB3"/>
    <mergeCell ref="AC3:AP3"/>
    <mergeCell ref="AQ3:BD3"/>
    <mergeCell ref="A4:N4"/>
    <mergeCell ref="O4:AB4"/>
    <mergeCell ref="AC4:AP4"/>
    <mergeCell ref="AQ4:BD4"/>
    <mergeCell ref="A1:N1"/>
    <mergeCell ref="O1:AB1"/>
    <mergeCell ref="AC1:AP1"/>
    <mergeCell ref="AQ1:BD1"/>
    <mergeCell ref="A2:N2"/>
    <mergeCell ref="O2:AB2"/>
    <mergeCell ref="AC2:AP2"/>
    <mergeCell ref="AQ2:BD2"/>
  </mergeCells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/>
  </sheetViews>
  <sheetFormatPr defaultColWidth="12.42578125" defaultRowHeight="15"/>
  <cols>
    <col min="1" max="1" width="16.28515625" style="455" customWidth="1"/>
    <col min="2" max="2" width="33" style="455" customWidth="1"/>
    <col min="3" max="3" width="6.85546875" style="455" customWidth="1"/>
    <col min="4" max="4" width="23" style="455" customWidth="1"/>
    <col min="5" max="5" width="11.140625" style="455" customWidth="1"/>
    <col min="6" max="6" width="23" style="455" customWidth="1"/>
    <col min="7" max="7" width="8.5703125" style="455" customWidth="1"/>
    <col min="8" max="8" width="12" style="455" customWidth="1"/>
    <col min="9" max="9" width="9.85546875" style="455" customWidth="1"/>
    <col min="10" max="10" width="15" style="455" customWidth="1"/>
    <col min="11" max="11" width="31.7109375" style="455" customWidth="1"/>
    <col min="12" max="12" width="4.7109375" style="455" customWidth="1"/>
    <col min="13" max="13" width="8.5703125" style="455" customWidth="1"/>
    <col min="14" max="14" width="20.140625" style="483" customWidth="1"/>
    <col min="15" max="15" width="18.85546875" style="455" customWidth="1"/>
    <col min="16" max="16" width="6" style="455" customWidth="1"/>
    <col min="17" max="17" width="20.140625" style="483" customWidth="1"/>
    <col min="18" max="18" width="16.28515625" style="455" customWidth="1"/>
    <col min="19" max="19" width="7.28515625" style="455" customWidth="1"/>
    <col min="20" max="20" width="16.28515625" style="455" customWidth="1"/>
    <col min="21" max="21" width="40.7109375" style="455" customWidth="1"/>
    <col min="22" max="22" width="6" style="455" customWidth="1"/>
    <col min="23" max="23" width="6.5703125" style="455" customWidth="1"/>
    <col min="24" max="24" width="8.140625" style="455" customWidth="1"/>
    <col min="25" max="25" width="21.42578125" style="483" customWidth="1"/>
    <col min="26" max="26" width="13.7109375" style="455" customWidth="1"/>
    <col min="27" max="27" width="18.85546875" style="483" customWidth="1"/>
    <col min="28" max="28" width="12.42578125" style="455" customWidth="1"/>
    <col min="29" max="29" width="3.28515625" style="455" customWidth="1"/>
    <col min="30" max="16384" width="12.42578125" style="455"/>
  </cols>
  <sheetData>
    <row r="1" spans="1:29">
      <c r="A1" s="449" t="s">
        <v>51</v>
      </c>
      <c r="B1" s="450"/>
      <c r="C1" s="450"/>
      <c r="D1" s="450"/>
      <c r="E1" s="450"/>
      <c r="F1" s="450"/>
      <c r="G1" s="450"/>
      <c r="H1" s="450" t="s">
        <v>341</v>
      </c>
      <c r="I1" s="451"/>
      <c r="J1" s="449"/>
      <c r="K1" s="450"/>
      <c r="L1" s="450"/>
      <c r="M1" s="450"/>
      <c r="N1" s="452"/>
      <c r="O1" s="450"/>
      <c r="P1" s="450"/>
      <c r="Q1" s="452"/>
      <c r="R1" s="450" t="s">
        <v>342</v>
      </c>
      <c r="S1" s="451"/>
      <c r="T1" s="449"/>
      <c r="U1" s="450"/>
      <c r="V1" s="450"/>
      <c r="W1" s="450"/>
      <c r="X1" s="450"/>
      <c r="Y1" s="452"/>
      <c r="Z1" s="453" t="s">
        <v>51</v>
      </c>
      <c r="AA1" s="452" t="s">
        <v>343</v>
      </c>
      <c r="AB1" s="451"/>
      <c r="AC1" s="454"/>
    </row>
    <row r="2" spans="1:29">
      <c r="A2" s="456"/>
      <c r="B2" s="457"/>
      <c r="C2" s="457"/>
      <c r="D2" s="457"/>
      <c r="E2" s="457"/>
      <c r="F2" s="457"/>
      <c r="G2" s="457"/>
      <c r="H2" s="457"/>
      <c r="I2" s="458"/>
      <c r="J2" s="456"/>
      <c r="K2" s="457"/>
      <c r="L2" s="457"/>
      <c r="M2" s="457"/>
      <c r="N2" s="459"/>
      <c r="O2" s="457"/>
      <c r="P2" s="457"/>
      <c r="Q2" s="459"/>
      <c r="R2" s="457"/>
      <c r="S2" s="458"/>
      <c r="T2" s="456"/>
      <c r="U2" s="457"/>
      <c r="V2" s="457"/>
      <c r="W2" s="457"/>
      <c r="X2" s="457"/>
      <c r="Y2" s="459"/>
      <c r="AA2" s="459"/>
      <c r="AB2" s="458"/>
      <c r="AC2" s="454"/>
    </row>
    <row r="3" spans="1:29">
      <c r="A3" s="456"/>
      <c r="B3" s="457"/>
      <c r="C3" s="457"/>
      <c r="D3" s="457"/>
      <c r="E3" s="457"/>
      <c r="F3" s="457"/>
      <c r="G3" s="457"/>
      <c r="H3" s="457"/>
      <c r="I3" s="458"/>
      <c r="J3" s="456"/>
      <c r="K3" s="457"/>
      <c r="L3" s="457"/>
      <c r="M3" s="457"/>
      <c r="N3" s="459"/>
      <c r="O3" s="457"/>
      <c r="P3" s="457"/>
      <c r="Q3" s="459"/>
      <c r="R3" s="457"/>
      <c r="S3" s="458"/>
      <c r="T3" s="456"/>
      <c r="U3" s="457"/>
      <c r="V3" s="457"/>
      <c r="W3" s="457"/>
      <c r="X3" s="457"/>
      <c r="Y3" s="459"/>
      <c r="AA3" s="459"/>
      <c r="AB3" s="458"/>
      <c r="AC3" s="454"/>
    </row>
    <row r="4" spans="1:29">
      <c r="A4" s="456"/>
      <c r="B4" s="457"/>
      <c r="C4" s="457"/>
      <c r="D4" s="457"/>
      <c r="E4" s="457"/>
      <c r="F4" s="457"/>
      <c r="G4" s="457"/>
      <c r="H4" s="457"/>
      <c r="I4" s="458"/>
      <c r="J4" s="456"/>
      <c r="K4" s="457"/>
      <c r="L4" s="457"/>
      <c r="M4" s="457"/>
      <c r="N4" s="459"/>
      <c r="O4" s="457"/>
      <c r="P4" s="457"/>
      <c r="Q4" s="459"/>
      <c r="R4" s="457"/>
      <c r="S4" s="458"/>
      <c r="T4" s="456"/>
      <c r="U4" s="457"/>
      <c r="V4" s="457"/>
      <c r="W4" s="457"/>
      <c r="X4" s="457"/>
      <c r="Y4" s="459"/>
      <c r="AA4" s="459"/>
      <c r="AB4" s="458"/>
      <c r="AC4" s="454"/>
    </row>
    <row r="5" spans="1:29">
      <c r="A5" s="456"/>
      <c r="B5" s="457"/>
      <c r="C5" s="457"/>
      <c r="D5" s="457"/>
      <c r="E5" s="457"/>
      <c r="F5" s="457"/>
      <c r="G5" s="457"/>
      <c r="H5" s="457"/>
      <c r="I5" s="458"/>
      <c r="J5" s="456"/>
      <c r="K5" s="457"/>
      <c r="L5" s="457"/>
      <c r="M5" s="457"/>
      <c r="N5" s="459"/>
      <c r="O5" s="457"/>
      <c r="P5" s="457"/>
      <c r="Q5" s="459"/>
      <c r="R5" s="457"/>
      <c r="S5" s="458"/>
      <c r="T5" s="456"/>
      <c r="U5" s="457"/>
      <c r="V5" s="457"/>
      <c r="W5" s="457"/>
      <c r="X5" s="457"/>
      <c r="Y5" s="459"/>
      <c r="AA5" s="459"/>
      <c r="AB5" s="458"/>
      <c r="AC5" s="454"/>
    </row>
    <row r="6" spans="1:29">
      <c r="A6" s="456"/>
      <c r="B6" s="457"/>
      <c r="C6" s="457"/>
      <c r="D6" s="457"/>
      <c r="E6" s="457"/>
      <c r="F6" s="457"/>
      <c r="G6" s="457"/>
      <c r="H6" s="457"/>
      <c r="I6" s="458"/>
      <c r="J6" s="456"/>
      <c r="K6" s="457"/>
      <c r="L6" s="457"/>
      <c r="M6" s="457"/>
      <c r="N6" s="459"/>
      <c r="O6" s="457"/>
      <c r="P6" s="457"/>
      <c r="Q6" s="459"/>
      <c r="R6" s="457"/>
      <c r="S6" s="458"/>
      <c r="T6" s="456"/>
      <c r="U6" s="457"/>
      <c r="V6" s="457"/>
      <c r="W6" s="457"/>
      <c r="X6" s="457"/>
      <c r="Y6" s="459"/>
      <c r="AA6" s="459"/>
      <c r="AB6" s="458"/>
      <c r="AC6" s="454"/>
    </row>
    <row r="7" spans="1:29">
      <c r="A7" s="456"/>
      <c r="B7" s="460" t="s">
        <v>344</v>
      </c>
      <c r="C7" s="460"/>
      <c r="D7" s="461"/>
      <c r="E7" s="460"/>
      <c r="F7" s="460"/>
      <c r="G7" s="460"/>
      <c r="H7" s="460"/>
      <c r="I7" s="458"/>
      <c r="J7" s="456"/>
      <c r="K7" s="460" t="s">
        <v>344</v>
      </c>
      <c r="L7" s="460"/>
      <c r="M7" s="460"/>
      <c r="N7" s="462"/>
      <c r="O7" s="460"/>
      <c r="P7" s="460"/>
      <c r="Q7" s="462"/>
      <c r="R7" s="460"/>
      <c r="S7" s="458"/>
      <c r="T7" s="456"/>
      <c r="U7" s="460" t="s">
        <v>344</v>
      </c>
      <c r="V7" s="461"/>
      <c r="W7" s="460"/>
      <c r="X7" s="461"/>
      <c r="Y7" s="462"/>
      <c r="Z7" s="461"/>
      <c r="AA7" s="462"/>
      <c r="AB7" s="458"/>
      <c r="AC7" s="454"/>
    </row>
    <row r="8" spans="1:29">
      <c r="A8" s="456"/>
      <c r="B8" s="460" t="s">
        <v>345</v>
      </c>
      <c r="C8" s="460"/>
      <c r="D8" s="461"/>
      <c r="E8" s="460"/>
      <c r="F8" s="460"/>
      <c r="G8" s="460"/>
      <c r="H8" s="460"/>
      <c r="I8" s="458"/>
      <c r="J8" s="456"/>
      <c r="K8" s="462" t="s">
        <v>346</v>
      </c>
      <c r="L8" s="460"/>
      <c r="M8" s="460"/>
      <c r="N8" s="462"/>
      <c r="O8" s="463"/>
      <c r="P8" s="460"/>
      <c r="Q8" s="462"/>
      <c r="R8" s="460"/>
      <c r="S8" s="458"/>
      <c r="T8" s="456"/>
      <c r="U8" s="460" t="s">
        <v>347</v>
      </c>
      <c r="V8" s="461"/>
      <c r="W8" s="460"/>
      <c r="X8" s="461"/>
      <c r="Y8" s="462"/>
      <c r="Z8" s="461"/>
      <c r="AA8" s="462"/>
      <c r="AB8" s="458"/>
      <c r="AC8" s="454"/>
    </row>
    <row r="9" spans="1:29">
      <c r="A9" s="456" t="s">
        <v>51</v>
      </c>
      <c r="B9" s="463">
        <v>41912</v>
      </c>
      <c r="C9" s="460"/>
      <c r="D9" s="461"/>
      <c r="E9" s="460"/>
      <c r="F9" s="460"/>
      <c r="G9" s="460"/>
      <c r="H9" s="460"/>
      <c r="I9" s="458"/>
      <c r="J9" s="456"/>
      <c r="K9" s="463">
        <v>41912</v>
      </c>
      <c r="L9" s="460"/>
      <c r="M9" s="460"/>
      <c r="N9" s="462"/>
      <c r="O9" s="463"/>
      <c r="P9" s="460"/>
      <c r="Q9" s="462"/>
      <c r="R9" s="460"/>
      <c r="S9" s="458"/>
      <c r="T9" s="456"/>
      <c r="U9" s="464">
        <v>41912</v>
      </c>
      <c r="V9" s="463"/>
      <c r="W9" s="463"/>
      <c r="X9" s="461"/>
      <c r="Y9" s="462"/>
      <c r="Z9" s="461"/>
      <c r="AA9" s="462"/>
      <c r="AB9" s="458"/>
      <c r="AC9" s="454"/>
    </row>
    <row r="10" spans="1:29">
      <c r="A10" s="456"/>
      <c r="B10" s="460"/>
      <c r="C10" s="460"/>
      <c r="D10" s="461"/>
      <c r="E10" s="460"/>
      <c r="F10" s="460"/>
      <c r="G10" s="460"/>
      <c r="H10" s="460"/>
      <c r="I10" s="458"/>
      <c r="J10" s="456"/>
      <c r="K10" s="460"/>
      <c r="L10" s="460"/>
      <c r="M10" s="460"/>
      <c r="N10" s="462"/>
      <c r="O10" s="460"/>
      <c r="P10" s="460"/>
      <c r="Q10" s="462"/>
      <c r="R10" s="460"/>
      <c r="S10" s="458"/>
      <c r="T10" s="456"/>
      <c r="U10" s="460"/>
      <c r="V10" s="460"/>
      <c r="W10" s="460"/>
      <c r="X10" s="461"/>
      <c r="Y10" s="462"/>
      <c r="Z10" s="461"/>
      <c r="AA10" s="462"/>
      <c r="AB10" s="458"/>
      <c r="AC10" s="454"/>
    </row>
    <row r="11" spans="1:29">
      <c r="A11" s="456"/>
      <c r="B11" s="460" t="s">
        <v>0</v>
      </c>
      <c r="C11" s="460"/>
      <c r="D11" s="461"/>
      <c r="E11" s="460"/>
      <c r="F11" s="460"/>
      <c r="G11" s="460"/>
      <c r="H11" s="460"/>
      <c r="I11" s="458"/>
      <c r="J11" s="456"/>
      <c r="K11" s="460" t="s">
        <v>0</v>
      </c>
      <c r="L11" s="460"/>
      <c r="M11" s="460"/>
      <c r="N11" s="462"/>
      <c r="O11" s="460"/>
      <c r="P11" s="460"/>
      <c r="Q11" s="462"/>
      <c r="R11" s="460"/>
      <c r="S11" s="458"/>
      <c r="T11" s="456"/>
      <c r="U11" s="460" t="s">
        <v>0</v>
      </c>
      <c r="V11" s="461"/>
      <c r="W11" s="460"/>
      <c r="X11" s="461"/>
      <c r="Y11" s="462"/>
      <c r="Z11" s="461"/>
      <c r="AA11" s="462"/>
      <c r="AB11" s="458"/>
      <c r="AC11" s="454"/>
    </row>
    <row r="12" spans="1:29" ht="15.75" thickBot="1">
      <c r="A12" s="456"/>
      <c r="B12" s="457"/>
      <c r="C12" s="457"/>
      <c r="D12" s="457"/>
      <c r="E12" s="457"/>
      <c r="F12" s="457"/>
      <c r="G12" s="457"/>
      <c r="H12" s="457"/>
      <c r="I12" s="458"/>
      <c r="J12" s="456"/>
      <c r="K12" s="457"/>
      <c r="L12" s="457"/>
      <c r="M12" s="457"/>
      <c r="N12" s="459"/>
      <c r="O12" s="457"/>
      <c r="P12" s="457"/>
      <c r="Q12" s="459"/>
      <c r="R12" s="457"/>
      <c r="S12" s="458"/>
      <c r="T12" s="456"/>
      <c r="U12" s="457"/>
      <c r="V12" s="457"/>
      <c r="W12" s="457"/>
      <c r="X12" s="457"/>
      <c r="Y12" s="459"/>
      <c r="Z12" s="457"/>
      <c r="AA12" s="459"/>
      <c r="AB12" s="458"/>
      <c r="AC12" s="454"/>
    </row>
    <row r="13" spans="1:29" ht="15.75" thickTop="1">
      <c r="A13" s="465" t="s">
        <v>51</v>
      </c>
      <c r="B13" s="466" t="s">
        <v>51</v>
      </c>
      <c r="C13" s="466" t="s">
        <v>51</v>
      </c>
      <c r="D13" s="466" t="s">
        <v>51</v>
      </c>
      <c r="E13" s="466" t="s">
        <v>51</v>
      </c>
      <c r="F13" s="466" t="s">
        <v>51</v>
      </c>
      <c r="G13" s="466" t="s">
        <v>51</v>
      </c>
      <c r="H13" s="466" t="s">
        <v>51</v>
      </c>
      <c r="I13" s="467" t="s">
        <v>51</v>
      </c>
      <c r="J13" s="465" t="s">
        <v>51</v>
      </c>
      <c r="K13" s="466" t="s">
        <v>51</v>
      </c>
      <c r="L13" s="466" t="s">
        <v>51</v>
      </c>
      <c r="M13" s="466" t="s">
        <v>51</v>
      </c>
      <c r="N13" s="468" t="s">
        <v>51</v>
      </c>
      <c r="O13" s="466" t="s">
        <v>51</v>
      </c>
      <c r="P13" s="466" t="s">
        <v>51</v>
      </c>
      <c r="Q13" s="468" t="s">
        <v>51</v>
      </c>
      <c r="R13" s="466" t="s">
        <v>51</v>
      </c>
      <c r="S13" s="467" t="s">
        <v>51</v>
      </c>
      <c r="T13" s="465" t="s">
        <v>51</v>
      </c>
      <c r="U13" s="466" t="s">
        <v>51</v>
      </c>
      <c r="V13" s="466" t="s">
        <v>51</v>
      </c>
      <c r="W13" s="466" t="s">
        <v>51</v>
      </c>
      <c r="X13" s="466" t="s">
        <v>51</v>
      </c>
      <c r="Y13" s="468" t="s">
        <v>51</v>
      </c>
      <c r="Z13" s="469" t="s">
        <v>51</v>
      </c>
      <c r="AA13" s="468" t="s">
        <v>51</v>
      </c>
      <c r="AB13" s="467" t="s">
        <v>51</v>
      </c>
      <c r="AC13" s="454"/>
    </row>
    <row r="14" spans="1:29">
      <c r="A14" s="456"/>
      <c r="B14" s="470"/>
      <c r="C14" s="470"/>
      <c r="D14" s="470"/>
      <c r="E14" s="470"/>
      <c r="F14" s="470"/>
      <c r="G14" s="470"/>
      <c r="H14" s="470"/>
      <c r="I14" s="458"/>
      <c r="J14" s="456"/>
      <c r="K14" s="470"/>
      <c r="L14" s="470"/>
      <c r="M14" s="470"/>
      <c r="N14" s="471" t="s">
        <v>348</v>
      </c>
      <c r="O14" s="470"/>
      <c r="P14" s="470"/>
      <c r="Q14" s="471" t="s">
        <v>349</v>
      </c>
      <c r="R14" s="470"/>
      <c r="S14" s="458"/>
      <c r="T14" s="456"/>
      <c r="U14" s="470"/>
      <c r="V14" s="470"/>
      <c r="W14" s="470"/>
      <c r="X14" s="470"/>
      <c r="Y14" s="472"/>
      <c r="Z14" s="473"/>
      <c r="AA14" s="472"/>
      <c r="AB14" s="458"/>
      <c r="AC14" s="454"/>
    </row>
    <row r="15" spans="1:29">
      <c r="A15" s="456"/>
      <c r="B15" s="457"/>
      <c r="C15" s="457"/>
      <c r="D15" s="474" t="s">
        <v>350</v>
      </c>
      <c r="E15" s="457"/>
      <c r="F15" s="474" t="s">
        <v>351</v>
      </c>
      <c r="G15" s="457"/>
      <c r="H15" s="474" t="s">
        <v>352</v>
      </c>
      <c r="I15" s="458"/>
      <c r="J15" s="456" t="s">
        <v>51</v>
      </c>
      <c r="K15" s="457" t="s">
        <v>51</v>
      </c>
      <c r="L15" s="457"/>
      <c r="M15" s="457"/>
      <c r="N15" s="475" t="s">
        <v>353</v>
      </c>
      <c r="O15" s="474" t="s">
        <v>354</v>
      </c>
      <c r="P15" s="457"/>
      <c r="Q15" s="475" t="s">
        <v>353</v>
      </c>
      <c r="R15" s="474" t="s">
        <v>354</v>
      </c>
      <c r="S15" s="458" t="s">
        <v>51</v>
      </c>
      <c r="T15" s="456"/>
      <c r="U15" s="457"/>
      <c r="V15" s="457"/>
      <c r="W15" s="457"/>
      <c r="Y15" s="475" t="s">
        <v>355</v>
      </c>
      <c r="AA15" s="475" t="s">
        <v>356</v>
      </c>
      <c r="AB15" s="458"/>
      <c r="AC15" s="454"/>
    </row>
    <row r="16" spans="1:29">
      <c r="A16" s="456"/>
      <c r="B16" s="476"/>
      <c r="C16" s="476"/>
      <c r="D16" s="477" t="s">
        <v>357</v>
      </c>
      <c r="E16" s="476" t="s">
        <v>51</v>
      </c>
      <c r="F16" s="478" t="s">
        <v>358</v>
      </c>
      <c r="G16" s="457"/>
      <c r="H16" s="474" t="s">
        <v>359</v>
      </c>
      <c r="I16" s="458"/>
      <c r="J16" s="456"/>
      <c r="K16" s="476"/>
      <c r="L16" s="476"/>
      <c r="M16" s="476"/>
      <c r="N16" s="479" t="s">
        <v>360</v>
      </c>
      <c r="O16" s="480" t="s">
        <v>359</v>
      </c>
      <c r="P16" s="476"/>
      <c r="Q16" s="481" t="s">
        <v>361</v>
      </c>
      <c r="R16" s="480" t="s">
        <v>359</v>
      </c>
      <c r="S16" s="458" t="s">
        <v>51</v>
      </c>
      <c r="T16" s="456"/>
      <c r="U16" s="476"/>
      <c r="V16" s="476"/>
      <c r="W16" s="476"/>
      <c r="Y16" s="482" t="s">
        <v>51</v>
      </c>
      <c r="AA16" s="483" t="s">
        <v>362</v>
      </c>
      <c r="AB16" s="484"/>
      <c r="AC16" s="454"/>
    </row>
    <row r="17" spans="1:29" ht="15.75">
      <c r="A17" s="485"/>
      <c r="B17" s="457" t="s">
        <v>363</v>
      </c>
      <c r="C17" s="457"/>
      <c r="D17" s="457"/>
      <c r="E17" s="457"/>
      <c r="F17" s="457"/>
      <c r="G17" s="457"/>
      <c r="H17" s="457"/>
      <c r="I17" s="458"/>
      <c r="J17" s="486" t="s">
        <v>51</v>
      </c>
      <c r="K17" s="457" t="s">
        <v>363</v>
      </c>
      <c r="L17" s="457"/>
      <c r="M17" s="457"/>
      <c r="N17" s="459"/>
      <c r="O17" s="457"/>
      <c r="P17" s="457"/>
      <c r="Q17" s="459"/>
      <c r="R17" s="457"/>
      <c r="S17" s="458"/>
      <c r="T17" s="456"/>
      <c r="U17" s="457"/>
      <c r="V17" s="457"/>
      <c r="W17" s="457"/>
      <c r="Y17" s="459"/>
      <c r="AB17" s="458"/>
      <c r="AC17" s="454"/>
    </row>
    <row r="18" spans="1:29">
      <c r="A18" s="456"/>
      <c r="B18" s="457"/>
      <c r="C18" s="457"/>
      <c r="D18" s="487"/>
      <c r="E18" s="457"/>
      <c r="F18" s="487"/>
      <c r="G18" s="457"/>
      <c r="H18" s="474"/>
      <c r="I18" s="458"/>
      <c r="J18" s="456"/>
      <c r="K18" s="457"/>
      <c r="L18" s="457"/>
      <c r="M18" s="457"/>
      <c r="N18" s="459"/>
      <c r="O18" s="457"/>
      <c r="P18" s="457"/>
      <c r="Q18" s="459"/>
      <c r="R18" s="457"/>
      <c r="S18" s="458"/>
      <c r="T18" s="456"/>
      <c r="U18" s="457" t="s">
        <v>364</v>
      </c>
      <c r="V18" s="457"/>
      <c r="W18" s="457"/>
      <c r="Y18" s="459"/>
      <c r="AA18" s="459"/>
      <c r="AB18" s="458"/>
      <c r="AC18" s="454"/>
    </row>
    <row r="19" spans="1:29">
      <c r="A19" s="456"/>
      <c r="B19" s="457" t="s">
        <v>365</v>
      </c>
      <c r="C19" s="457"/>
      <c r="D19" s="459">
        <v>15684.25</v>
      </c>
      <c r="E19" s="459"/>
      <c r="F19" s="459">
        <f>20997542.2+23984.13-50050.57</f>
        <v>20971475.759999998</v>
      </c>
      <c r="G19" s="457" t="s">
        <v>51</v>
      </c>
      <c r="H19" s="488">
        <f>ROUND((+F19+F20)/F61,6)</f>
        <v>0.99191600000000002</v>
      </c>
      <c r="I19" s="458"/>
      <c r="J19" s="456"/>
      <c r="K19" s="457" t="s">
        <v>366</v>
      </c>
      <c r="L19" s="457"/>
      <c r="M19" s="457"/>
      <c r="N19" s="459">
        <f>+F19+F20</f>
        <v>31053916.109999999</v>
      </c>
      <c r="O19" s="488">
        <f>+N19/N61</f>
        <v>0.99191580113743205</v>
      </c>
      <c r="P19" s="457"/>
      <c r="Q19" s="489">
        <v>28127516.030000001</v>
      </c>
      <c r="R19" s="488">
        <f>+Q19/Q57</f>
        <v>0.99457755916578094</v>
      </c>
      <c r="S19" s="458" t="s">
        <v>51</v>
      </c>
      <c r="T19" s="456"/>
      <c r="U19" s="457"/>
      <c r="V19" s="457"/>
      <c r="W19" s="457"/>
      <c r="Y19" s="459"/>
      <c r="AA19" s="459"/>
      <c r="AB19" s="458"/>
      <c r="AC19" s="454"/>
    </row>
    <row r="20" spans="1:29">
      <c r="A20" s="456"/>
      <c r="B20" s="457" t="s">
        <v>367</v>
      </c>
      <c r="C20" s="457"/>
      <c r="D20" s="459">
        <v>7540.52</v>
      </c>
      <c r="E20" s="459"/>
      <c r="F20" s="459">
        <f>10094972.23+11530.83-24062.71</f>
        <v>10082440.35</v>
      </c>
      <c r="G20" s="457" t="s">
        <v>51</v>
      </c>
      <c r="H20" s="457" t="s">
        <v>51</v>
      </c>
      <c r="I20" s="458"/>
      <c r="J20" s="456"/>
      <c r="K20" s="457" t="s">
        <v>51</v>
      </c>
      <c r="L20" s="457"/>
      <c r="M20" s="457"/>
      <c r="N20" s="459" t="s">
        <v>51</v>
      </c>
      <c r="O20" s="490"/>
      <c r="P20" s="457"/>
      <c r="Q20" s="489" t="s">
        <v>51</v>
      </c>
      <c r="R20" s="474" t="s">
        <v>51</v>
      </c>
      <c r="S20" s="458"/>
      <c r="T20" s="456"/>
      <c r="U20" s="457"/>
      <c r="V20" s="457"/>
      <c r="W20" s="457"/>
      <c r="Y20" s="459"/>
      <c r="AA20" s="459"/>
      <c r="AB20" s="458"/>
      <c r="AC20" s="454"/>
    </row>
    <row r="21" spans="1:29">
      <c r="A21" s="456"/>
      <c r="B21" s="457" t="s">
        <v>368</v>
      </c>
      <c r="C21" s="457"/>
      <c r="D21" s="459">
        <v>0</v>
      </c>
      <c r="E21" s="459"/>
      <c r="F21" s="459">
        <v>0</v>
      </c>
      <c r="G21" s="457"/>
      <c r="H21" s="457"/>
      <c r="I21" s="458"/>
      <c r="J21" s="456"/>
      <c r="K21" s="457"/>
      <c r="L21" s="457"/>
      <c r="M21" s="457"/>
      <c r="N21" s="459"/>
      <c r="O21" s="490"/>
      <c r="P21" s="457"/>
      <c r="Q21" s="489"/>
      <c r="R21" s="474"/>
      <c r="S21" s="458"/>
      <c r="T21" s="456"/>
      <c r="U21" s="457"/>
      <c r="V21" s="457"/>
      <c r="W21" s="457"/>
      <c r="Y21" s="459"/>
      <c r="AA21" s="459"/>
      <c r="AB21" s="458"/>
      <c r="AC21" s="454"/>
    </row>
    <row r="22" spans="1:29">
      <c r="A22" s="456"/>
      <c r="B22" s="457" t="s">
        <v>369</v>
      </c>
      <c r="C22" s="457"/>
      <c r="D22" s="459">
        <f>1158.26+1801.4</f>
        <v>2959.66</v>
      </c>
      <c r="E22" s="459"/>
      <c r="F22" s="459">
        <f>940.69+17669.97+52282.13+1264.52+5123.38-256.19-346.5</f>
        <v>76678</v>
      </c>
      <c r="G22" s="457"/>
      <c r="H22" s="457"/>
      <c r="I22" s="458"/>
      <c r="J22" s="456"/>
      <c r="K22" s="457" t="s">
        <v>370</v>
      </c>
      <c r="L22" s="457"/>
      <c r="M22" s="457"/>
      <c r="N22" s="459">
        <f>+F22+F23</f>
        <v>110676.13</v>
      </c>
      <c r="O22" s="490"/>
      <c r="P22" s="457"/>
      <c r="Q22" s="489">
        <v>139283.04999999999</v>
      </c>
      <c r="R22" s="474"/>
      <c r="S22" s="458"/>
      <c r="T22" s="456"/>
      <c r="U22" s="491" t="s">
        <v>371</v>
      </c>
      <c r="V22" s="457"/>
      <c r="W22" s="457"/>
      <c r="Y22" s="492">
        <v>270842.41999999981</v>
      </c>
      <c r="Z22" s="493"/>
      <c r="AA22" s="492">
        <v>543741.72000000079</v>
      </c>
      <c r="AB22" s="458"/>
      <c r="AC22" s="454"/>
    </row>
    <row r="23" spans="1:29">
      <c r="A23" s="456"/>
      <c r="B23" s="457" t="s">
        <v>372</v>
      </c>
      <c r="C23" s="457"/>
      <c r="D23" s="459">
        <f>556.87+866</f>
        <v>1422.87</v>
      </c>
      <c r="E23" s="459"/>
      <c r="F23" s="459">
        <f>452.25+8472.55+25073.33</f>
        <v>33998.130000000005</v>
      </c>
      <c r="G23" s="457"/>
      <c r="H23" s="488"/>
      <c r="I23" s="458"/>
      <c r="J23" s="456"/>
      <c r="K23" s="457"/>
      <c r="L23" s="457"/>
      <c r="M23" s="457"/>
      <c r="N23" s="459" t="s">
        <v>51</v>
      </c>
      <c r="O23" s="490"/>
      <c r="P23" s="457"/>
      <c r="Q23" s="489" t="s">
        <v>51</v>
      </c>
      <c r="R23" s="490"/>
      <c r="S23" s="458"/>
      <c r="T23" s="456"/>
      <c r="U23" s="457"/>
      <c r="V23" s="457"/>
      <c r="W23" s="457"/>
      <c r="AB23" s="458"/>
      <c r="AC23" s="454"/>
    </row>
    <row r="24" spans="1:29">
      <c r="A24" s="456"/>
      <c r="B24" s="457" t="s">
        <v>373</v>
      </c>
      <c r="C24" s="457"/>
      <c r="D24" s="459">
        <v>0</v>
      </c>
      <c r="E24" s="459"/>
      <c r="F24" s="459">
        <v>0</v>
      </c>
      <c r="G24" s="457"/>
      <c r="H24" s="488"/>
      <c r="I24" s="458"/>
      <c r="J24" s="456"/>
      <c r="K24" s="457"/>
      <c r="L24" s="457"/>
      <c r="M24" s="457"/>
      <c r="N24" s="459"/>
      <c r="O24" s="490"/>
      <c r="P24" s="457"/>
      <c r="Q24" s="489"/>
      <c r="R24" s="490"/>
      <c r="S24" s="458"/>
      <c r="T24" s="456"/>
      <c r="U24" s="457" t="s">
        <v>374</v>
      </c>
      <c r="V24" s="457"/>
      <c r="W24" s="457"/>
      <c r="Y24" s="459">
        <v>23224.77</v>
      </c>
      <c r="Z24" s="494"/>
      <c r="AA24" s="459">
        <f>24578.02-23224.77</f>
        <v>1353.25</v>
      </c>
      <c r="AB24" s="458"/>
      <c r="AC24" s="454"/>
    </row>
    <row r="25" spans="1:29">
      <c r="A25" s="456"/>
      <c r="B25" s="457" t="s">
        <v>375</v>
      </c>
      <c r="C25" s="457"/>
      <c r="D25" s="459">
        <v>5020</v>
      </c>
      <c r="E25" s="459"/>
      <c r="F25" s="459">
        <v>22719.31</v>
      </c>
      <c r="G25" s="457"/>
      <c r="H25" s="488"/>
      <c r="I25" s="458"/>
      <c r="J25" s="456"/>
      <c r="K25" s="457" t="s">
        <v>376</v>
      </c>
      <c r="L25" s="457"/>
      <c r="M25" s="457"/>
      <c r="N25" s="459">
        <f>+F25</f>
        <v>22719.31</v>
      </c>
      <c r="O25" s="490"/>
      <c r="P25" s="457"/>
      <c r="Q25" s="489">
        <v>26658.17</v>
      </c>
      <c r="R25" s="490"/>
      <c r="S25" s="458"/>
      <c r="T25" s="456"/>
      <c r="AB25" s="495"/>
      <c r="AC25" s="454"/>
    </row>
    <row r="26" spans="1:29">
      <c r="A26" s="456"/>
      <c r="B26" s="457" t="s">
        <v>51</v>
      </c>
      <c r="C26" s="457"/>
      <c r="D26" s="459"/>
      <c r="E26" s="459"/>
      <c r="F26" s="459"/>
      <c r="G26" s="457"/>
      <c r="H26" s="457"/>
      <c r="I26" s="458"/>
      <c r="J26" s="456"/>
      <c r="K26" s="457" t="s">
        <v>51</v>
      </c>
      <c r="L26" s="457"/>
      <c r="M26" s="457"/>
      <c r="N26" s="459" t="s">
        <v>377</v>
      </c>
      <c r="O26" s="490"/>
      <c r="P26" s="457" t="s">
        <v>51</v>
      </c>
      <c r="Q26" s="489" t="s">
        <v>377</v>
      </c>
      <c r="R26" s="474"/>
      <c r="S26" s="458"/>
      <c r="T26" s="456"/>
      <c r="U26" s="457" t="s">
        <v>378</v>
      </c>
      <c r="V26" s="457"/>
      <c r="W26" s="457"/>
      <c r="Y26" s="496">
        <v>5474.43</v>
      </c>
      <c r="Z26" s="455" t="s">
        <v>51</v>
      </c>
      <c r="AA26" s="459">
        <f>29891.07-5474.43</f>
        <v>24416.639999999999</v>
      </c>
      <c r="AB26" s="458"/>
      <c r="AC26" s="454"/>
    </row>
    <row r="27" spans="1:29">
      <c r="A27" s="456"/>
      <c r="B27" s="457" t="s">
        <v>379</v>
      </c>
      <c r="C27" s="457"/>
      <c r="D27" s="497">
        <f>SUM(D19:D26)</f>
        <v>32627.3</v>
      </c>
      <c r="E27" s="459" t="s">
        <v>51</v>
      </c>
      <c r="F27" s="497">
        <f>SUM(F19:F26)</f>
        <v>31187311.549999997</v>
      </c>
      <c r="G27" s="457"/>
      <c r="H27" s="488">
        <f>ROUND(+F27/F61,6)</f>
        <v>0.99617699999999998</v>
      </c>
      <c r="I27" s="458"/>
      <c r="J27" s="456"/>
      <c r="K27" s="457" t="s">
        <v>379</v>
      </c>
      <c r="L27" s="457"/>
      <c r="M27" s="457"/>
      <c r="N27" s="497">
        <f>SUM(N19:N26)</f>
        <v>31187311.549999997</v>
      </c>
      <c r="O27" s="488">
        <f>+N27/N61</f>
        <v>0.99617668225358447</v>
      </c>
      <c r="P27" s="457"/>
      <c r="Q27" s="498">
        <f>SUM(Q19:Q26)</f>
        <v>28293457.250000004</v>
      </c>
      <c r="R27" s="488">
        <f>+Q27/Q57</f>
        <v>1.0004451734043283</v>
      </c>
      <c r="S27" s="458"/>
      <c r="T27" s="456"/>
      <c r="Y27" s="499"/>
      <c r="AA27" s="499"/>
      <c r="AB27" s="495"/>
      <c r="AC27" s="454"/>
    </row>
    <row r="28" spans="1:29">
      <c r="A28" s="456"/>
      <c r="B28" s="457"/>
      <c r="C28" s="457"/>
      <c r="D28" s="459"/>
      <c r="E28" s="459"/>
      <c r="F28" s="459"/>
      <c r="G28" s="457"/>
      <c r="H28" s="488"/>
      <c r="I28" s="458"/>
      <c r="J28" s="456"/>
      <c r="K28" s="457"/>
      <c r="L28" s="457"/>
      <c r="M28" s="457"/>
      <c r="N28" s="459" t="s">
        <v>51</v>
      </c>
      <c r="O28" s="490"/>
      <c r="P28" s="457"/>
      <c r="Q28" s="489" t="s">
        <v>51</v>
      </c>
      <c r="R28" s="490"/>
      <c r="S28" s="458"/>
      <c r="T28" s="456"/>
      <c r="AB28" s="495"/>
      <c r="AC28" s="454"/>
    </row>
    <row r="29" spans="1:29" ht="15.75" thickBot="1">
      <c r="A29" s="456"/>
      <c r="B29" s="457"/>
      <c r="C29" s="457"/>
      <c r="D29" s="459"/>
      <c r="E29" s="459"/>
      <c r="F29" s="459"/>
      <c r="G29" s="457"/>
      <c r="H29" s="488"/>
      <c r="I29" s="458"/>
      <c r="J29" s="456"/>
      <c r="K29" s="457"/>
      <c r="L29" s="457"/>
      <c r="M29" s="457"/>
      <c r="N29" s="459"/>
      <c r="O29" s="490"/>
      <c r="P29" s="457"/>
      <c r="Q29" s="489"/>
      <c r="R29" s="490"/>
      <c r="S29" s="458"/>
      <c r="T29" s="456"/>
      <c r="U29" s="491" t="s">
        <v>380</v>
      </c>
      <c r="V29" s="457"/>
      <c r="W29" s="457"/>
      <c r="X29" s="455" t="s">
        <v>51</v>
      </c>
      <c r="Y29" s="459">
        <f>+Y22-Y24+Y26</f>
        <v>253092.07999999981</v>
      </c>
      <c r="Z29" s="500"/>
      <c r="AA29" s="459">
        <f>+AA22-AA24+AA26</f>
        <v>566805.1100000008</v>
      </c>
      <c r="AB29" s="495"/>
      <c r="AC29" s="454"/>
    </row>
    <row r="30" spans="1:29" ht="15.75" thickTop="1">
      <c r="A30" s="456"/>
      <c r="B30" s="457" t="s">
        <v>381</v>
      </c>
      <c r="C30" s="457"/>
      <c r="D30" s="482"/>
      <c r="E30" s="459"/>
      <c r="F30" s="459"/>
      <c r="G30" s="457"/>
      <c r="H30" s="457"/>
      <c r="I30" s="458"/>
      <c r="J30" s="456"/>
      <c r="K30" s="457" t="s">
        <v>382</v>
      </c>
      <c r="L30" s="457"/>
      <c r="M30" s="457"/>
      <c r="N30" s="459" t="s">
        <v>51</v>
      </c>
      <c r="O30" s="490"/>
      <c r="P30" s="457"/>
      <c r="Q30" s="489" t="s">
        <v>51</v>
      </c>
      <c r="R30" s="490"/>
      <c r="S30" s="458"/>
      <c r="T30" s="454"/>
      <c r="Y30" s="468"/>
      <c r="AA30" s="468"/>
      <c r="AB30" s="495"/>
      <c r="AC30" s="454"/>
    </row>
    <row r="31" spans="1:29">
      <c r="A31" s="456"/>
      <c r="C31" s="457"/>
      <c r="D31" s="459"/>
      <c r="E31" s="459"/>
      <c r="F31" s="459" t="s">
        <v>51</v>
      </c>
      <c r="G31" s="457"/>
      <c r="H31" s="457"/>
      <c r="I31" s="458"/>
      <c r="J31" s="456"/>
      <c r="K31" s="457"/>
      <c r="L31" s="457"/>
      <c r="M31" s="457"/>
      <c r="N31" s="459"/>
      <c r="O31" s="474"/>
      <c r="P31" s="457"/>
      <c r="Q31" s="489" t="s">
        <v>51</v>
      </c>
      <c r="R31" s="474"/>
      <c r="S31" s="458"/>
      <c r="T31" s="454"/>
      <c r="AB31" s="501"/>
      <c r="AC31" s="454"/>
    </row>
    <row r="32" spans="1:29">
      <c r="A32" s="456"/>
      <c r="B32" s="457" t="s">
        <v>365</v>
      </c>
      <c r="D32" s="483">
        <v>937.42</v>
      </c>
      <c r="E32" s="483"/>
      <c r="F32" s="483">
        <f>115292.34+441975.21-19505.02</f>
        <v>537762.53</v>
      </c>
      <c r="G32" s="457" t="s">
        <v>51</v>
      </c>
      <c r="H32" s="457"/>
      <c r="I32" s="458"/>
      <c r="J32" s="456"/>
      <c r="K32" s="457" t="s">
        <v>366</v>
      </c>
      <c r="L32" s="457"/>
      <c r="M32" s="457"/>
      <c r="N32" s="459">
        <f>+F32+F33</f>
        <v>792173.74</v>
      </c>
      <c r="O32" s="490"/>
      <c r="P32" s="457"/>
      <c r="Q32" s="489">
        <v>315004.23999999702</v>
      </c>
      <c r="R32" s="490"/>
      <c r="S32" s="458" t="s">
        <v>51</v>
      </c>
      <c r="T32" s="456"/>
      <c r="U32" s="457"/>
      <c r="V32" s="457"/>
      <c r="W32" s="457"/>
      <c r="Y32" s="459" t="s">
        <v>51</v>
      </c>
      <c r="AA32" s="459" t="s">
        <v>51</v>
      </c>
      <c r="AB32" s="495"/>
      <c r="AC32" s="454"/>
    </row>
    <row r="33" spans="1:29">
      <c r="A33" s="456"/>
      <c r="B33" s="457" t="s">
        <v>383</v>
      </c>
      <c r="C33" s="457"/>
      <c r="D33" s="459">
        <v>415.83</v>
      </c>
      <c r="E33" s="459"/>
      <c r="F33" s="459">
        <f>52155.38+211633.19-9377.36</f>
        <v>254411.21000000002</v>
      </c>
      <c r="G33" s="457" t="s">
        <v>51</v>
      </c>
      <c r="H33" s="457"/>
      <c r="I33" s="458"/>
      <c r="J33" s="456"/>
      <c r="K33" s="457" t="s">
        <v>51</v>
      </c>
      <c r="L33" s="457"/>
      <c r="M33" s="457"/>
      <c r="N33" s="459"/>
      <c r="O33" s="490"/>
      <c r="P33" s="457"/>
      <c r="Q33" s="489"/>
      <c r="R33" s="490"/>
      <c r="S33" s="458"/>
      <c r="T33" s="456"/>
      <c r="AB33" s="458"/>
      <c r="AC33" s="454"/>
    </row>
    <row r="34" spans="1:29">
      <c r="A34" s="456"/>
      <c r="B34" s="457" t="s">
        <v>368</v>
      </c>
      <c r="C34" s="457"/>
      <c r="D34" s="459">
        <v>0</v>
      </c>
      <c r="E34" s="459"/>
      <c r="F34" s="459">
        <v>0</v>
      </c>
      <c r="G34" s="457" t="s">
        <v>51</v>
      </c>
      <c r="H34" s="457"/>
      <c r="I34" s="458"/>
      <c r="J34" s="456"/>
      <c r="K34" s="457"/>
      <c r="L34" s="457"/>
      <c r="M34" s="457"/>
      <c r="N34" s="459"/>
      <c r="O34" s="490"/>
      <c r="P34" s="457"/>
      <c r="Q34" s="502"/>
      <c r="R34" s="490"/>
      <c r="S34" s="458"/>
      <c r="T34" s="456"/>
      <c r="U34" s="457"/>
      <c r="V34" s="457"/>
      <c r="W34" s="457"/>
      <c r="AB34" s="458"/>
      <c r="AC34" s="454"/>
    </row>
    <row r="35" spans="1:29">
      <c r="A35" s="456"/>
      <c r="B35" s="457" t="s">
        <v>369</v>
      </c>
      <c r="C35" s="457"/>
      <c r="D35" s="459">
        <f>444.37+109.44+10.85</f>
        <v>564.66</v>
      </c>
      <c r="E35" s="459"/>
      <c r="F35" s="459">
        <f>96588.48+33715.59+11586.11+183.22+96.31+487.69-24.38</f>
        <v>142633.01999999999</v>
      </c>
      <c r="G35" s="457" t="s">
        <v>51</v>
      </c>
      <c r="H35" s="488"/>
      <c r="I35" s="458"/>
      <c r="J35" s="456"/>
      <c r="K35" s="457" t="s">
        <v>370</v>
      </c>
      <c r="L35" s="457"/>
      <c r="M35" s="457"/>
      <c r="N35" s="459">
        <f>+F35+F36</f>
        <v>207343.52</v>
      </c>
      <c r="O35" s="490"/>
      <c r="P35" s="457"/>
      <c r="Q35" s="489">
        <v>87692.52999999997</v>
      </c>
      <c r="R35" s="490"/>
      <c r="S35" s="458" t="s">
        <v>51</v>
      </c>
      <c r="T35" s="456"/>
      <c r="U35" s="457" t="s">
        <v>51</v>
      </c>
      <c r="V35" s="457"/>
      <c r="W35" s="457"/>
      <c r="Y35" s="459"/>
      <c r="Z35" s="503" t="s">
        <v>51</v>
      </c>
      <c r="AA35" s="504"/>
      <c r="AB35" s="495"/>
      <c r="AC35" s="454"/>
    </row>
    <row r="36" spans="1:29">
      <c r="A36" s="456"/>
      <c r="B36" s="457" t="s">
        <v>372</v>
      </c>
      <c r="C36" s="457"/>
      <c r="D36" s="459">
        <f>174.68+48.45</f>
        <v>223.13</v>
      </c>
      <c r="E36" s="459"/>
      <c r="F36" s="459">
        <f>46139.42+13428.6+5142.48</f>
        <v>64710.5</v>
      </c>
      <c r="G36" s="457"/>
      <c r="H36" s="488"/>
      <c r="I36" s="458"/>
      <c r="J36" s="456"/>
      <c r="K36" s="457"/>
      <c r="L36" s="457"/>
      <c r="M36" s="457"/>
      <c r="N36" s="459" t="s">
        <v>51</v>
      </c>
      <c r="O36" s="490"/>
      <c r="P36" s="457"/>
      <c r="Q36" s="489" t="s">
        <v>51</v>
      </c>
      <c r="R36" s="490"/>
      <c r="S36" s="458"/>
      <c r="T36" s="456"/>
      <c r="U36" s="505" t="s">
        <v>51</v>
      </c>
      <c r="V36" s="457"/>
      <c r="W36" s="457"/>
      <c r="Y36" s="459"/>
      <c r="Z36" s="503"/>
      <c r="AA36" s="504"/>
      <c r="AB36" s="495"/>
      <c r="AC36" s="454"/>
    </row>
    <row r="37" spans="1:29">
      <c r="A37" s="456"/>
      <c r="B37" s="457" t="s">
        <v>373</v>
      </c>
      <c r="C37" s="457"/>
      <c r="D37" s="459">
        <v>0</v>
      </c>
      <c r="E37" s="459"/>
      <c r="F37" s="459">
        <v>0</v>
      </c>
      <c r="G37" s="457"/>
      <c r="H37" s="488"/>
      <c r="I37" s="458"/>
      <c r="J37" s="456"/>
      <c r="K37" s="457"/>
      <c r="L37" s="457"/>
      <c r="M37" s="457"/>
      <c r="N37" s="459"/>
      <c r="O37" s="490"/>
      <c r="P37" s="457"/>
      <c r="Q37" s="489"/>
      <c r="R37" s="490"/>
      <c r="S37" s="458"/>
      <c r="T37" s="456"/>
      <c r="U37" s="505"/>
      <c r="V37" s="457"/>
      <c r="W37" s="457"/>
      <c r="Y37" s="504"/>
      <c r="Z37" s="503"/>
      <c r="AA37" s="504"/>
      <c r="AB37" s="506"/>
      <c r="AC37" s="454"/>
    </row>
    <row r="38" spans="1:29">
      <c r="A38" s="456"/>
      <c r="B38" s="457" t="s">
        <v>375</v>
      </c>
      <c r="C38" s="457"/>
      <c r="D38" s="459">
        <v>418.51</v>
      </c>
      <c r="E38" s="459"/>
      <c r="F38" s="459">
        <v>37358.370000000003</v>
      </c>
      <c r="G38" s="457" t="s">
        <v>51</v>
      </c>
      <c r="H38" s="457"/>
      <c r="I38" s="458"/>
      <c r="J38" s="456"/>
      <c r="K38" s="457" t="s">
        <v>376</v>
      </c>
      <c r="L38" s="457"/>
      <c r="M38" s="457"/>
      <c r="N38" s="459">
        <f>+F38</f>
        <v>37358.370000000003</v>
      </c>
      <c r="O38" s="490"/>
      <c r="P38" s="457"/>
      <c r="Q38" s="489">
        <v>54156.67</v>
      </c>
      <c r="R38" s="490"/>
      <c r="S38" s="458" t="s">
        <v>51</v>
      </c>
      <c r="T38" s="456"/>
      <c r="U38" s="505"/>
      <c r="V38" s="457"/>
      <c r="W38" s="457"/>
      <c r="Y38" s="459"/>
      <c r="AA38" s="459" t="s">
        <v>51</v>
      </c>
      <c r="AB38" s="458"/>
      <c r="AC38" s="454"/>
    </row>
    <row r="39" spans="1:29">
      <c r="A39" s="456"/>
      <c r="B39" s="457" t="s">
        <v>384</v>
      </c>
      <c r="C39" s="457"/>
      <c r="D39" s="459">
        <v>0</v>
      </c>
      <c r="E39" s="459"/>
      <c r="F39" s="459">
        <v>0</v>
      </c>
      <c r="G39" s="457"/>
      <c r="H39" s="488"/>
      <c r="I39" s="458"/>
      <c r="J39" s="456"/>
      <c r="K39" s="457" t="s">
        <v>51</v>
      </c>
      <c r="L39" s="457"/>
      <c r="M39" s="457"/>
      <c r="N39" s="459"/>
      <c r="O39" s="490"/>
      <c r="P39" s="457"/>
      <c r="Q39" s="489"/>
      <c r="R39" s="490"/>
      <c r="S39" s="458"/>
      <c r="T39" s="456"/>
      <c r="U39" s="457"/>
      <c r="V39" s="457"/>
      <c r="W39" s="457"/>
      <c r="Y39" s="459"/>
      <c r="AA39" s="459" t="s">
        <v>51</v>
      </c>
      <c r="AB39" s="495"/>
      <c r="AC39" s="454"/>
    </row>
    <row r="40" spans="1:29">
      <c r="A40" s="456"/>
      <c r="B40" s="457"/>
      <c r="C40" s="457"/>
      <c r="D40" s="459"/>
      <c r="E40" s="459"/>
      <c r="F40" s="459"/>
      <c r="G40" s="457"/>
      <c r="H40" s="488"/>
      <c r="I40" s="458"/>
      <c r="J40" s="456"/>
      <c r="O40" s="507"/>
      <c r="Q40" s="502"/>
      <c r="S40" s="458"/>
      <c r="T40" s="456"/>
      <c r="U40" s="505"/>
      <c r="V40" s="457"/>
      <c r="W40" s="457"/>
      <c r="Y40" s="459"/>
      <c r="AA40" s="508" t="s">
        <v>51</v>
      </c>
      <c r="AB40" s="495"/>
      <c r="AC40" s="454"/>
    </row>
    <row r="41" spans="1:29">
      <c r="A41" s="456"/>
      <c r="B41" s="457" t="s">
        <v>379</v>
      </c>
      <c r="C41" s="457"/>
      <c r="D41" s="497">
        <f>SUM(D32:D40)</f>
        <v>2559.5500000000002</v>
      </c>
      <c r="E41" s="459"/>
      <c r="F41" s="497">
        <f>SUM(F32:F40)</f>
        <v>1036875.63</v>
      </c>
      <c r="G41" s="457"/>
      <c r="H41" s="509"/>
      <c r="I41" s="458"/>
      <c r="J41" s="456"/>
      <c r="K41" s="455" t="s">
        <v>379</v>
      </c>
      <c r="N41" s="510">
        <f>SUM(N32:N40)</f>
        <v>1036875.63</v>
      </c>
      <c r="O41" s="509"/>
      <c r="Q41" s="511">
        <f>SUM(Q32:Q40)</f>
        <v>456853.43999999698</v>
      </c>
      <c r="R41" s="512"/>
      <c r="S41" s="458"/>
      <c r="T41" s="456"/>
      <c r="U41" s="457" t="s">
        <v>385</v>
      </c>
      <c r="V41" s="505"/>
      <c r="W41" s="457"/>
      <c r="AA41" s="508"/>
      <c r="AB41" s="495"/>
      <c r="AC41" s="454"/>
    </row>
    <row r="42" spans="1:29">
      <c r="A42" s="456"/>
      <c r="B42" s="457"/>
      <c r="C42" s="457"/>
      <c r="D42" s="459"/>
      <c r="E42" s="459"/>
      <c r="F42" s="482"/>
      <c r="G42" s="457"/>
      <c r="H42" s="488"/>
      <c r="I42" s="458"/>
      <c r="J42" s="456"/>
      <c r="K42" s="457"/>
      <c r="L42" s="457"/>
      <c r="M42" s="457"/>
      <c r="N42" s="459"/>
      <c r="O42" s="513"/>
      <c r="P42" s="457"/>
      <c r="Q42" s="489" t="s">
        <v>51</v>
      </c>
      <c r="R42" s="474"/>
      <c r="S42" s="458"/>
      <c r="T42" s="456"/>
      <c r="U42" s="457"/>
      <c r="V42" s="457"/>
      <c r="W42" s="457"/>
      <c r="Y42" s="459"/>
      <c r="AA42" s="459"/>
      <c r="AB42" s="514"/>
      <c r="AC42" s="454"/>
    </row>
    <row r="43" spans="1:29">
      <c r="A43" s="456"/>
      <c r="B43" s="457"/>
      <c r="C43" s="457"/>
      <c r="D43" s="459"/>
      <c r="E43" s="459"/>
      <c r="F43" s="459"/>
      <c r="G43" s="457"/>
      <c r="H43" s="488"/>
      <c r="I43" s="458"/>
      <c r="J43" s="456"/>
      <c r="K43" s="457"/>
      <c r="L43" s="457"/>
      <c r="M43" s="457"/>
      <c r="N43" s="482"/>
      <c r="O43" s="515"/>
      <c r="P43" s="457"/>
      <c r="Q43" s="516"/>
      <c r="R43" s="490"/>
      <c r="S43" s="458"/>
      <c r="T43" s="456"/>
      <c r="U43" s="457"/>
      <c r="V43" s="457"/>
      <c r="W43" s="457"/>
      <c r="Y43" s="459"/>
      <c r="AA43" s="459"/>
      <c r="AB43" s="495"/>
      <c r="AC43" s="454"/>
    </row>
    <row r="44" spans="1:29">
      <c r="A44" s="456"/>
      <c r="D44" s="483" t="s">
        <v>51</v>
      </c>
      <c r="E44" s="483"/>
      <c r="F44" s="483"/>
      <c r="I44" s="458"/>
      <c r="J44" s="456"/>
      <c r="K44" s="457" t="s">
        <v>386</v>
      </c>
      <c r="L44" s="457"/>
      <c r="M44" s="457"/>
      <c r="N44" s="459"/>
      <c r="O44" s="515"/>
      <c r="P44" s="457"/>
      <c r="Q44" s="489" t="s">
        <v>51</v>
      </c>
      <c r="R44" s="490"/>
      <c r="S44" s="458"/>
      <c r="T44" s="456"/>
      <c r="U44" s="457" t="s">
        <v>387</v>
      </c>
      <c r="V44" s="457"/>
      <c r="W44" s="457"/>
      <c r="Y44" s="492">
        <f>+F59</f>
        <v>30953642.780000001</v>
      </c>
      <c r="Z44" s="493"/>
      <c r="AA44" s="492">
        <f>31494625.75-30953642.78</f>
        <v>540982.96999999881</v>
      </c>
      <c r="AB44" s="495"/>
      <c r="AC44" s="454"/>
    </row>
    <row r="45" spans="1:29">
      <c r="A45" s="456"/>
      <c r="B45" s="457" t="s">
        <v>386</v>
      </c>
      <c r="C45" s="457"/>
      <c r="D45" s="459"/>
      <c r="E45" s="459"/>
      <c r="F45" s="459"/>
      <c r="G45" s="457"/>
      <c r="H45" s="488"/>
      <c r="I45" s="458"/>
      <c r="J45" s="456"/>
      <c r="K45" s="457" t="s">
        <v>51</v>
      </c>
      <c r="L45" s="457"/>
      <c r="M45" s="457"/>
      <c r="N45" s="459" t="s">
        <v>51</v>
      </c>
      <c r="O45" s="515"/>
      <c r="P45" s="457"/>
      <c r="Q45" s="489" t="s">
        <v>51</v>
      </c>
      <c r="R45" s="490"/>
      <c r="S45" s="458"/>
      <c r="T45" s="456"/>
      <c r="AB45" s="495"/>
      <c r="AC45" s="454"/>
    </row>
    <row r="46" spans="1:29">
      <c r="A46" s="456"/>
      <c r="C46" s="457"/>
      <c r="D46" s="459"/>
      <c r="E46" s="459"/>
      <c r="F46" s="459"/>
      <c r="G46" s="457"/>
      <c r="H46" s="457"/>
      <c r="I46" s="458"/>
      <c r="J46" s="456"/>
      <c r="K46" s="457" t="s">
        <v>366</v>
      </c>
      <c r="L46" s="457"/>
      <c r="M46" s="457"/>
      <c r="N46" s="459">
        <f>+N19+N32</f>
        <v>31846089.849999998</v>
      </c>
      <c r="O46" s="513"/>
      <c r="P46" s="457"/>
      <c r="Q46" s="489">
        <f>+Q19+Q32</f>
        <v>28442520.27</v>
      </c>
      <c r="R46" s="474"/>
      <c r="S46" s="458"/>
      <c r="T46" s="456"/>
      <c r="U46" s="457" t="s">
        <v>374</v>
      </c>
      <c r="V46" s="457"/>
      <c r="W46" s="457"/>
      <c r="Y46" s="459">
        <v>31053916.109999999</v>
      </c>
      <c r="Z46" s="494"/>
      <c r="AA46" s="459">
        <f>31846089.85-31053916.11</f>
        <v>792173.74000000209</v>
      </c>
      <c r="AB46" s="458"/>
      <c r="AC46" s="454"/>
    </row>
    <row r="47" spans="1:29">
      <c r="A47" s="456"/>
      <c r="B47" s="457" t="s">
        <v>365</v>
      </c>
      <c r="C47" s="457"/>
      <c r="D47" s="459">
        <f>+D19+D32</f>
        <v>16621.669999999998</v>
      </c>
      <c r="E47" s="459"/>
      <c r="F47" s="459">
        <f>+F19+F32</f>
        <v>21509238.289999999</v>
      </c>
      <c r="G47" s="457"/>
      <c r="H47" s="488"/>
      <c r="I47" s="458"/>
      <c r="J47" s="456"/>
      <c r="K47" s="457" t="s">
        <v>51</v>
      </c>
      <c r="L47" s="457"/>
      <c r="M47" s="457"/>
      <c r="N47" s="459" t="s">
        <v>51</v>
      </c>
      <c r="O47" s="515"/>
      <c r="P47" s="457"/>
      <c r="Q47" s="489" t="s">
        <v>51</v>
      </c>
      <c r="R47" s="490"/>
      <c r="S47" s="458"/>
      <c r="T47" s="456"/>
      <c r="AB47" s="495"/>
      <c r="AC47" s="454"/>
    </row>
    <row r="48" spans="1:29">
      <c r="A48" s="456"/>
      <c r="B48" s="457" t="s">
        <v>367</v>
      </c>
      <c r="C48" s="457"/>
      <c r="D48" s="459">
        <f>+D20+D33</f>
        <v>7956.35</v>
      </c>
      <c r="E48" s="459"/>
      <c r="F48" s="459">
        <f>+F20+F33</f>
        <v>10336851.560000001</v>
      </c>
      <c r="G48" s="457"/>
      <c r="H48" s="488"/>
      <c r="I48" s="458"/>
      <c r="J48" s="456"/>
      <c r="K48" s="457" t="s">
        <v>370</v>
      </c>
      <c r="L48" s="457"/>
      <c r="M48" s="457"/>
      <c r="N48" s="459">
        <f>+N22+N35</f>
        <v>318019.65000000002</v>
      </c>
      <c r="O48" s="515"/>
      <c r="P48" s="457"/>
      <c r="Q48" s="489">
        <f>+Q22+Q35</f>
        <v>226975.57999999996</v>
      </c>
      <c r="R48" s="490"/>
      <c r="S48" s="458"/>
      <c r="T48" s="456"/>
      <c r="U48" s="457" t="s">
        <v>388</v>
      </c>
      <c r="V48" s="457"/>
      <c r="W48" s="457"/>
      <c r="Y48" s="496">
        <v>353365.41</v>
      </c>
      <c r="Z48" s="455" t="s">
        <v>51</v>
      </c>
      <c r="AA48" s="459">
        <f>1171361.29-353365.41</f>
        <v>817995.88000000012</v>
      </c>
      <c r="AB48" s="495"/>
      <c r="AC48" s="454"/>
    </row>
    <row r="49" spans="1:29">
      <c r="A49" s="456"/>
      <c r="B49" s="457" t="s">
        <v>368</v>
      </c>
      <c r="C49" s="457"/>
      <c r="D49" s="459">
        <f>+D21+D34</f>
        <v>0</v>
      </c>
      <c r="E49" s="459"/>
      <c r="F49" s="459">
        <f>+F21+F34</f>
        <v>0</v>
      </c>
      <c r="G49" s="457"/>
      <c r="H49" s="488"/>
      <c r="I49" s="458"/>
      <c r="J49" s="456"/>
      <c r="K49" s="457"/>
      <c r="L49" s="457"/>
      <c r="M49" s="457"/>
      <c r="N49" s="459"/>
      <c r="O49" s="515"/>
      <c r="P49" s="457"/>
      <c r="Q49" s="489"/>
      <c r="R49" s="490"/>
      <c r="S49" s="458"/>
      <c r="T49" s="456"/>
      <c r="U49" s="457"/>
      <c r="V49" s="457"/>
      <c r="W49" s="457"/>
      <c r="Y49" s="517"/>
      <c r="Z49" s="494"/>
      <c r="AA49" s="517"/>
      <c r="AB49" s="495"/>
      <c r="AC49" s="454"/>
    </row>
    <row r="50" spans="1:29">
      <c r="A50" s="456"/>
      <c r="B50" s="457" t="s">
        <v>369</v>
      </c>
      <c r="C50" s="457"/>
      <c r="D50" s="459">
        <f>+D22+D35</f>
        <v>3524.3199999999997</v>
      </c>
      <c r="E50" s="459"/>
      <c r="F50" s="459">
        <f>+F22+F35</f>
        <v>219311.02</v>
      </c>
      <c r="G50" s="457"/>
      <c r="H50" s="488"/>
      <c r="I50" s="458"/>
      <c r="J50" s="456"/>
      <c r="K50" s="457"/>
      <c r="L50" s="457"/>
      <c r="M50" s="457"/>
      <c r="N50" s="459" t="s">
        <v>51</v>
      </c>
      <c r="O50" s="515"/>
      <c r="P50" s="457"/>
      <c r="Q50" s="489" t="s">
        <v>51</v>
      </c>
      <c r="R50" s="490"/>
      <c r="S50" s="458"/>
      <c r="T50" s="456"/>
      <c r="AB50" s="495" t="s">
        <v>51</v>
      </c>
      <c r="AC50" s="454"/>
    </row>
    <row r="51" spans="1:29" ht="15.75" thickBot="1">
      <c r="A51" s="456"/>
      <c r="B51" s="457" t="s">
        <v>372</v>
      </c>
      <c r="C51" s="457"/>
      <c r="D51" s="459">
        <f>+D23+D36</f>
        <v>1646</v>
      </c>
      <c r="E51" s="459"/>
      <c r="F51" s="459">
        <f>+F23+F36</f>
        <v>98708.63</v>
      </c>
      <c r="G51" s="457"/>
      <c r="H51" s="488"/>
      <c r="I51" s="458"/>
      <c r="J51" s="456"/>
      <c r="K51" s="457" t="s">
        <v>376</v>
      </c>
      <c r="L51" s="457"/>
      <c r="M51" s="457"/>
      <c r="N51" s="459">
        <f>+N25+N38</f>
        <v>60077.680000000008</v>
      </c>
      <c r="O51" s="515"/>
      <c r="P51" s="457"/>
      <c r="Q51" s="489">
        <f>+Q25+Q38</f>
        <v>80814.84</v>
      </c>
      <c r="R51" s="490"/>
      <c r="S51" s="458"/>
      <c r="T51" s="456"/>
      <c r="U51" s="457" t="s">
        <v>389</v>
      </c>
      <c r="V51" s="457"/>
      <c r="W51" s="457"/>
      <c r="X51" s="455" t="s">
        <v>51</v>
      </c>
      <c r="Y51" s="459">
        <f>+Y44-Y46+Y48</f>
        <v>253092.08000000176</v>
      </c>
      <c r="Z51" s="500"/>
      <c r="AA51" s="459">
        <f>+AA44-AA46+AA48</f>
        <v>566805.10999999684</v>
      </c>
      <c r="AB51" s="495"/>
      <c r="AC51" s="454"/>
    </row>
    <row r="52" spans="1:29" ht="15.75" thickTop="1">
      <c r="A52" s="456"/>
      <c r="B52" s="457" t="s">
        <v>375</v>
      </c>
      <c r="C52" s="457"/>
      <c r="D52" s="459">
        <f>+D25+D38</f>
        <v>5438.51</v>
      </c>
      <c r="E52" s="459"/>
      <c r="F52" s="459">
        <f>+F25+F38</f>
        <v>60077.680000000008</v>
      </c>
      <c r="G52" s="457"/>
      <c r="H52" s="457"/>
      <c r="I52" s="458"/>
      <c r="J52" s="456"/>
      <c r="K52" s="457" t="s">
        <v>390</v>
      </c>
      <c r="L52" s="457"/>
      <c r="M52" s="457"/>
      <c r="N52" s="459">
        <v>0</v>
      </c>
      <c r="O52" s="515"/>
      <c r="P52" s="457"/>
      <c r="Q52" s="489">
        <v>0</v>
      </c>
      <c r="R52" s="490"/>
      <c r="S52" s="458"/>
      <c r="T52" s="456"/>
      <c r="U52" s="457"/>
      <c r="V52" s="457"/>
      <c r="W52" s="518"/>
      <c r="X52" s="457"/>
      <c r="Y52" s="468" t="s">
        <v>51</v>
      </c>
      <c r="Z52" s="457"/>
      <c r="AA52" s="468" t="s">
        <v>51</v>
      </c>
      <c r="AB52" s="495"/>
      <c r="AC52" s="454"/>
    </row>
    <row r="53" spans="1:29">
      <c r="A53" s="456"/>
      <c r="B53" s="457" t="s">
        <v>384</v>
      </c>
      <c r="C53" s="457"/>
      <c r="D53" s="459">
        <f>+D39</f>
        <v>0</v>
      </c>
      <c r="E53" s="459"/>
      <c r="F53" s="459">
        <f>+F39</f>
        <v>0</v>
      </c>
      <c r="G53" s="457"/>
      <c r="H53" s="457"/>
      <c r="I53" s="458"/>
      <c r="J53" s="456"/>
      <c r="K53" s="457"/>
      <c r="L53" s="457"/>
      <c r="M53" s="457"/>
      <c r="N53" s="459" t="s">
        <v>51</v>
      </c>
      <c r="O53" s="515"/>
      <c r="P53" s="457"/>
      <c r="Q53" s="489" t="s">
        <v>51</v>
      </c>
      <c r="R53" s="490"/>
      <c r="S53" s="458"/>
      <c r="T53" s="456"/>
      <c r="U53" s="457"/>
      <c r="V53" s="457"/>
      <c r="W53" s="518"/>
      <c r="X53" s="457"/>
      <c r="Y53" s="496"/>
      <c r="Z53" s="519"/>
      <c r="AA53" s="520"/>
      <c r="AB53" s="495"/>
      <c r="AC53" s="454"/>
    </row>
    <row r="54" spans="1:29" ht="15.75" thickBot="1">
      <c r="A54" s="456"/>
      <c r="B54" s="457"/>
      <c r="C54" s="457"/>
      <c r="D54" s="459" t="s">
        <v>51</v>
      </c>
      <c r="E54" s="459"/>
      <c r="F54" s="459" t="s">
        <v>51</v>
      </c>
      <c r="G54" s="457"/>
      <c r="H54" s="488"/>
      <c r="I54" s="458"/>
      <c r="J54" s="456"/>
      <c r="K54" s="457" t="s">
        <v>391</v>
      </c>
      <c r="L54" s="457"/>
      <c r="M54" s="457"/>
      <c r="N54" s="497">
        <f>+N27+N41</f>
        <v>32224187.179999996</v>
      </c>
      <c r="O54" s="509"/>
      <c r="P54" s="457"/>
      <c r="Q54" s="498">
        <f>+Q27+Q41</f>
        <v>28750310.690000001</v>
      </c>
      <c r="R54" s="488"/>
      <c r="S54" s="458"/>
      <c r="T54" s="454"/>
      <c r="AB54" s="501"/>
      <c r="AC54" s="454"/>
    </row>
    <row r="55" spans="1:29" ht="16.5" thickTop="1" thickBot="1">
      <c r="A55" s="456"/>
      <c r="B55" s="457" t="s">
        <v>391</v>
      </c>
      <c r="D55" s="510">
        <f>SUM(D47:D54)</f>
        <v>35186.85</v>
      </c>
      <c r="E55" s="483"/>
      <c r="F55" s="510">
        <f>SUM(F47:F54)</f>
        <v>32224187.18</v>
      </c>
      <c r="H55" s="521"/>
      <c r="I55" s="458"/>
      <c r="J55" s="456"/>
      <c r="K55" s="457"/>
      <c r="L55" s="457"/>
      <c r="M55" s="457"/>
      <c r="N55" s="468"/>
      <c r="O55" s="513"/>
      <c r="P55" s="457"/>
      <c r="Q55" s="522"/>
      <c r="R55" s="474"/>
      <c r="S55" s="458"/>
      <c r="T55" s="456"/>
      <c r="AB55" s="495"/>
      <c r="AC55" s="454"/>
    </row>
    <row r="56" spans="1:29" ht="15.75" thickTop="1">
      <c r="A56" s="456"/>
      <c r="B56" s="457"/>
      <c r="C56" s="457"/>
      <c r="D56" s="523"/>
      <c r="E56" s="457"/>
      <c r="F56" s="523"/>
      <c r="G56" s="457"/>
      <c r="H56" s="488"/>
      <c r="I56" s="458"/>
      <c r="J56" s="456"/>
      <c r="K56" s="457"/>
      <c r="L56" s="457"/>
      <c r="M56" s="457"/>
      <c r="N56" s="482"/>
      <c r="O56" s="515"/>
      <c r="P56" s="457"/>
      <c r="Q56" s="516"/>
      <c r="R56" s="490"/>
      <c r="S56" s="458"/>
      <c r="T56" s="456"/>
      <c r="AB56" s="495"/>
      <c r="AC56" s="454"/>
    </row>
    <row r="57" spans="1:29" ht="15.75" thickBot="1">
      <c r="A57" s="456"/>
      <c r="B57" s="457"/>
      <c r="C57" s="457"/>
      <c r="D57" s="518"/>
      <c r="E57" s="457"/>
      <c r="F57" s="518"/>
      <c r="G57" s="457"/>
      <c r="H57" s="488"/>
      <c r="I57" s="458"/>
      <c r="J57" s="456"/>
      <c r="K57" s="457" t="s">
        <v>392</v>
      </c>
      <c r="L57" s="457"/>
      <c r="M57" s="457"/>
      <c r="N57" s="459"/>
      <c r="O57" s="515"/>
      <c r="P57" s="457"/>
      <c r="Q57" s="489">
        <v>28280867.359999999</v>
      </c>
      <c r="R57" s="488"/>
      <c r="S57" s="458"/>
      <c r="T57" s="456"/>
      <c r="U57" s="457"/>
      <c r="V57" s="457"/>
      <c r="W57" s="457"/>
      <c r="Y57" s="459" t="s">
        <v>51</v>
      </c>
      <c r="AA57" s="459" t="s">
        <v>51</v>
      </c>
      <c r="AB57" s="495"/>
      <c r="AC57" s="454"/>
    </row>
    <row r="58" spans="1:29" ht="15.75" thickTop="1">
      <c r="A58" s="456"/>
      <c r="B58" s="457" t="s">
        <v>51</v>
      </c>
      <c r="C58" s="457"/>
      <c r="D58" s="518"/>
      <c r="E58" s="457"/>
      <c r="F58" s="487" t="s">
        <v>51</v>
      </c>
      <c r="G58" s="457"/>
      <c r="H58" s="488"/>
      <c r="I58" s="458"/>
      <c r="J58" s="456"/>
      <c r="K58" s="457"/>
      <c r="L58" s="457"/>
      <c r="M58" s="457"/>
      <c r="N58" s="482"/>
      <c r="O58" s="515"/>
      <c r="P58" s="457"/>
      <c r="Q58" s="468"/>
      <c r="R58" s="488"/>
      <c r="S58" s="458"/>
      <c r="T58" s="456"/>
      <c r="AB58" s="495"/>
      <c r="AC58" s="454"/>
    </row>
    <row r="59" spans="1:29" ht="15.75" thickBot="1">
      <c r="A59" s="456"/>
      <c r="B59" s="457" t="s">
        <v>393</v>
      </c>
      <c r="C59" s="457"/>
      <c r="D59" s="518"/>
      <c r="E59" s="457"/>
      <c r="F59" s="524">
        <v>30953642.780000001</v>
      </c>
      <c r="G59" s="457"/>
      <c r="H59" s="457"/>
      <c r="I59" s="458"/>
      <c r="J59" s="456"/>
      <c r="K59" s="457" t="s">
        <v>393</v>
      </c>
      <c r="L59" s="457"/>
      <c r="M59" s="457"/>
      <c r="N59" s="492">
        <f>+F59</f>
        <v>30953642.780000001</v>
      </c>
      <c r="O59" s="488"/>
      <c r="P59" s="457"/>
      <c r="Q59" s="482" t="s">
        <v>51</v>
      </c>
      <c r="R59" s="488"/>
      <c r="S59" s="458"/>
      <c r="T59" s="486"/>
      <c r="U59" s="457" t="s">
        <v>51</v>
      </c>
      <c r="V59" s="457"/>
      <c r="W59" s="518"/>
      <c r="X59" s="457"/>
      <c r="Y59" s="459"/>
      <c r="Z59" s="518"/>
      <c r="AA59" s="459"/>
      <c r="AB59" s="495"/>
      <c r="AC59" s="454"/>
    </row>
    <row r="60" spans="1:29" ht="15.75" thickTop="1">
      <c r="A60" s="456" t="s">
        <v>51</v>
      </c>
      <c r="F60" s="525"/>
      <c r="G60" s="457"/>
      <c r="H60" s="526"/>
      <c r="I60" s="458"/>
      <c r="J60" s="456"/>
      <c r="K60" s="457"/>
      <c r="L60" s="457"/>
      <c r="M60" s="457"/>
      <c r="N60" s="468"/>
      <c r="O60" s="457"/>
      <c r="P60" s="457"/>
      <c r="Q60" s="459"/>
      <c r="R60" s="457"/>
      <c r="S60" s="458"/>
      <c r="T60" s="456"/>
      <c r="U60" s="457"/>
      <c r="V60" s="457"/>
      <c r="W60" s="457"/>
      <c r="X60" s="457"/>
      <c r="Y60" s="459"/>
      <c r="Z60" s="518"/>
      <c r="AA60" s="459"/>
      <c r="AB60" s="458"/>
      <c r="AC60" s="454"/>
    </row>
    <row r="61" spans="1:29" ht="15.75" thickBot="1">
      <c r="A61" s="454"/>
      <c r="B61" s="455" t="s">
        <v>394</v>
      </c>
      <c r="C61" s="457"/>
      <c r="D61" s="518"/>
      <c r="E61" s="457"/>
      <c r="F61" s="527">
        <v>31307008.190000001</v>
      </c>
      <c r="G61" s="457"/>
      <c r="H61" s="457"/>
      <c r="I61" s="458"/>
      <c r="J61" s="456" t="s">
        <v>51</v>
      </c>
      <c r="K61" s="455" t="s">
        <v>394</v>
      </c>
      <c r="L61" s="457"/>
      <c r="M61" s="518"/>
      <c r="N61" s="528">
        <f>+F61</f>
        <v>31307008.190000001</v>
      </c>
      <c r="P61" s="457"/>
      <c r="Q61" s="459"/>
      <c r="R61" s="457"/>
      <c r="S61" s="458"/>
      <c r="T61" s="456"/>
      <c r="U61" s="457"/>
      <c r="V61" s="457"/>
      <c r="W61" s="457"/>
      <c r="X61" s="457"/>
      <c r="Y61" s="459"/>
      <c r="Z61" s="518"/>
      <c r="AA61" s="459"/>
      <c r="AB61" s="458"/>
      <c r="AC61" s="454"/>
    </row>
    <row r="62" spans="1:29" ht="15.75" thickTop="1">
      <c r="A62" s="454"/>
      <c r="C62" s="457"/>
      <c r="D62" s="518"/>
      <c r="E62" s="457"/>
      <c r="F62" s="518"/>
      <c r="G62" s="457"/>
      <c r="H62" s="488"/>
      <c r="I62" s="458"/>
      <c r="J62" s="456" t="s">
        <v>51</v>
      </c>
      <c r="K62" s="455" t="s">
        <v>51</v>
      </c>
      <c r="L62" s="457"/>
      <c r="M62" s="457"/>
      <c r="N62" s="459"/>
      <c r="O62" s="488"/>
      <c r="P62" s="457"/>
      <c r="Q62" s="459"/>
      <c r="R62" s="457"/>
      <c r="S62" s="458"/>
      <c r="T62" s="456"/>
      <c r="U62" s="457"/>
      <c r="V62" s="457"/>
      <c r="W62" s="457"/>
      <c r="X62" s="457"/>
      <c r="Y62" s="459"/>
      <c r="Z62" s="518"/>
      <c r="AA62" s="459"/>
      <c r="AB62" s="458"/>
      <c r="AC62" s="454"/>
    </row>
    <row r="63" spans="1:29" ht="15.75">
      <c r="A63" s="454"/>
      <c r="B63" s="457"/>
      <c r="G63" s="457"/>
      <c r="H63" s="488"/>
      <c r="I63" s="458"/>
      <c r="J63" s="529" t="s">
        <v>51</v>
      </c>
      <c r="K63" s="457" t="s">
        <v>51</v>
      </c>
      <c r="L63" s="457"/>
      <c r="M63" s="457"/>
      <c r="N63" s="482"/>
      <c r="O63" s="488"/>
      <c r="P63" s="457"/>
      <c r="Q63" s="459"/>
      <c r="R63" s="457"/>
      <c r="S63" s="458"/>
      <c r="T63" s="456"/>
      <c r="U63" s="457"/>
      <c r="V63" s="457"/>
      <c r="W63" s="518"/>
      <c r="X63" s="457"/>
      <c r="Y63" s="459"/>
      <c r="Z63" s="518"/>
      <c r="AA63" s="459"/>
      <c r="AB63" s="495"/>
      <c r="AC63" s="454"/>
    </row>
    <row r="64" spans="1:29">
      <c r="A64" s="454"/>
      <c r="B64" s="457"/>
      <c r="F64" s="483"/>
      <c r="G64" s="457"/>
      <c r="H64" s="457"/>
      <c r="I64" s="458"/>
      <c r="J64" s="530" t="s">
        <v>51</v>
      </c>
      <c r="K64" s="457" t="s">
        <v>51</v>
      </c>
      <c r="P64" s="457"/>
      <c r="Q64" s="459"/>
      <c r="R64" s="488"/>
      <c r="S64" s="458"/>
      <c r="T64" s="456"/>
      <c r="U64" s="457"/>
      <c r="V64" s="457"/>
      <c r="W64" s="518"/>
      <c r="X64" s="457"/>
      <c r="Y64" s="459"/>
      <c r="Z64" s="518"/>
      <c r="AA64" s="459" t="s">
        <v>51</v>
      </c>
      <c r="AB64" s="495"/>
      <c r="AC64" s="454"/>
    </row>
    <row r="65" spans="1:29">
      <c r="A65" s="454"/>
      <c r="E65" s="457"/>
      <c r="F65" s="504"/>
      <c r="G65" s="457"/>
      <c r="H65" s="457"/>
      <c r="I65" s="458"/>
      <c r="J65" s="530" t="s">
        <v>51</v>
      </c>
      <c r="K65" s="455" t="s">
        <v>51</v>
      </c>
      <c r="L65" s="457"/>
      <c r="M65" s="457"/>
      <c r="N65" s="459"/>
      <c r="O65" s="457"/>
      <c r="P65" s="457"/>
      <c r="Q65" s="459"/>
      <c r="R65" s="457"/>
      <c r="S65" s="458"/>
      <c r="T65" s="456"/>
      <c r="U65" s="457"/>
      <c r="V65" s="457"/>
      <c r="W65" s="457"/>
      <c r="X65" s="457"/>
      <c r="Y65" s="459"/>
      <c r="Z65" s="518"/>
      <c r="AA65" s="459"/>
      <c r="AB65" s="458"/>
      <c r="AC65" s="454"/>
    </row>
    <row r="66" spans="1:29" ht="15.75" thickBot="1">
      <c r="A66" s="531"/>
      <c r="B66" s="532" t="s">
        <v>51</v>
      </c>
      <c r="C66" s="532"/>
      <c r="D66" s="532"/>
      <c r="E66" s="533"/>
      <c r="F66" s="534"/>
      <c r="G66" s="533"/>
      <c r="H66" s="535"/>
      <c r="I66" s="536"/>
      <c r="J66" s="537" t="s">
        <v>51</v>
      </c>
      <c r="K66" s="533" t="s">
        <v>51</v>
      </c>
      <c r="L66" s="533"/>
      <c r="M66" s="533"/>
      <c r="N66" s="538"/>
      <c r="O66" s="535"/>
      <c r="P66" s="533"/>
      <c r="Q66" s="538"/>
      <c r="R66" s="535"/>
      <c r="S66" s="536"/>
      <c r="T66" s="537"/>
      <c r="U66" s="533"/>
      <c r="V66" s="533"/>
      <c r="W66" s="534"/>
      <c r="X66" s="533"/>
      <c r="Y66" s="538"/>
      <c r="Z66" s="534"/>
      <c r="AA66" s="538"/>
      <c r="AB66" s="539"/>
      <c r="AC66" s="454"/>
    </row>
    <row r="67" spans="1:29">
      <c r="A67" s="473" t="s">
        <v>51</v>
      </c>
      <c r="B67" s="473" t="s">
        <v>51</v>
      </c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1"/>
      <c r="O67" s="540"/>
      <c r="P67" s="540"/>
      <c r="Q67" s="541"/>
      <c r="R67" s="540"/>
      <c r="S67" s="540"/>
      <c r="T67" s="540"/>
      <c r="U67" s="540"/>
      <c r="V67" s="540"/>
      <c r="W67" s="540"/>
      <c r="X67" s="540"/>
      <c r="Y67" s="541"/>
      <c r="Z67" s="540"/>
      <c r="AA67" s="541"/>
      <c r="AB67" s="540"/>
    </row>
    <row r="68" spans="1:29">
      <c r="J68" s="542"/>
      <c r="T68" s="542"/>
    </row>
    <row r="69" spans="1:29">
      <c r="J69" s="542"/>
      <c r="T69" s="542"/>
    </row>
    <row r="70" spans="1:29">
      <c r="J70" s="542"/>
      <c r="T70" s="542"/>
    </row>
    <row r="71" spans="1:29">
      <c r="J71" s="542"/>
      <c r="T71" s="542"/>
    </row>
    <row r="72" spans="1:29">
      <c r="J72" s="542"/>
      <c r="T72" s="542"/>
    </row>
    <row r="73" spans="1:29">
      <c r="J73" s="542"/>
      <c r="T73" s="542"/>
    </row>
    <row r="74" spans="1:29">
      <c r="J74" s="542"/>
      <c r="T74" s="542"/>
    </row>
    <row r="75" spans="1:29">
      <c r="J75" s="542"/>
      <c r="T75" s="542"/>
    </row>
    <row r="76" spans="1:29">
      <c r="J76" s="542"/>
      <c r="T76" s="542"/>
    </row>
    <row r="77" spans="1:29">
      <c r="J77" s="542"/>
      <c r="T77" s="542"/>
    </row>
    <row r="78" spans="1:29">
      <c r="J78" s="542"/>
      <c r="T78" s="542"/>
    </row>
    <row r="79" spans="1:29">
      <c r="J79" s="542"/>
      <c r="T79" s="542"/>
    </row>
    <row r="80" spans="1:29">
      <c r="J80" s="542"/>
      <c r="T80" s="542"/>
    </row>
    <row r="81" spans="10:20">
      <c r="J81" s="542"/>
      <c r="T81" s="542"/>
    </row>
    <row r="82" spans="10:20">
      <c r="J82" s="542"/>
      <c r="T82" s="542"/>
    </row>
    <row r="83" spans="10:20">
      <c r="J83" s="542"/>
      <c r="T83" s="542"/>
    </row>
    <row r="84" spans="10:20">
      <c r="J84" s="542"/>
      <c r="T84" s="542"/>
    </row>
    <row r="85" spans="10:20">
      <c r="J85" s="542"/>
      <c r="T85" s="542"/>
    </row>
    <row r="86" spans="10:20">
      <c r="J86" s="542"/>
      <c r="T86" s="542"/>
    </row>
    <row r="87" spans="10:20">
      <c r="J87" s="542"/>
      <c r="T87" s="542"/>
    </row>
    <row r="88" spans="10:20">
      <c r="J88" s="542"/>
      <c r="T88" s="542"/>
    </row>
    <row r="89" spans="10:20">
      <c r="J89" s="542"/>
      <c r="T89" s="542"/>
    </row>
    <row r="90" spans="10:20">
      <c r="J90" s="542"/>
      <c r="T90" s="542"/>
    </row>
    <row r="91" spans="10:20">
      <c r="J91" s="542"/>
      <c r="T91" s="542"/>
    </row>
    <row r="92" spans="10:20">
      <c r="J92" s="542"/>
      <c r="T92" s="542"/>
    </row>
    <row r="93" spans="10:20">
      <c r="J93" s="542"/>
      <c r="T93" s="542"/>
    </row>
    <row r="94" spans="10:20">
      <c r="J94" s="542"/>
      <c r="T94" s="542"/>
    </row>
    <row r="95" spans="10:20">
      <c r="J95" s="542"/>
      <c r="T95" s="542"/>
    </row>
    <row r="96" spans="10:20">
      <c r="J96" s="542"/>
      <c r="T96" s="542"/>
    </row>
    <row r="97" spans="10:20">
      <c r="J97" s="542"/>
      <c r="T97" s="542"/>
    </row>
    <row r="98" spans="10:20">
      <c r="J98" s="542"/>
      <c r="T98" s="542"/>
    </row>
    <row r="99" spans="10:20">
      <c r="J99" s="542"/>
      <c r="T99" s="542"/>
    </row>
    <row r="100" spans="10:20">
      <c r="J100" s="542"/>
      <c r="T100" s="542"/>
    </row>
    <row r="101" spans="10:20">
      <c r="J101" s="542"/>
      <c r="T101" s="542"/>
    </row>
    <row r="102" spans="10:20">
      <c r="J102" s="542"/>
      <c r="T102" s="542"/>
    </row>
    <row r="103" spans="10:20">
      <c r="J103" s="542"/>
      <c r="T103" s="542"/>
    </row>
    <row r="104" spans="10:20">
      <c r="J104" s="542"/>
      <c r="T104" s="542"/>
    </row>
    <row r="105" spans="10:20">
      <c r="J105" s="542"/>
      <c r="T105" s="542"/>
    </row>
    <row r="106" spans="10:20">
      <c r="J106" s="542"/>
      <c r="T106" s="542"/>
    </row>
    <row r="107" spans="10:20">
      <c r="J107" s="542"/>
      <c r="T107" s="542"/>
    </row>
    <row r="108" spans="10:20">
      <c r="J108" s="542"/>
      <c r="T108" s="542"/>
    </row>
    <row r="109" spans="10:20">
      <c r="J109" s="542"/>
      <c r="T109" s="542"/>
    </row>
    <row r="110" spans="10:20">
      <c r="J110" s="542"/>
      <c r="T110" s="542"/>
    </row>
    <row r="111" spans="10:20">
      <c r="J111" s="542"/>
      <c r="T111" s="542"/>
    </row>
    <row r="112" spans="10:20">
      <c r="J112" s="542"/>
      <c r="T112" s="542"/>
    </row>
    <row r="113" spans="10:20">
      <c r="J113" s="542"/>
      <c r="T113" s="542"/>
    </row>
    <row r="114" spans="10:20">
      <c r="J114" s="542"/>
      <c r="T114" s="542"/>
    </row>
    <row r="115" spans="10:20">
      <c r="J115" s="542"/>
      <c r="T115" s="542"/>
    </row>
    <row r="116" spans="10:20">
      <c r="J116" s="542"/>
      <c r="T116" s="542"/>
    </row>
    <row r="117" spans="10:20">
      <c r="J117" s="542"/>
      <c r="T117" s="542"/>
    </row>
  </sheetData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M12" sqref="M12"/>
    </sheetView>
  </sheetViews>
  <sheetFormatPr defaultRowHeight="15"/>
  <cols>
    <col min="2" max="2" width="12.85546875" customWidth="1"/>
    <col min="3" max="3" width="31.28515625" customWidth="1"/>
    <col min="5" max="5" width="28.7109375" customWidth="1"/>
    <col min="6" max="6" width="25.42578125" customWidth="1"/>
    <col min="7" max="7" width="17.28515625" customWidth="1"/>
  </cols>
  <sheetData>
    <row r="1" spans="1:7">
      <c r="A1" s="608" t="s">
        <v>0</v>
      </c>
      <c r="B1" s="608"/>
      <c r="C1" s="608"/>
      <c r="D1" s="608"/>
    </row>
    <row r="2" spans="1:7">
      <c r="A2" s="608" t="s">
        <v>1</v>
      </c>
      <c r="B2" s="608"/>
      <c r="C2" s="608"/>
      <c r="D2" s="608"/>
    </row>
    <row r="3" spans="1:7">
      <c r="A3" s="609" t="s">
        <v>9</v>
      </c>
      <c r="B3" s="608"/>
      <c r="C3" s="608"/>
      <c r="D3" s="608"/>
    </row>
    <row r="5" spans="1:7" ht="29.25" customHeight="1">
      <c r="A5" s="1" t="s">
        <v>2</v>
      </c>
      <c r="B5" s="1" t="s">
        <v>3</v>
      </c>
      <c r="C5" s="2" t="s">
        <v>4</v>
      </c>
      <c r="D5" s="1" t="s">
        <v>5</v>
      </c>
      <c r="E5" s="2" t="s">
        <v>6</v>
      </c>
      <c r="F5" s="1" t="s">
        <v>7</v>
      </c>
      <c r="G5" s="2" t="s">
        <v>8</v>
      </c>
    </row>
    <row r="6" spans="1:7" ht="15" customHeight="1">
      <c r="A6" s="3">
        <v>150808</v>
      </c>
      <c r="B6" s="4">
        <v>41928</v>
      </c>
      <c r="C6" s="3" t="s">
        <v>10</v>
      </c>
      <c r="D6" s="3">
        <v>94173</v>
      </c>
      <c r="E6" s="3" t="s">
        <v>11</v>
      </c>
      <c r="F6" s="3" t="s">
        <v>12</v>
      </c>
      <c r="G6" s="5">
        <v>15710</v>
      </c>
    </row>
    <row r="7" spans="1:7">
      <c r="A7" s="3"/>
      <c r="B7" s="4"/>
      <c r="C7" s="3"/>
      <c r="D7" s="3"/>
      <c r="E7" s="3" t="s">
        <v>13</v>
      </c>
      <c r="F7" s="6" t="s">
        <v>14</v>
      </c>
      <c r="G7" s="5">
        <v>26347</v>
      </c>
    </row>
    <row r="8" spans="1:7">
      <c r="A8" s="3"/>
      <c r="B8" s="4"/>
      <c r="C8" s="3"/>
      <c r="D8" s="3"/>
      <c r="E8" s="3" t="s">
        <v>15</v>
      </c>
      <c r="F8" s="6" t="s">
        <v>16</v>
      </c>
      <c r="G8" s="5">
        <v>26347</v>
      </c>
    </row>
    <row r="9" spans="1:7">
      <c r="A9" s="7"/>
      <c r="B9" s="7"/>
      <c r="C9" s="7"/>
      <c r="D9" s="7"/>
      <c r="E9" s="7" t="s">
        <v>17</v>
      </c>
      <c r="F9" s="8" t="s">
        <v>18</v>
      </c>
      <c r="G9" s="10">
        <v>532745</v>
      </c>
    </row>
    <row r="10" spans="1:7">
      <c r="A10" s="3"/>
      <c r="B10" s="3"/>
      <c r="C10" s="3"/>
      <c r="D10" s="3"/>
      <c r="E10" s="3" t="s">
        <v>19</v>
      </c>
      <c r="F10" s="6" t="s">
        <v>20</v>
      </c>
      <c r="G10" s="5">
        <v>532745</v>
      </c>
    </row>
    <row r="11" spans="1:7" ht="15.75" thickBot="1">
      <c r="A11" s="3">
        <v>151076</v>
      </c>
      <c r="B11" s="4">
        <v>41943</v>
      </c>
      <c r="C11" s="3" t="s">
        <v>21</v>
      </c>
      <c r="D11" s="3">
        <v>98014</v>
      </c>
      <c r="E11" s="9" t="s">
        <v>22</v>
      </c>
      <c r="F11" s="9" t="s">
        <v>23</v>
      </c>
      <c r="G11" s="11">
        <v>28000</v>
      </c>
    </row>
    <row r="12" spans="1:7" ht="15.75" thickBot="1">
      <c r="G12" s="12">
        <f>SUM(G6:G11)</f>
        <v>1161894</v>
      </c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8"/>
  <sheetViews>
    <sheetView view="pageLayout" topLeftCell="A4" workbookViewId="0">
      <selection activeCell="A13" sqref="A13"/>
    </sheetView>
  </sheetViews>
  <sheetFormatPr defaultColWidth="6" defaultRowHeight="12.75"/>
  <cols>
    <col min="1" max="1" width="23.5703125" style="547" customWidth="1"/>
    <col min="2" max="2" width="22.85546875" style="547" customWidth="1"/>
    <col min="3" max="3" width="16.85546875" style="546" bestFit="1" customWidth="1"/>
    <col min="4" max="4" width="14.5703125" style="546" bestFit="1" customWidth="1"/>
    <col min="5" max="5" width="15.7109375" style="546" bestFit="1" customWidth="1"/>
    <col min="6" max="6" width="13" style="547" customWidth="1"/>
    <col min="7" max="7" width="15.7109375" style="547" customWidth="1"/>
    <col min="8" max="8" width="13.28515625" style="547" customWidth="1"/>
    <col min="9" max="9" width="15.42578125" style="547" customWidth="1"/>
    <col min="10" max="10" width="14.5703125" style="547" customWidth="1"/>
    <col min="11" max="11" width="15.42578125" style="546" customWidth="1"/>
    <col min="12" max="12" width="13.7109375" style="547" customWidth="1"/>
    <col min="13" max="13" width="12.42578125" style="547" customWidth="1"/>
    <col min="14" max="16384" width="6" style="547"/>
  </cols>
  <sheetData>
    <row r="1" spans="1:13" ht="26.25">
      <c r="A1" s="543" t="s">
        <v>395</v>
      </c>
      <c r="B1" s="544"/>
      <c r="C1" s="545"/>
      <c r="D1" s="545"/>
    </row>
    <row r="3" spans="1:13">
      <c r="A3" s="547" t="s">
        <v>396</v>
      </c>
    </row>
    <row r="5" spans="1:13" ht="14.25">
      <c r="B5" s="547" t="s">
        <v>397</v>
      </c>
      <c r="C5" s="548">
        <v>15000000</v>
      </c>
    </row>
    <row r="6" spans="1:13" ht="14.25">
      <c r="B6" s="547" t="s">
        <v>398</v>
      </c>
      <c r="C6" s="548">
        <f>1238071+173</f>
        <v>1238244</v>
      </c>
    </row>
    <row r="7" spans="1:13" ht="14.25">
      <c r="B7" s="549" t="s">
        <v>399</v>
      </c>
      <c r="C7" s="548">
        <v>1400000</v>
      </c>
    </row>
    <row r="8" spans="1:13" ht="14.25">
      <c r="C8" s="550">
        <f>+C5+C6+C7</f>
        <v>17638244</v>
      </c>
    </row>
    <row r="9" spans="1:13" ht="14.25">
      <c r="C9" s="551"/>
    </row>
    <row r="10" spans="1:13" ht="14.25">
      <c r="C10" s="551"/>
    </row>
    <row r="12" spans="1:13">
      <c r="A12" s="552" t="s">
        <v>400</v>
      </c>
    </row>
    <row r="13" spans="1:13">
      <c r="C13" s="553" t="s">
        <v>115</v>
      </c>
      <c r="D13" s="554"/>
      <c r="E13" s="555"/>
      <c r="F13" s="556" t="s">
        <v>401</v>
      </c>
      <c r="G13" s="557"/>
      <c r="H13" s="558"/>
      <c r="I13" s="559"/>
    </row>
    <row r="14" spans="1:13">
      <c r="C14" s="553"/>
      <c r="D14" s="554"/>
      <c r="E14" s="555"/>
      <c r="F14" s="560" t="s">
        <v>402</v>
      </c>
      <c r="G14" s="556" t="s">
        <v>403</v>
      </c>
      <c r="H14" s="558"/>
      <c r="I14" s="561"/>
    </row>
    <row r="15" spans="1:13" ht="28.5">
      <c r="A15" s="562" t="s">
        <v>404</v>
      </c>
      <c r="B15" s="563" t="s">
        <v>405</v>
      </c>
      <c r="C15" s="564" t="s">
        <v>406</v>
      </c>
      <c r="D15" s="565" t="s">
        <v>407</v>
      </c>
      <c r="E15" s="566" t="s">
        <v>408</v>
      </c>
      <c r="F15" s="567" t="s">
        <v>406</v>
      </c>
      <c r="G15" s="567" t="s">
        <v>406</v>
      </c>
      <c r="H15" s="568" t="s">
        <v>407</v>
      </c>
      <c r="I15" s="569" t="s">
        <v>31</v>
      </c>
      <c r="J15" s="570" t="s">
        <v>409</v>
      </c>
      <c r="K15" s="571" t="s">
        <v>410</v>
      </c>
      <c r="L15" s="562" t="s">
        <v>411</v>
      </c>
      <c r="M15" s="562" t="s">
        <v>412</v>
      </c>
    </row>
    <row r="16" spans="1:13" ht="14.25">
      <c r="A16" s="572"/>
      <c r="B16" s="573"/>
      <c r="C16" s="574"/>
      <c r="D16" s="575"/>
      <c r="E16" s="574"/>
      <c r="F16" s="572"/>
      <c r="G16" s="572"/>
      <c r="H16" s="572"/>
      <c r="I16" s="572"/>
      <c r="J16" s="572"/>
      <c r="K16" s="574"/>
      <c r="L16" s="572"/>
      <c r="M16" s="572"/>
    </row>
    <row r="17" spans="1:13" ht="14.25">
      <c r="A17" s="576" t="s">
        <v>413</v>
      </c>
      <c r="B17" s="572" t="s">
        <v>414</v>
      </c>
      <c r="C17" s="574">
        <v>788384</v>
      </c>
      <c r="D17" s="575">
        <v>0</v>
      </c>
      <c r="E17" s="574">
        <f>+C17+D17</f>
        <v>788384</v>
      </c>
      <c r="F17" s="577">
        <v>622411.52000000002</v>
      </c>
      <c r="G17" s="577">
        <v>147822.74</v>
      </c>
      <c r="H17" s="577">
        <v>0</v>
      </c>
      <c r="I17" s="577">
        <f>SUM(F17:H17)</f>
        <v>770234.26</v>
      </c>
      <c r="J17" s="577">
        <v>0</v>
      </c>
      <c r="K17" s="574">
        <f>E17-I17-J17</f>
        <v>18149.739999999991</v>
      </c>
      <c r="L17" s="578">
        <f>I17/E17</f>
        <v>0.97697855359824659</v>
      </c>
      <c r="M17" s="572"/>
    </row>
    <row r="18" spans="1:13" ht="14.25">
      <c r="A18" s="576" t="s">
        <v>415</v>
      </c>
      <c r="B18" s="572" t="s">
        <v>416</v>
      </c>
      <c r="C18" s="574">
        <v>75300</v>
      </c>
      <c r="D18" s="575">
        <v>0</v>
      </c>
      <c r="E18" s="574">
        <f t="shared" ref="E18:E27" si="0">+C18+D18</f>
        <v>75300</v>
      </c>
      <c r="F18" s="577">
        <v>58534.77</v>
      </c>
      <c r="G18" s="577">
        <f>11621.26+427.5</f>
        <v>12048.76</v>
      </c>
      <c r="H18" s="577">
        <v>0</v>
      </c>
      <c r="I18" s="577">
        <f t="shared" ref="I18:I27" si="1">SUM(F18:H18)</f>
        <v>70583.53</v>
      </c>
      <c r="J18" s="577">
        <v>0</v>
      </c>
      <c r="K18" s="574">
        <f t="shared" ref="K18:K27" si="2">E18-I18-J18</f>
        <v>4716.4700000000012</v>
      </c>
      <c r="L18" s="578">
        <f t="shared" ref="L18:L27" si="3">I18/E18</f>
        <v>0.93736427622841967</v>
      </c>
      <c r="M18" s="572"/>
    </row>
    <row r="19" spans="1:13" ht="14.25">
      <c r="A19" s="576" t="s">
        <v>417</v>
      </c>
      <c r="B19" s="572" t="s">
        <v>418</v>
      </c>
      <c r="C19" s="579">
        <v>24000</v>
      </c>
      <c r="D19" s="574">
        <v>0</v>
      </c>
      <c r="E19" s="574">
        <f t="shared" si="0"/>
        <v>24000</v>
      </c>
      <c r="F19" s="577">
        <v>0</v>
      </c>
      <c r="G19" s="577">
        <v>24000</v>
      </c>
      <c r="H19" s="577">
        <v>0</v>
      </c>
      <c r="I19" s="577">
        <f t="shared" si="1"/>
        <v>24000</v>
      </c>
      <c r="J19" s="577">
        <v>0</v>
      </c>
      <c r="K19" s="574">
        <f t="shared" si="2"/>
        <v>0</v>
      </c>
      <c r="L19" s="578">
        <f>I19/E19</f>
        <v>1</v>
      </c>
      <c r="M19" s="572"/>
    </row>
    <row r="20" spans="1:13" ht="14.25">
      <c r="A20" s="576" t="s">
        <v>419</v>
      </c>
      <c r="B20" s="572" t="s">
        <v>420</v>
      </c>
      <c r="C20" s="574">
        <v>24000</v>
      </c>
      <c r="D20" s="575">
        <v>0</v>
      </c>
      <c r="E20" s="574">
        <f t="shared" si="0"/>
        <v>24000</v>
      </c>
      <c r="F20" s="577">
        <v>0</v>
      </c>
      <c r="G20" s="577">
        <v>24000</v>
      </c>
      <c r="H20" s="577">
        <v>0</v>
      </c>
      <c r="I20" s="577">
        <f t="shared" si="1"/>
        <v>24000</v>
      </c>
      <c r="J20" s="577">
        <v>0</v>
      </c>
      <c r="K20" s="574">
        <f t="shared" si="2"/>
        <v>0</v>
      </c>
      <c r="L20" s="578">
        <f t="shared" si="3"/>
        <v>1</v>
      </c>
      <c r="M20" s="572"/>
    </row>
    <row r="21" spans="1:13" ht="14.25">
      <c r="A21" s="576" t="s">
        <v>421</v>
      </c>
      <c r="B21" s="580" t="s">
        <v>422</v>
      </c>
      <c r="C21" s="574">
        <f>14694470+512863+146376</f>
        <v>15353709</v>
      </c>
      <c r="D21" s="581">
        <v>1400000</v>
      </c>
      <c r="E21" s="574">
        <f t="shared" si="0"/>
        <v>16753709</v>
      </c>
      <c r="F21" s="577">
        <v>0</v>
      </c>
      <c r="G21" s="577">
        <f>14789295.8-G26-G27</f>
        <v>15472665.600000001</v>
      </c>
      <c r="H21" s="577">
        <v>142678.39999999999</v>
      </c>
      <c r="I21" s="577">
        <f t="shared" si="1"/>
        <v>15615344.000000002</v>
      </c>
      <c r="J21" s="577">
        <v>819790</v>
      </c>
      <c r="K21" s="574">
        <f t="shared" si="2"/>
        <v>318574.99999999814</v>
      </c>
      <c r="L21" s="578">
        <f t="shared" si="3"/>
        <v>0.93205295615436567</v>
      </c>
      <c r="M21" s="572"/>
    </row>
    <row r="22" spans="1:13" ht="14.25">
      <c r="A22" s="576" t="s">
        <v>423</v>
      </c>
      <c r="B22" s="572" t="s">
        <v>424</v>
      </c>
      <c r="C22" s="574">
        <v>52590</v>
      </c>
      <c r="D22" s="575">
        <v>0</v>
      </c>
      <c r="E22" s="574">
        <f t="shared" si="0"/>
        <v>52590</v>
      </c>
      <c r="F22" s="577">
        <v>0</v>
      </c>
      <c r="G22" s="577">
        <v>57764.2</v>
      </c>
      <c r="H22" s="577">
        <v>0</v>
      </c>
      <c r="I22" s="577">
        <f t="shared" si="1"/>
        <v>57764.2</v>
      </c>
      <c r="J22" s="577">
        <v>0</v>
      </c>
      <c r="K22" s="574">
        <f t="shared" si="2"/>
        <v>-5174.1999999999971</v>
      </c>
      <c r="L22" s="578">
        <f t="shared" si="3"/>
        <v>1.098387526145655</v>
      </c>
      <c r="M22" s="572"/>
    </row>
    <row r="23" spans="1:13" ht="14.25">
      <c r="A23" s="576" t="s">
        <v>425</v>
      </c>
      <c r="B23" s="572" t="s">
        <v>426</v>
      </c>
      <c r="C23" s="574">
        <f>404500-D23</f>
        <v>404500</v>
      </c>
      <c r="D23" s="575">
        <v>0</v>
      </c>
      <c r="E23" s="574">
        <f t="shared" si="0"/>
        <v>404500</v>
      </c>
      <c r="F23" s="577">
        <v>0</v>
      </c>
      <c r="G23" s="577">
        <v>385358.19</v>
      </c>
      <c r="H23" s="577">
        <v>0</v>
      </c>
      <c r="I23" s="577">
        <f t="shared" si="1"/>
        <v>385358.19</v>
      </c>
      <c r="J23" s="577">
        <v>0</v>
      </c>
      <c r="K23" s="574">
        <f t="shared" si="2"/>
        <v>19141.809999999998</v>
      </c>
      <c r="L23" s="578">
        <f t="shared" si="3"/>
        <v>0.95267784919653897</v>
      </c>
      <c r="M23" s="572"/>
    </row>
    <row r="24" spans="1:13" ht="14.25">
      <c r="A24" s="576" t="s">
        <v>427</v>
      </c>
      <c r="B24" s="572" t="s">
        <v>428</v>
      </c>
      <c r="C24" s="574">
        <v>100000</v>
      </c>
      <c r="D24" s="575">
        <v>0</v>
      </c>
      <c r="E24" s="574">
        <f>+C24+D24</f>
        <v>100000</v>
      </c>
      <c r="F24" s="577">
        <v>0</v>
      </c>
      <c r="G24" s="577">
        <v>0</v>
      </c>
      <c r="H24" s="577">
        <v>0</v>
      </c>
      <c r="I24" s="577">
        <f>SUM(F24:H24)</f>
        <v>0</v>
      </c>
      <c r="J24" s="577">
        <v>0</v>
      </c>
      <c r="K24" s="574">
        <f>E24-I24-J24</f>
        <v>100000</v>
      </c>
      <c r="L24" s="578">
        <f>I24/E24</f>
        <v>0</v>
      </c>
      <c r="M24" s="572"/>
    </row>
    <row r="25" spans="1:13" ht="14.25">
      <c r="A25" s="576" t="s">
        <v>429</v>
      </c>
      <c r="B25" s="572" t="s">
        <v>430</v>
      </c>
      <c r="C25" s="574">
        <v>75000</v>
      </c>
      <c r="D25" s="575">
        <v>0</v>
      </c>
      <c r="E25" s="574">
        <v>75000</v>
      </c>
      <c r="F25" s="577">
        <v>0</v>
      </c>
      <c r="G25" s="577">
        <v>75090.509999999995</v>
      </c>
      <c r="H25" s="577">
        <v>0</v>
      </c>
      <c r="I25" s="577">
        <f>SUM(F25:H25)</f>
        <v>75090.509999999995</v>
      </c>
      <c r="J25" s="577">
        <v>0</v>
      </c>
      <c r="K25" s="574">
        <f>E25-I25-J25</f>
        <v>-90.509999999994761</v>
      </c>
      <c r="L25" s="578">
        <f>I25/E25</f>
        <v>1.0012067999999998</v>
      </c>
      <c r="M25" s="572"/>
    </row>
    <row r="26" spans="1:13" ht="14.25">
      <c r="A26" s="576"/>
      <c r="B26" s="572" t="s">
        <v>431</v>
      </c>
      <c r="C26" s="577">
        <v>-512863</v>
      </c>
      <c r="D26" s="575">
        <v>0</v>
      </c>
      <c r="E26" s="574">
        <f t="shared" si="0"/>
        <v>-512863</v>
      </c>
      <c r="F26" s="577">
        <v>0</v>
      </c>
      <c r="G26" s="577">
        <v>-498460</v>
      </c>
      <c r="H26" s="577">
        <v>0</v>
      </c>
      <c r="I26" s="577">
        <f t="shared" si="1"/>
        <v>-498460</v>
      </c>
      <c r="J26" s="577">
        <v>0</v>
      </c>
      <c r="K26" s="574">
        <f t="shared" si="2"/>
        <v>-14403</v>
      </c>
      <c r="L26" s="578">
        <f t="shared" si="3"/>
        <v>0.97191647671990378</v>
      </c>
      <c r="M26" s="572"/>
    </row>
    <row r="27" spans="1:13" ht="14.25">
      <c r="A27" s="576"/>
      <c r="B27" s="572" t="s">
        <v>432</v>
      </c>
      <c r="C27" s="577">
        <v>-146376</v>
      </c>
      <c r="D27" s="575">
        <v>0</v>
      </c>
      <c r="E27" s="574">
        <f t="shared" si="0"/>
        <v>-146376</v>
      </c>
      <c r="F27" s="577">
        <v>0</v>
      </c>
      <c r="G27" s="577">
        <v>-184909.8</v>
      </c>
      <c r="H27" s="577">
        <v>0</v>
      </c>
      <c r="I27" s="577">
        <f t="shared" si="1"/>
        <v>-184909.8</v>
      </c>
      <c r="J27" s="577">
        <v>0</v>
      </c>
      <c r="K27" s="574">
        <f t="shared" si="2"/>
        <v>38533.799999999988</v>
      </c>
      <c r="L27" s="578">
        <f t="shared" si="3"/>
        <v>1.2632521724872929</v>
      </c>
      <c r="M27" s="572"/>
    </row>
    <row r="28" spans="1:13" ht="15">
      <c r="A28" s="582"/>
      <c r="B28" s="572"/>
      <c r="C28" s="574"/>
      <c r="D28" s="575"/>
      <c r="E28" s="574"/>
      <c r="F28" s="583"/>
      <c r="G28" s="583"/>
      <c r="H28" s="583"/>
      <c r="I28" s="583"/>
      <c r="J28" s="577"/>
      <c r="K28" s="574"/>
      <c r="L28" s="572"/>
      <c r="M28" s="572"/>
    </row>
    <row r="29" spans="1:13" ht="14.25">
      <c r="A29" s="584"/>
      <c r="B29" s="584" t="s">
        <v>433</v>
      </c>
      <c r="C29" s="585">
        <f>SUM(C17:C28)</f>
        <v>16238244</v>
      </c>
      <c r="D29" s="585">
        <f>SUM(D17:D28)</f>
        <v>1400000</v>
      </c>
      <c r="E29" s="585">
        <f>SUM(E16:E27)</f>
        <v>17638244</v>
      </c>
      <c r="F29" s="586">
        <f t="shared" ref="F29:I29" si="4">SUM(F16:F27)</f>
        <v>680946.29</v>
      </c>
      <c r="G29" s="586">
        <f t="shared" si="4"/>
        <v>15515380.199999999</v>
      </c>
      <c r="H29" s="586">
        <f t="shared" si="4"/>
        <v>142678.39999999999</v>
      </c>
      <c r="I29" s="586">
        <f t="shared" si="4"/>
        <v>16339004.890000004</v>
      </c>
      <c r="J29" s="587">
        <f>SUM(J16:J27)</f>
        <v>819790</v>
      </c>
      <c r="K29" s="588">
        <f>SUM(K16:K28)</f>
        <v>479449.10999999807</v>
      </c>
      <c r="L29" s="589">
        <f>+I29/E29</f>
        <v>0.92633965660073669</v>
      </c>
      <c r="M29" s="584"/>
    </row>
    <row r="32" spans="1:13">
      <c r="E32" s="546">
        <f>+E29-17638244</f>
        <v>0</v>
      </c>
    </row>
    <row r="34" spans="2:10" ht="23.25">
      <c r="B34" s="544"/>
      <c r="C34" s="545"/>
      <c r="D34" s="545"/>
      <c r="E34" s="545"/>
    </row>
    <row r="38" spans="2:10">
      <c r="J38" s="547" t="s">
        <v>329</v>
      </c>
    </row>
  </sheetData>
  <pageMargins left="0.25" right="0.25" top="0.75" bottom="0.75" header="0.3" footer="0.3"/>
  <pageSetup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topLeftCell="A7" workbookViewId="0">
      <selection activeCell="K15" sqref="K15"/>
    </sheetView>
  </sheetViews>
  <sheetFormatPr defaultColWidth="9.140625" defaultRowHeight="12.75"/>
  <cols>
    <col min="1" max="1" width="24.85546875" style="547" customWidth="1"/>
    <col min="2" max="2" width="24.140625" style="547" customWidth="1"/>
    <col min="3" max="3" width="15.7109375" style="546" bestFit="1" customWidth="1"/>
    <col min="4" max="4" width="14.5703125" style="546" bestFit="1" customWidth="1"/>
    <col min="5" max="5" width="15.7109375" style="546" bestFit="1" customWidth="1"/>
    <col min="6" max="7" width="16.42578125" style="547" customWidth="1"/>
    <col min="8" max="8" width="14.5703125" style="547" bestFit="1" customWidth="1"/>
    <col min="9" max="9" width="14.5703125" style="547" customWidth="1"/>
    <col min="10" max="10" width="14.5703125" style="546" customWidth="1"/>
    <col min="11" max="11" width="13.28515625" style="547" customWidth="1"/>
    <col min="12" max="12" width="12.42578125" style="547" customWidth="1"/>
    <col min="13" max="16384" width="9.140625" style="547"/>
  </cols>
  <sheetData>
    <row r="1" spans="1:12" ht="26.25">
      <c r="A1" s="543" t="s">
        <v>434</v>
      </c>
      <c r="B1" s="544"/>
      <c r="C1" s="545"/>
      <c r="D1" s="545"/>
    </row>
    <row r="3" spans="1:12">
      <c r="A3" s="547" t="s">
        <v>396</v>
      </c>
    </row>
    <row r="5" spans="1:12" ht="14.25">
      <c r="B5" s="547" t="s">
        <v>397</v>
      </c>
      <c r="C5" s="548">
        <v>1793157</v>
      </c>
    </row>
    <row r="6" spans="1:12" ht="14.25">
      <c r="B6" s="549" t="s">
        <v>435</v>
      </c>
      <c r="C6" s="548">
        <v>456843</v>
      </c>
    </row>
    <row r="7" spans="1:12" ht="14.25">
      <c r="C7" s="550">
        <f>+C5+C6</f>
        <v>2250000</v>
      </c>
    </row>
    <row r="8" spans="1:12" ht="14.25">
      <c r="C8" s="551"/>
    </row>
    <row r="9" spans="1:12" ht="14.25">
      <c r="C9" s="551"/>
    </row>
    <row r="11" spans="1:12">
      <c r="A11" s="552" t="str">
        <f>+'[2]K-8 STEM ACADEMY '!A12</f>
        <v>Expenditures as of 11/04/14</v>
      </c>
    </row>
    <row r="12" spans="1:12">
      <c r="C12" s="553" t="s">
        <v>115</v>
      </c>
      <c r="D12" s="554"/>
      <c r="E12" s="555"/>
      <c r="F12" s="556" t="s">
        <v>401</v>
      </c>
      <c r="G12" s="557"/>
      <c r="H12" s="559"/>
    </row>
    <row r="13" spans="1:12" ht="28.5">
      <c r="A13" s="562" t="s">
        <v>404</v>
      </c>
      <c r="B13" s="563" t="s">
        <v>405</v>
      </c>
      <c r="C13" s="564" t="s">
        <v>406</v>
      </c>
      <c r="D13" s="565" t="s">
        <v>407</v>
      </c>
      <c r="E13" s="566" t="s">
        <v>436</v>
      </c>
      <c r="F13" s="567" t="s">
        <v>406</v>
      </c>
      <c r="G13" s="567" t="s">
        <v>407</v>
      </c>
      <c r="H13" s="567" t="s">
        <v>31</v>
      </c>
      <c r="I13" s="570" t="s">
        <v>409</v>
      </c>
      <c r="J13" s="571" t="s">
        <v>410</v>
      </c>
      <c r="K13" s="562" t="s">
        <v>411</v>
      </c>
      <c r="L13" s="562" t="s">
        <v>412</v>
      </c>
    </row>
    <row r="14" spans="1:12" ht="14.25">
      <c r="A14" s="572"/>
      <c r="B14" s="573"/>
      <c r="C14" s="574"/>
      <c r="D14" s="575"/>
      <c r="E14" s="574"/>
      <c r="F14" s="572"/>
      <c r="G14" s="572"/>
      <c r="H14" s="572"/>
      <c r="I14" s="572"/>
      <c r="J14" s="574"/>
      <c r="K14" s="572"/>
      <c r="L14" s="572"/>
    </row>
    <row r="15" spans="1:12" ht="14.25">
      <c r="A15" s="576" t="s">
        <v>437</v>
      </c>
      <c r="B15" s="572" t="s">
        <v>414</v>
      </c>
      <c r="C15" s="574">
        <v>100000</v>
      </c>
      <c r="D15" s="575">
        <v>0</v>
      </c>
      <c r="E15" s="574">
        <f>+C15+D15</f>
        <v>100000</v>
      </c>
      <c r="F15" s="590">
        <v>80239</v>
      </c>
      <c r="G15" s="590">
        <v>0</v>
      </c>
      <c r="H15" s="590">
        <f t="shared" ref="H15:H20" si="0">SUM(F15:G15)</f>
        <v>80239</v>
      </c>
      <c r="I15" s="590"/>
      <c r="J15" s="574">
        <f t="shared" ref="J15:J20" si="1">E15-H15-I15</f>
        <v>19761</v>
      </c>
      <c r="K15" s="578">
        <f>H15/E15</f>
        <v>0.80239000000000005</v>
      </c>
      <c r="L15" s="572"/>
    </row>
    <row r="16" spans="1:12" ht="14.25">
      <c r="A16" s="576" t="s">
        <v>438</v>
      </c>
      <c r="B16" s="572" t="s">
        <v>416</v>
      </c>
      <c r="C16" s="574">
        <v>20000</v>
      </c>
      <c r="D16" s="575">
        <v>10000</v>
      </c>
      <c r="E16" s="574">
        <f t="shared" ref="E16:E20" si="2">+C16+D16</f>
        <v>30000</v>
      </c>
      <c r="F16" s="590">
        <v>7078.25</v>
      </c>
      <c r="G16" s="590">
        <v>0</v>
      </c>
      <c r="H16" s="590">
        <f t="shared" si="0"/>
        <v>7078.25</v>
      </c>
      <c r="I16" s="590"/>
      <c r="J16" s="574">
        <f t="shared" si="1"/>
        <v>22921.75</v>
      </c>
      <c r="K16" s="578">
        <f t="shared" ref="K16:K20" si="3">H16/E16</f>
        <v>0.23594166666666666</v>
      </c>
      <c r="L16" s="572"/>
    </row>
    <row r="17" spans="1:12" ht="14.25">
      <c r="A17" s="576" t="s">
        <v>439</v>
      </c>
      <c r="B17" s="572" t="s">
        <v>440</v>
      </c>
      <c r="C17" s="579">
        <v>73157</v>
      </c>
      <c r="D17" s="574">
        <v>96843</v>
      </c>
      <c r="E17" s="574">
        <f t="shared" si="2"/>
        <v>170000</v>
      </c>
      <c r="F17" s="590">
        <v>58000</v>
      </c>
      <c r="G17" s="590">
        <v>0</v>
      </c>
      <c r="H17" s="590">
        <f t="shared" si="0"/>
        <v>58000</v>
      </c>
      <c r="I17" s="590"/>
      <c r="J17" s="574">
        <f t="shared" si="1"/>
        <v>112000</v>
      </c>
      <c r="K17" s="578">
        <f t="shared" si="3"/>
        <v>0.3411764705882353</v>
      </c>
      <c r="L17" s="572"/>
    </row>
    <row r="18" spans="1:12" ht="14.25">
      <c r="A18" s="576" t="s">
        <v>441</v>
      </c>
      <c r="B18" s="572" t="s">
        <v>442</v>
      </c>
      <c r="C18" s="574">
        <v>0</v>
      </c>
      <c r="D18" s="575">
        <v>140000</v>
      </c>
      <c r="E18" s="574">
        <f t="shared" si="2"/>
        <v>140000</v>
      </c>
      <c r="F18" s="590">
        <v>0</v>
      </c>
      <c r="G18" s="590">
        <v>0</v>
      </c>
      <c r="H18" s="590">
        <f t="shared" si="0"/>
        <v>0</v>
      </c>
      <c r="I18" s="590"/>
      <c r="J18" s="574">
        <f t="shared" si="1"/>
        <v>140000</v>
      </c>
      <c r="K18" s="578">
        <f t="shared" si="3"/>
        <v>0</v>
      </c>
      <c r="L18" s="572"/>
    </row>
    <row r="19" spans="1:12" ht="14.25">
      <c r="A19" s="576" t="s">
        <v>443</v>
      </c>
      <c r="B19" s="580" t="s">
        <v>422</v>
      </c>
      <c r="C19" s="574">
        <v>1600000</v>
      </c>
      <c r="D19" s="591">
        <v>60000</v>
      </c>
      <c r="E19" s="574">
        <f t="shared" si="2"/>
        <v>1660000</v>
      </c>
      <c r="F19" s="590">
        <v>0</v>
      </c>
      <c r="G19" s="590">
        <v>0</v>
      </c>
      <c r="H19" s="590">
        <f t="shared" si="0"/>
        <v>0</v>
      </c>
      <c r="I19" s="590"/>
      <c r="J19" s="574">
        <f t="shared" si="1"/>
        <v>1660000</v>
      </c>
      <c r="K19" s="578">
        <f t="shared" si="3"/>
        <v>0</v>
      </c>
      <c r="L19" s="572"/>
    </row>
    <row r="20" spans="1:12" ht="14.25">
      <c r="A20" s="576" t="s">
        <v>444</v>
      </c>
      <c r="B20" s="572" t="s">
        <v>445</v>
      </c>
      <c r="C20" s="574">
        <v>0</v>
      </c>
      <c r="D20" s="575">
        <v>150000</v>
      </c>
      <c r="E20" s="574">
        <f t="shared" si="2"/>
        <v>150000</v>
      </c>
      <c r="F20" s="590">
        <v>0</v>
      </c>
      <c r="G20" s="590">
        <v>0</v>
      </c>
      <c r="H20" s="590">
        <f t="shared" si="0"/>
        <v>0</v>
      </c>
      <c r="I20" s="590"/>
      <c r="J20" s="574">
        <f t="shared" si="1"/>
        <v>150000</v>
      </c>
      <c r="K20" s="578">
        <f t="shared" si="3"/>
        <v>0</v>
      </c>
      <c r="L20" s="572"/>
    </row>
    <row r="21" spans="1:12" ht="15">
      <c r="A21" s="582"/>
      <c r="B21" s="572"/>
      <c r="C21" s="574"/>
      <c r="D21" s="575"/>
      <c r="E21" s="574"/>
      <c r="F21" s="592"/>
      <c r="G21" s="592"/>
      <c r="H21" s="592"/>
      <c r="I21" s="590"/>
      <c r="J21" s="574"/>
      <c r="K21" s="572"/>
      <c r="L21" s="572"/>
    </row>
    <row r="22" spans="1:12" ht="14.25">
      <c r="A22" s="584"/>
      <c r="B22" s="584" t="s">
        <v>433</v>
      </c>
      <c r="C22" s="585">
        <f>SUM(C15:C21)</f>
        <v>1793157</v>
      </c>
      <c r="D22" s="585">
        <f>SUM(D15:D21)</f>
        <v>456843</v>
      </c>
      <c r="E22" s="585">
        <f t="shared" ref="E22:I22" si="4">SUM(E14:E20)</f>
        <v>2250000</v>
      </c>
      <c r="F22" s="586">
        <f t="shared" si="4"/>
        <v>145317.25</v>
      </c>
      <c r="G22" s="586">
        <f t="shared" si="4"/>
        <v>0</v>
      </c>
      <c r="H22" s="586">
        <f t="shared" si="4"/>
        <v>145317.25</v>
      </c>
      <c r="I22" s="593">
        <f t="shared" si="4"/>
        <v>0</v>
      </c>
      <c r="J22" s="588">
        <f>SUM(J14:J21)</f>
        <v>2104682.75</v>
      </c>
      <c r="K22" s="589">
        <f>+H22/E22</f>
        <v>6.4585444444444445E-2</v>
      </c>
      <c r="L22" s="584"/>
    </row>
    <row r="27" spans="1:12" ht="23.25">
      <c r="B27" s="544"/>
      <c r="C27" s="545"/>
      <c r="D27" s="545"/>
      <c r="E27" s="545"/>
    </row>
    <row r="31" spans="1:12">
      <c r="I31" s="547" t="s">
        <v>329</v>
      </c>
    </row>
  </sheetData>
  <pageMargins left="0.25" right="0.25" top="0.75" bottom="0.75" header="0.3" footer="0.3"/>
  <pageSetup scale="6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workbookViewId="0">
      <selection activeCell="D30" sqref="D30"/>
    </sheetView>
  </sheetViews>
  <sheetFormatPr defaultColWidth="9.140625" defaultRowHeight="12.75"/>
  <cols>
    <col min="1" max="1" width="29.7109375" style="547" customWidth="1"/>
    <col min="2" max="2" width="25.7109375" style="547" customWidth="1"/>
    <col min="3" max="3" width="18.140625" style="547" bestFit="1" customWidth="1"/>
    <col min="4" max="4" width="16.42578125" style="547" customWidth="1"/>
    <col min="5" max="5" width="14.5703125" style="547" customWidth="1"/>
    <col min="6" max="6" width="16.5703125" style="547" customWidth="1"/>
    <col min="7" max="7" width="16.140625" style="547" customWidth="1"/>
    <col min="8" max="8" width="12.42578125" style="547" customWidth="1"/>
    <col min="9" max="16384" width="9.140625" style="547"/>
  </cols>
  <sheetData>
    <row r="1" spans="1:8" ht="26.25">
      <c r="A1" s="543" t="s">
        <v>446</v>
      </c>
      <c r="B1" s="544"/>
    </row>
    <row r="3" spans="1:8">
      <c r="A3" s="547" t="s">
        <v>396</v>
      </c>
    </row>
    <row r="5" spans="1:8" ht="14.25">
      <c r="D5" s="548">
        <v>4700000</v>
      </c>
      <c r="E5" s="549" t="s">
        <v>447</v>
      </c>
    </row>
    <row r="6" spans="1:8" ht="14.25">
      <c r="D6" s="548">
        <v>-1043325</v>
      </c>
      <c r="E6" s="547" t="s">
        <v>448</v>
      </c>
    </row>
    <row r="7" spans="1:8" ht="14.25">
      <c r="D7" s="550">
        <f>D5+D6</f>
        <v>3656675</v>
      </c>
    </row>
    <row r="9" spans="1:8">
      <c r="A9" s="552" t="str">
        <f>+'[2]K-8 STEM ACADEMY '!A12</f>
        <v>Expenditures as of 11/04/14</v>
      </c>
    </row>
    <row r="11" spans="1:8" ht="42.75">
      <c r="A11" s="562" t="s">
        <v>404</v>
      </c>
      <c r="B11" s="563" t="s">
        <v>405</v>
      </c>
      <c r="C11" s="562" t="s">
        <v>449</v>
      </c>
      <c r="D11" s="562" t="s">
        <v>450</v>
      </c>
      <c r="E11" s="562" t="s">
        <v>409</v>
      </c>
      <c r="F11" s="562" t="s">
        <v>410</v>
      </c>
      <c r="G11" s="562" t="s">
        <v>411</v>
      </c>
      <c r="H11" s="562" t="s">
        <v>412</v>
      </c>
    </row>
    <row r="12" spans="1:8" ht="14.25">
      <c r="A12" s="572"/>
      <c r="B12" s="573"/>
      <c r="C12" s="594"/>
      <c r="D12" s="572"/>
      <c r="E12" s="572"/>
      <c r="F12" s="572"/>
      <c r="G12" s="572"/>
      <c r="H12" s="572"/>
    </row>
    <row r="13" spans="1:8" ht="14.25">
      <c r="A13" s="576" t="s">
        <v>451</v>
      </c>
      <c r="B13" s="572" t="s">
        <v>414</v>
      </c>
      <c r="C13" s="574">
        <v>212228</v>
      </c>
      <c r="D13" s="574">
        <v>212228</v>
      </c>
      <c r="E13" s="574"/>
      <c r="F13" s="574">
        <f>+C13-D13-E13</f>
        <v>0</v>
      </c>
      <c r="G13" s="578">
        <f>+D13/C13</f>
        <v>1</v>
      </c>
      <c r="H13" s="572"/>
    </row>
    <row r="14" spans="1:8" ht="14.25">
      <c r="A14" s="576" t="s">
        <v>452</v>
      </c>
      <c r="B14" s="572" t="s">
        <v>416</v>
      </c>
      <c r="C14" s="574">
        <v>216972</v>
      </c>
      <c r="D14" s="574">
        <v>136117.26999999999</v>
      </c>
      <c r="E14" s="574"/>
      <c r="F14" s="574">
        <f t="shared" ref="F14:F16" si="0">+C14-D14-E14</f>
        <v>80854.73000000001</v>
      </c>
      <c r="G14" s="578">
        <f t="shared" ref="G14:G15" si="1">+D14/C14</f>
        <v>0.62734947366480465</v>
      </c>
      <c r="H14" s="572"/>
    </row>
    <row r="15" spans="1:8" ht="14.25">
      <c r="A15" s="576" t="s">
        <v>453</v>
      </c>
      <c r="B15" s="572" t="s">
        <v>454</v>
      </c>
      <c r="C15" s="574">
        <v>700000</v>
      </c>
      <c r="D15" s="574">
        <v>672955.75</v>
      </c>
      <c r="E15" s="574"/>
      <c r="F15" s="574">
        <f>+C15-D15-E15</f>
        <v>27044.25</v>
      </c>
      <c r="G15" s="578">
        <f t="shared" si="1"/>
        <v>0.96136535714285709</v>
      </c>
      <c r="H15" s="572"/>
    </row>
    <row r="16" spans="1:8" ht="14.25">
      <c r="A16" s="576" t="s">
        <v>455</v>
      </c>
      <c r="B16" s="580" t="s">
        <v>422</v>
      </c>
      <c r="C16" s="574">
        <v>2527475</v>
      </c>
      <c r="D16" s="574">
        <f>656279+1147139.63+562596.76</f>
        <v>2366015.3899999997</v>
      </c>
      <c r="E16" s="574">
        <v>161459.60999999999</v>
      </c>
      <c r="F16" s="574">
        <f t="shared" si="0"/>
        <v>3.4924596548080444E-10</v>
      </c>
      <c r="G16" s="578">
        <f>+D16/C16</f>
        <v>0.93611821679739649</v>
      </c>
      <c r="H16" s="572"/>
    </row>
    <row r="17" spans="1:8" ht="14.25">
      <c r="A17" s="576"/>
      <c r="B17" s="572"/>
      <c r="C17" s="574"/>
      <c r="D17" s="574"/>
      <c r="E17" s="574"/>
      <c r="F17" s="574"/>
      <c r="G17" s="578"/>
      <c r="H17" s="572"/>
    </row>
    <row r="18" spans="1:8" ht="14.25">
      <c r="A18" s="576"/>
      <c r="B18" s="572"/>
      <c r="C18" s="574"/>
      <c r="D18" s="574"/>
      <c r="E18" s="574"/>
      <c r="F18" s="574"/>
      <c r="G18" s="578"/>
      <c r="H18" s="572"/>
    </row>
    <row r="19" spans="1:8" ht="14.25">
      <c r="A19" s="576"/>
      <c r="B19" s="572"/>
      <c r="C19" s="574"/>
      <c r="D19" s="574"/>
      <c r="E19" s="574"/>
      <c r="F19" s="574"/>
      <c r="G19" s="578"/>
      <c r="H19" s="572"/>
    </row>
    <row r="20" spans="1:8" ht="14.25">
      <c r="A20" s="576"/>
      <c r="B20" s="572"/>
      <c r="C20" s="574"/>
      <c r="D20" s="574"/>
      <c r="E20" s="574"/>
      <c r="F20" s="574"/>
      <c r="G20" s="578"/>
      <c r="H20" s="572"/>
    </row>
    <row r="21" spans="1:8" ht="14.25">
      <c r="A21" s="582"/>
      <c r="B21" s="572"/>
      <c r="C21" s="574"/>
      <c r="D21" s="574"/>
      <c r="E21" s="574"/>
      <c r="F21" s="574"/>
      <c r="G21" s="572"/>
      <c r="H21" s="572"/>
    </row>
    <row r="22" spans="1:8" ht="15">
      <c r="A22" s="582"/>
      <c r="B22" s="572"/>
      <c r="C22" s="574"/>
      <c r="D22" s="595"/>
      <c r="E22" s="574"/>
      <c r="F22" s="574"/>
      <c r="G22" s="572"/>
      <c r="H22" s="572"/>
    </row>
    <row r="23" spans="1:8" ht="14.25">
      <c r="A23" s="584"/>
      <c r="B23" s="584" t="s">
        <v>433</v>
      </c>
      <c r="C23" s="588">
        <f>SUM(C12:C22)</f>
        <v>3656675</v>
      </c>
      <c r="D23" s="588">
        <f t="shared" ref="D23:F23" si="2">SUM(D12:D22)</f>
        <v>3387316.4099999997</v>
      </c>
      <c r="E23" s="588">
        <f t="shared" si="2"/>
        <v>161459.60999999999</v>
      </c>
      <c r="F23" s="588">
        <f t="shared" si="2"/>
        <v>107898.98000000036</v>
      </c>
      <c r="G23" s="589">
        <f>+D23/C23</f>
        <v>0.92633783696937788</v>
      </c>
      <c r="H23" s="584"/>
    </row>
    <row r="24" spans="1:8">
      <c r="C24" s="546"/>
      <c r="D24" s="546"/>
      <c r="E24" s="546"/>
      <c r="F24" s="546"/>
    </row>
    <row r="28" spans="1:8" ht="23.25">
      <c r="B28" s="544"/>
      <c r="C28" s="544"/>
    </row>
    <row r="32" spans="1:8">
      <c r="E32" s="547" t="s">
        <v>329</v>
      </c>
    </row>
  </sheetData>
  <pageMargins left="0.25" right="0.25" top="0.75" bottom="0.75" header="0.3" footer="0.3"/>
  <pageSetup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B10" sqref="B10"/>
    </sheetView>
  </sheetViews>
  <sheetFormatPr defaultColWidth="9.140625" defaultRowHeight="12.75"/>
  <cols>
    <col min="1" max="1" width="29.7109375" style="547" customWidth="1"/>
    <col min="2" max="2" width="25.7109375" style="547" customWidth="1"/>
    <col min="3" max="3" width="18.140625" style="547" bestFit="1" customWidth="1"/>
    <col min="4" max="4" width="16.42578125" style="547" customWidth="1"/>
    <col min="5" max="5" width="14.5703125" style="547" customWidth="1"/>
    <col min="6" max="6" width="16.5703125" style="547" customWidth="1"/>
    <col min="7" max="7" width="16.140625" style="547" customWidth="1"/>
    <col min="8" max="8" width="12.42578125" style="547" customWidth="1"/>
    <col min="9" max="16384" width="9.140625" style="547"/>
  </cols>
  <sheetData>
    <row r="1" spans="1:8" ht="26.25">
      <c r="A1" s="543" t="s">
        <v>456</v>
      </c>
      <c r="B1" s="544"/>
    </row>
    <row r="3" spans="1:8">
      <c r="A3" s="547" t="s">
        <v>396</v>
      </c>
    </row>
    <row r="5" spans="1:8" ht="14.25">
      <c r="B5" s="547" t="s">
        <v>457</v>
      </c>
      <c r="C5" s="596">
        <v>150000</v>
      </c>
    </row>
    <row r="6" spans="1:8" ht="14.25">
      <c r="B6" s="547" t="s">
        <v>458</v>
      </c>
      <c r="C6" s="597">
        <v>70000</v>
      </c>
    </row>
    <row r="7" spans="1:8" ht="14.25">
      <c r="B7" s="547" t="s">
        <v>459</v>
      </c>
      <c r="C7" s="548">
        <v>110000</v>
      </c>
    </row>
    <row r="8" spans="1:8" ht="14.25">
      <c r="C8" s="598">
        <f>SUM(C5:C7)</f>
        <v>330000</v>
      </c>
    </row>
    <row r="10" spans="1:8">
      <c r="A10" s="599" t="str">
        <f>+'[2]K-8 STEM ACADEMY '!A12</f>
        <v>Expenditures as of 11/04/14</v>
      </c>
    </row>
    <row r="12" spans="1:8" ht="42.75">
      <c r="A12" s="562" t="s">
        <v>404</v>
      </c>
      <c r="B12" s="563" t="s">
        <v>405</v>
      </c>
      <c r="C12" s="562" t="s">
        <v>449</v>
      </c>
      <c r="D12" s="562" t="s">
        <v>450</v>
      </c>
      <c r="E12" s="562" t="s">
        <v>409</v>
      </c>
      <c r="F12" s="562" t="s">
        <v>410</v>
      </c>
      <c r="G12" s="562" t="s">
        <v>411</v>
      </c>
      <c r="H12" s="562" t="s">
        <v>412</v>
      </c>
    </row>
    <row r="13" spans="1:8" ht="14.25">
      <c r="A13" s="572"/>
      <c r="B13" s="573"/>
      <c r="C13" s="594"/>
      <c r="D13" s="572"/>
      <c r="E13" s="572"/>
      <c r="F13" s="572"/>
      <c r="G13" s="572"/>
      <c r="H13" s="572"/>
    </row>
    <row r="14" spans="1:8" ht="14.25">
      <c r="A14" s="576" t="s">
        <v>460</v>
      </c>
      <c r="B14" s="572" t="s">
        <v>461</v>
      </c>
      <c r="C14" s="574">
        <f>150000+70000</f>
        <v>220000</v>
      </c>
      <c r="D14" s="574">
        <v>220000.66</v>
      </c>
      <c r="E14" s="574"/>
      <c r="F14" s="574">
        <f>+C14-D14-E14</f>
        <v>-0.66000000000349246</v>
      </c>
      <c r="G14" s="578">
        <f>+D14/C14</f>
        <v>1.000003</v>
      </c>
      <c r="H14" s="572"/>
    </row>
    <row r="15" spans="1:8" ht="14.25">
      <c r="A15" s="576" t="s">
        <v>462</v>
      </c>
      <c r="B15" s="572" t="s">
        <v>461</v>
      </c>
      <c r="C15" s="574">
        <v>110000</v>
      </c>
      <c r="D15" s="574">
        <v>113347.05</v>
      </c>
      <c r="E15" s="574"/>
      <c r="F15" s="574">
        <f>+C15-D15-E15</f>
        <v>-3347.0500000000029</v>
      </c>
      <c r="G15" s="578">
        <f>+D15/C15</f>
        <v>1.0304277272727274</v>
      </c>
      <c r="H15" s="572"/>
    </row>
    <row r="16" spans="1:8" ht="14.25">
      <c r="A16" s="576"/>
      <c r="B16" s="580"/>
      <c r="C16" s="574"/>
      <c r="D16" s="574"/>
      <c r="E16" s="574"/>
      <c r="F16" s="574"/>
      <c r="G16" s="578"/>
      <c r="H16" s="572"/>
    </row>
    <row r="17" spans="1:8" ht="14.25">
      <c r="A17" s="576"/>
      <c r="B17" s="572"/>
      <c r="C17" s="574"/>
      <c r="D17" s="574"/>
      <c r="E17" s="574"/>
      <c r="F17" s="574"/>
      <c r="G17" s="578"/>
      <c r="H17" s="572"/>
    </row>
    <row r="18" spans="1:8" ht="14.25">
      <c r="A18" s="576"/>
      <c r="B18" s="572"/>
      <c r="C18" s="574"/>
      <c r="D18" s="574"/>
      <c r="E18" s="574"/>
      <c r="F18" s="574"/>
      <c r="G18" s="578"/>
      <c r="H18" s="572"/>
    </row>
    <row r="19" spans="1:8" ht="14.25">
      <c r="A19" s="576"/>
      <c r="B19" s="572"/>
      <c r="C19" s="574"/>
      <c r="D19" s="574"/>
      <c r="E19" s="574"/>
      <c r="F19" s="574"/>
      <c r="G19" s="578"/>
      <c r="H19" s="572"/>
    </row>
    <row r="20" spans="1:8" ht="14.25">
      <c r="A20" s="576"/>
      <c r="B20" s="572"/>
      <c r="C20" s="574"/>
      <c r="D20" s="574"/>
      <c r="E20" s="574"/>
      <c r="F20" s="574"/>
      <c r="G20" s="578"/>
      <c r="H20" s="572"/>
    </row>
    <row r="21" spans="1:8" ht="14.25">
      <c r="A21" s="576"/>
      <c r="B21" s="572"/>
      <c r="C21" s="574"/>
      <c r="D21" s="574"/>
      <c r="E21" s="574"/>
      <c r="F21" s="574"/>
      <c r="G21" s="578"/>
      <c r="H21" s="572"/>
    </row>
    <row r="22" spans="1:8" ht="14.25">
      <c r="A22" s="582"/>
      <c r="B22" s="572"/>
      <c r="C22" s="574"/>
      <c r="D22" s="574"/>
      <c r="E22" s="574"/>
      <c r="F22" s="574"/>
      <c r="G22" s="572"/>
      <c r="H22" s="572"/>
    </row>
    <row r="23" spans="1:8" ht="15">
      <c r="A23" s="582"/>
      <c r="B23" s="572"/>
      <c r="C23" s="574"/>
      <c r="D23" s="595"/>
      <c r="E23" s="574"/>
      <c r="F23" s="574"/>
      <c r="G23" s="572"/>
      <c r="H23" s="572"/>
    </row>
    <row r="24" spans="1:8" ht="14.25">
      <c r="A24" s="584"/>
      <c r="B24" s="584" t="s">
        <v>433</v>
      </c>
      <c r="C24" s="588">
        <f>SUM(C14:C23)</f>
        <v>330000</v>
      </c>
      <c r="D24" s="588">
        <f t="shared" ref="D24:F24" si="0">SUM(D14:D23)</f>
        <v>333347.71000000002</v>
      </c>
      <c r="E24" s="588">
        <f t="shared" si="0"/>
        <v>0</v>
      </c>
      <c r="F24" s="588">
        <f t="shared" si="0"/>
        <v>-3347.7100000000064</v>
      </c>
      <c r="G24" s="589">
        <f>+D24/C24</f>
        <v>1.0101445757575758</v>
      </c>
      <c r="H24" s="584"/>
    </row>
    <row r="29" spans="1:8" ht="23.25">
      <c r="B29" s="544"/>
      <c r="C29" s="544"/>
    </row>
    <row r="33" spans="5:5">
      <c r="E33" s="547" t="s">
        <v>329</v>
      </c>
    </row>
  </sheetData>
  <pageMargins left="0.25" right="0.25" top="0.75" bottom="0.75" header="0.3" footer="0.3"/>
  <pageSetup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A2" sqref="A2"/>
    </sheetView>
  </sheetViews>
  <sheetFormatPr defaultColWidth="9.140625" defaultRowHeight="12.75"/>
  <cols>
    <col min="1" max="1" width="29.7109375" style="547" customWidth="1"/>
    <col min="2" max="2" width="25.7109375" style="547" customWidth="1"/>
    <col min="3" max="3" width="18.140625" style="547" bestFit="1" customWidth="1"/>
    <col min="4" max="4" width="16.42578125" style="547" customWidth="1"/>
    <col min="5" max="5" width="14.5703125" style="547" customWidth="1"/>
    <col min="6" max="6" width="16.5703125" style="547" customWidth="1"/>
    <col min="7" max="7" width="16.140625" style="547" customWidth="1"/>
    <col min="8" max="8" width="12.42578125" style="547" customWidth="1"/>
    <col min="9" max="16384" width="9.140625" style="547"/>
  </cols>
  <sheetData>
    <row r="1" spans="1:8" ht="26.25">
      <c r="A1" s="543" t="s">
        <v>463</v>
      </c>
      <c r="B1" s="544"/>
    </row>
    <row r="3" spans="1:8">
      <c r="A3" s="547" t="s">
        <v>396</v>
      </c>
      <c r="C3" s="546">
        <f>16024+26874+26874+543400+543400</f>
        <v>1156572</v>
      </c>
    </row>
    <row r="5" spans="1:8" ht="14.25">
      <c r="B5" s="600"/>
      <c r="C5" s="596"/>
    </row>
    <row r="6" spans="1:8" ht="14.25">
      <c r="B6" s="600"/>
      <c r="C6" s="548"/>
    </row>
    <row r="7" spans="1:8" ht="14.25">
      <c r="B7" s="600"/>
      <c r="C7" s="548"/>
    </row>
    <row r="8" spans="1:8" ht="14.25">
      <c r="B8" s="600"/>
      <c r="C8" s="596"/>
    </row>
    <row r="10" spans="1:8">
      <c r="A10" s="599" t="str">
        <f>+'[2]K-8 STEM ACADEMY '!A12</f>
        <v>Expenditures as of 11/04/14</v>
      </c>
    </row>
    <row r="12" spans="1:8" ht="42.75">
      <c r="A12" s="562" t="s">
        <v>404</v>
      </c>
      <c r="B12" s="563" t="s">
        <v>405</v>
      </c>
      <c r="C12" s="562" t="s">
        <v>449</v>
      </c>
      <c r="D12" s="562" t="s">
        <v>450</v>
      </c>
      <c r="E12" s="562" t="s">
        <v>409</v>
      </c>
      <c r="F12" s="562" t="s">
        <v>410</v>
      </c>
      <c r="G12" s="562" t="s">
        <v>411</v>
      </c>
      <c r="H12" s="562" t="s">
        <v>412</v>
      </c>
    </row>
    <row r="13" spans="1:8" ht="14.25">
      <c r="A13" s="572"/>
      <c r="B13" s="573"/>
      <c r="C13" s="594"/>
      <c r="D13" s="572"/>
      <c r="E13" s="572"/>
      <c r="F13" s="572"/>
      <c r="G13" s="572"/>
      <c r="H13" s="572"/>
    </row>
    <row r="14" spans="1:8" ht="14.25">
      <c r="A14" s="576" t="s">
        <v>464</v>
      </c>
      <c r="B14" s="572" t="s">
        <v>465</v>
      </c>
      <c r="C14" s="574">
        <v>16024</v>
      </c>
      <c r="D14" s="574"/>
      <c r="E14" s="574"/>
      <c r="F14" s="574">
        <f>+C14-D14-E14</f>
        <v>16024</v>
      </c>
      <c r="G14" s="578">
        <f>+D14/C14</f>
        <v>0</v>
      </c>
      <c r="H14" s="572"/>
    </row>
    <row r="15" spans="1:8" ht="14.25">
      <c r="A15" s="576" t="s">
        <v>466</v>
      </c>
      <c r="B15" s="572" t="s">
        <v>467</v>
      </c>
      <c r="C15" s="574">
        <v>26874</v>
      </c>
      <c r="D15" s="574"/>
      <c r="E15" s="574"/>
      <c r="F15" s="574">
        <f>+C15-D15-E15</f>
        <v>26874</v>
      </c>
      <c r="G15" s="578">
        <f>+D15/C15</f>
        <v>0</v>
      </c>
      <c r="H15" s="572"/>
    </row>
    <row r="16" spans="1:8" ht="14.25">
      <c r="A16" s="576" t="s">
        <v>468</v>
      </c>
      <c r="B16" s="580" t="s">
        <v>469</v>
      </c>
      <c r="C16" s="574">
        <v>26874</v>
      </c>
      <c r="D16" s="574"/>
      <c r="E16" s="574"/>
      <c r="F16" s="574">
        <f t="shared" ref="F16:F18" si="0">+C16-D16-E16</f>
        <v>26874</v>
      </c>
      <c r="G16" s="578">
        <f t="shared" ref="G16:G18" si="1">+D16/C16</f>
        <v>0</v>
      </c>
      <c r="H16" s="572"/>
    </row>
    <row r="17" spans="1:8" ht="14.25">
      <c r="A17" s="576" t="s">
        <v>470</v>
      </c>
      <c r="B17" s="572" t="s">
        <v>471</v>
      </c>
      <c r="C17" s="574">
        <v>543400</v>
      </c>
      <c r="D17" s="574"/>
      <c r="E17" s="574"/>
      <c r="F17" s="574">
        <f t="shared" si="0"/>
        <v>543400</v>
      </c>
      <c r="G17" s="578">
        <f t="shared" si="1"/>
        <v>0</v>
      </c>
      <c r="H17" s="572"/>
    </row>
    <row r="18" spans="1:8" ht="14.25">
      <c r="A18" s="576" t="s">
        <v>472</v>
      </c>
      <c r="B18" s="572" t="s">
        <v>473</v>
      </c>
      <c r="C18" s="574">
        <v>543400</v>
      </c>
      <c r="D18" s="574"/>
      <c r="E18" s="574"/>
      <c r="F18" s="574">
        <f t="shared" si="0"/>
        <v>543400</v>
      </c>
      <c r="G18" s="578">
        <f t="shared" si="1"/>
        <v>0</v>
      </c>
      <c r="H18" s="572"/>
    </row>
    <row r="19" spans="1:8" ht="14.25">
      <c r="A19" s="576"/>
      <c r="B19" s="572"/>
      <c r="C19" s="574"/>
      <c r="D19" s="574"/>
      <c r="E19" s="574"/>
      <c r="F19" s="574"/>
      <c r="G19" s="578"/>
      <c r="H19" s="572"/>
    </row>
    <row r="20" spans="1:8" ht="14.25">
      <c r="A20" s="576"/>
      <c r="B20" s="572"/>
      <c r="C20" s="574"/>
      <c r="D20" s="574"/>
      <c r="E20" s="574"/>
      <c r="F20" s="574"/>
      <c r="G20" s="578"/>
      <c r="H20" s="572"/>
    </row>
    <row r="21" spans="1:8" ht="14.25">
      <c r="A21" s="576"/>
      <c r="B21" s="572"/>
      <c r="C21" s="574"/>
      <c r="D21" s="574"/>
      <c r="E21" s="574"/>
      <c r="F21" s="574"/>
      <c r="G21" s="578"/>
      <c r="H21" s="572"/>
    </row>
    <row r="22" spans="1:8" ht="14.25">
      <c r="A22" s="582"/>
      <c r="B22" s="572"/>
      <c r="C22" s="574"/>
      <c r="D22" s="574"/>
      <c r="E22" s="574"/>
      <c r="F22" s="574"/>
      <c r="G22" s="572"/>
      <c r="H22" s="572"/>
    </row>
    <row r="23" spans="1:8" ht="15">
      <c r="A23" s="582"/>
      <c r="B23" s="572"/>
      <c r="C23" s="574"/>
      <c r="D23" s="595"/>
      <c r="E23" s="574"/>
      <c r="F23" s="574"/>
      <c r="G23" s="572"/>
      <c r="H23" s="572"/>
    </row>
    <row r="24" spans="1:8" ht="14.25">
      <c r="A24" s="584"/>
      <c r="B24" s="584" t="s">
        <v>433</v>
      </c>
      <c r="C24" s="588">
        <f>SUM(C14:C23)</f>
        <v>1156572</v>
      </c>
      <c r="D24" s="588">
        <f t="shared" ref="D24:F24" si="2">SUM(D14:D23)</f>
        <v>0</v>
      </c>
      <c r="E24" s="588">
        <f t="shared" si="2"/>
        <v>0</v>
      </c>
      <c r="F24" s="588">
        <f t="shared" si="2"/>
        <v>1156572</v>
      </c>
      <c r="G24" s="589">
        <f>+D24/C24</f>
        <v>0</v>
      </c>
      <c r="H24" s="584"/>
    </row>
    <row r="29" spans="1:8" ht="23.25">
      <c r="B29" s="544"/>
      <c r="C29" s="544"/>
    </row>
    <row r="33" spans="5:5">
      <c r="E33" s="547" t="s">
        <v>329</v>
      </c>
    </row>
  </sheetData>
  <pageMargins left="0.25" right="0.25" top="0.75" bottom="0.75" header="0.3" footer="0.3"/>
  <pageSetup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workbookViewId="0">
      <selection activeCell="A3" sqref="A3"/>
    </sheetView>
  </sheetViews>
  <sheetFormatPr defaultColWidth="9.140625" defaultRowHeight="12.75"/>
  <cols>
    <col min="1" max="1" width="29.7109375" style="547" customWidth="1"/>
    <col min="2" max="2" width="25.7109375" style="547" customWidth="1"/>
    <col min="3" max="3" width="18.140625" style="547" bestFit="1" customWidth="1"/>
    <col min="4" max="4" width="16.42578125" style="547" customWidth="1"/>
    <col min="5" max="5" width="14.5703125" style="547" customWidth="1"/>
    <col min="6" max="6" width="16.5703125" style="547" customWidth="1"/>
    <col min="7" max="7" width="16.140625" style="547" customWidth="1"/>
    <col min="8" max="8" width="12.42578125" style="547" customWidth="1"/>
    <col min="9" max="16384" width="9.140625" style="547"/>
  </cols>
  <sheetData>
    <row r="1" spans="1:8" ht="26.25">
      <c r="A1" s="543" t="s">
        <v>474</v>
      </c>
      <c r="B1" s="544"/>
    </row>
    <row r="3" spans="1:8">
      <c r="A3" s="547" t="s">
        <v>396</v>
      </c>
      <c r="C3" s="546">
        <v>100000</v>
      </c>
    </row>
    <row r="5" spans="1:8" ht="14.25">
      <c r="B5" s="600"/>
      <c r="C5" s="596"/>
    </row>
    <row r="6" spans="1:8" ht="14.25">
      <c r="B6" s="600"/>
      <c r="C6" s="548"/>
    </row>
    <row r="7" spans="1:8" ht="14.25">
      <c r="B7" s="600"/>
      <c r="C7" s="548"/>
    </row>
    <row r="8" spans="1:8" ht="14.25">
      <c r="B8" s="600"/>
      <c r="C8" s="596"/>
    </row>
    <row r="10" spans="1:8">
      <c r="A10" s="599" t="str">
        <f>+'[2]K-8 STEM ACADEMY '!A12</f>
        <v>Expenditures as of 11/04/14</v>
      </c>
    </row>
    <row r="12" spans="1:8" ht="42.75">
      <c r="A12" s="562" t="s">
        <v>404</v>
      </c>
      <c r="B12" s="563" t="s">
        <v>405</v>
      </c>
      <c r="C12" s="562" t="s">
        <v>449</v>
      </c>
      <c r="D12" s="562" t="s">
        <v>450</v>
      </c>
      <c r="E12" s="562" t="s">
        <v>409</v>
      </c>
      <c r="F12" s="562" t="s">
        <v>410</v>
      </c>
      <c r="G12" s="562" t="s">
        <v>411</v>
      </c>
      <c r="H12" s="562" t="s">
        <v>412</v>
      </c>
    </row>
    <row r="13" spans="1:8" ht="14.25">
      <c r="A13" s="572"/>
      <c r="B13" s="573"/>
      <c r="C13" s="594"/>
      <c r="D13" s="572"/>
      <c r="E13" s="572"/>
      <c r="F13" s="572"/>
      <c r="G13" s="572"/>
      <c r="H13" s="572"/>
    </row>
    <row r="14" spans="1:8" ht="14.25">
      <c r="A14" s="576" t="s">
        <v>475</v>
      </c>
      <c r="B14" s="572" t="s">
        <v>476</v>
      </c>
      <c r="C14" s="574">
        <v>100000</v>
      </c>
      <c r="D14" s="574"/>
      <c r="E14" s="574"/>
      <c r="F14" s="574">
        <f>+C14-D14-E14</f>
        <v>100000</v>
      </c>
      <c r="G14" s="578">
        <f>+D14/C14</f>
        <v>0</v>
      </c>
      <c r="H14" s="572"/>
    </row>
    <row r="15" spans="1:8" ht="14.25">
      <c r="A15" s="576"/>
      <c r="B15" s="572"/>
      <c r="C15" s="574"/>
      <c r="D15" s="574"/>
      <c r="E15" s="574"/>
      <c r="F15" s="574"/>
      <c r="G15" s="578"/>
      <c r="H15" s="572"/>
    </row>
    <row r="16" spans="1:8" ht="14.25">
      <c r="A16" s="576"/>
      <c r="B16" s="580"/>
      <c r="C16" s="574"/>
      <c r="D16" s="574"/>
      <c r="E16" s="574"/>
      <c r="F16" s="574"/>
      <c r="G16" s="578"/>
      <c r="H16" s="572"/>
    </row>
    <row r="17" spans="1:8" ht="14.25">
      <c r="A17" s="576"/>
      <c r="B17" s="572"/>
      <c r="C17" s="574"/>
      <c r="D17" s="574"/>
      <c r="E17" s="574"/>
      <c r="F17" s="574"/>
      <c r="G17" s="578"/>
      <c r="H17" s="572"/>
    </row>
    <row r="18" spans="1:8" ht="14.25">
      <c r="A18" s="576"/>
      <c r="B18" s="572"/>
      <c r="C18" s="574"/>
      <c r="D18" s="574"/>
      <c r="E18" s="574"/>
      <c r="F18" s="574"/>
      <c r="G18" s="578"/>
      <c r="H18" s="572"/>
    </row>
    <row r="19" spans="1:8" ht="14.25">
      <c r="A19" s="576"/>
      <c r="B19" s="572"/>
      <c r="C19" s="574"/>
      <c r="D19" s="574"/>
      <c r="E19" s="574"/>
      <c r="F19" s="574"/>
      <c r="G19" s="578"/>
      <c r="H19" s="572"/>
    </row>
    <row r="20" spans="1:8" ht="14.25">
      <c r="A20" s="576"/>
      <c r="B20" s="572"/>
      <c r="C20" s="574"/>
      <c r="D20" s="574"/>
      <c r="E20" s="574"/>
      <c r="F20" s="574"/>
      <c r="G20" s="578"/>
      <c r="H20" s="572"/>
    </row>
    <row r="21" spans="1:8" ht="14.25">
      <c r="A21" s="576"/>
      <c r="B21" s="572"/>
      <c r="C21" s="574"/>
      <c r="D21" s="574"/>
      <c r="E21" s="574"/>
      <c r="F21" s="574"/>
      <c r="G21" s="578"/>
      <c r="H21" s="572"/>
    </row>
    <row r="22" spans="1:8" ht="14.25">
      <c r="A22" s="582"/>
      <c r="B22" s="572"/>
      <c r="C22" s="574"/>
      <c r="D22" s="574"/>
      <c r="E22" s="574"/>
      <c r="F22" s="574"/>
      <c r="G22" s="572"/>
      <c r="H22" s="572"/>
    </row>
    <row r="23" spans="1:8" ht="15">
      <c r="A23" s="582"/>
      <c r="B23" s="572"/>
      <c r="C23" s="574"/>
      <c r="D23" s="595"/>
      <c r="E23" s="574"/>
      <c r="F23" s="574"/>
      <c r="G23" s="572"/>
      <c r="H23" s="572"/>
    </row>
    <row r="24" spans="1:8" ht="14.25">
      <c r="A24" s="584"/>
      <c r="B24" s="584" t="s">
        <v>433</v>
      </c>
      <c r="C24" s="588">
        <f>SUM(C14:C23)</f>
        <v>100000</v>
      </c>
      <c r="D24" s="588">
        <f t="shared" ref="D24:F24" si="0">SUM(D14:D23)</f>
        <v>0</v>
      </c>
      <c r="E24" s="588">
        <f t="shared" si="0"/>
        <v>0</v>
      </c>
      <c r="F24" s="588">
        <f t="shared" si="0"/>
        <v>100000</v>
      </c>
      <c r="G24" s="589">
        <f>+D24/C24</f>
        <v>0</v>
      </c>
      <c r="H24" s="584"/>
    </row>
    <row r="29" spans="1:8" ht="23.25">
      <c r="B29" s="544"/>
      <c r="C29" s="544"/>
    </row>
    <row r="33" spans="5:5">
      <c r="E33" s="547" t="s">
        <v>329</v>
      </c>
    </row>
  </sheetData>
  <pageMargins left="0.25" right="0.25" top="0.75" bottom="0.75" header="0.3" footer="0.3"/>
  <pageSetup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</vt:i4>
      </vt:variant>
    </vt:vector>
  </HeadingPairs>
  <TitlesOfParts>
    <vt:vector size="21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POs over 25000</vt:lpstr>
      <vt:lpstr>K-8 STEM ACADEMY </vt:lpstr>
      <vt:lpstr>BUS BARN</vt:lpstr>
      <vt:lpstr>LMS RENOVATION 2014</vt:lpstr>
      <vt:lpstr>ZELLARS</vt:lpstr>
      <vt:lpstr>ROOFS</vt:lpstr>
      <vt:lpstr>HVAC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MILLER</dc:creator>
  <cp:lastModifiedBy>Miller, Renee</cp:lastModifiedBy>
  <cp:lastPrinted>2014-11-05T17:21:30Z</cp:lastPrinted>
  <dcterms:created xsi:type="dcterms:W3CDTF">2013-09-04T14:12:34Z</dcterms:created>
  <dcterms:modified xsi:type="dcterms:W3CDTF">2015-05-29T19:40:53Z</dcterms:modified>
</cp:coreProperties>
</file>