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75" windowWidth="15195" windowHeight="4980"/>
  </bookViews>
  <sheets>
    <sheet name="240-CN Budget Amds " sheetId="13" r:id="rId1"/>
    <sheet name="GF Budget Amds" sheetId="12" r:id="rId2"/>
    <sheet name="Fund Bal Comp" sheetId="1" r:id="rId3"/>
    <sheet name="Stat of Unaudited" sheetId="2" r:id="rId4"/>
    <sheet name="GO Cash Flow" sheetId="11" r:id="rId5"/>
    <sheet name="Debt Srv Cash Flow" sheetId="3" r:id="rId6"/>
    <sheet name="Bank Rec" sheetId="4" r:id="rId7"/>
    <sheet name="General Fund Inv" sheetId="5" r:id="rId8"/>
    <sheet name="Debt Srv Fund Inv" sheetId="10" r:id="rId9"/>
    <sheet name="Rev Exp all fds" sheetId="9" r:id="rId10"/>
    <sheet name="tax coll rep" sheetId="7" r:id="rId11"/>
  </sheets>
  <definedNames>
    <definedName name="_xlnm.Print_Area" localSheetId="9">'Rev Exp all fds'!$A$1:$BD$35</definedName>
    <definedName name="_xlnm.Print_Area" localSheetId="3">'Stat of Unaudited'!$A$1:$I$62</definedName>
    <definedName name="_xlnm.Print_Area" localSheetId="10">'tax coll rep'!$A$1:$AC$66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H28" i="13" l="1"/>
  <c r="F28" i="13"/>
  <c r="D28" i="13"/>
  <c r="H38" i="12"/>
  <c r="F38" i="12"/>
  <c r="D38" i="12"/>
  <c r="Q32" i="7" l="1"/>
  <c r="Q35" i="7"/>
  <c r="Q22" i="7"/>
  <c r="AU21" i="9"/>
  <c r="AW21" i="9" s="1"/>
  <c r="AW19" i="9"/>
  <c r="AU19" i="9"/>
  <c r="AU24" i="9" s="1"/>
  <c r="AU14" i="9"/>
  <c r="AW14" i="9" s="1"/>
  <c r="AW12" i="9"/>
  <c r="AR24" i="9"/>
  <c r="AT21" i="9"/>
  <c r="AR21" i="9"/>
  <c r="AT19" i="9"/>
  <c r="AR14" i="9"/>
  <c r="AT14" i="9" s="1"/>
  <c r="AT12" i="9"/>
  <c r="AN24" i="9"/>
  <c r="AP21" i="9"/>
  <c r="AN21" i="9"/>
  <c r="AP19" i="9"/>
  <c r="AN14" i="9"/>
  <c r="AP14" i="9" s="1"/>
  <c r="AP12" i="9"/>
  <c r="AK24" i="9"/>
  <c r="AK19" i="9"/>
  <c r="AM19" i="9" s="1"/>
  <c r="AJ19" i="9"/>
  <c r="AH19" i="9"/>
  <c r="AH24" i="9" s="1"/>
  <c r="AK14" i="9"/>
  <c r="AM14" i="9" s="1"/>
  <c r="AJ14" i="9"/>
  <c r="AH14" i="9"/>
  <c r="AM12" i="9"/>
  <c r="AJ12" i="9"/>
  <c r="AA26" i="7"/>
  <c r="AA24" i="7"/>
  <c r="AA22" i="7"/>
  <c r="D36" i="7"/>
  <c r="D33" i="7"/>
  <c r="D32" i="7"/>
  <c r="D35" i="7"/>
  <c r="F22" i="7"/>
  <c r="D22" i="7"/>
  <c r="AK21" i="9" l="1"/>
  <c r="AM21" i="9" s="1"/>
  <c r="AH21" i="9"/>
  <c r="AJ21" i="9" s="1"/>
  <c r="E17" i="4" l="1"/>
  <c r="E30" i="3"/>
  <c r="E7" i="3"/>
  <c r="E48" i="11"/>
  <c r="E47" i="11"/>
  <c r="E46" i="11"/>
  <c r="E7" i="11"/>
  <c r="W19" i="9" l="1"/>
  <c r="T19" i="9"/>
  <c r="Q19" i="9"/>
  <c r="L19" i="9"/>
  <c r="I19" i="9"/>
  <c r="F19" i="9"/>
  <c r="C19" i="9"/>
  <c r="H33" i="2" l="1"/>
  <c r="F30" i="2"/>
  <c r="F29" i="2"/>
  <c r="F28" i="2"/>
  <c r="F27" i="2"/>
  <c r="F26" i="2"/>
  <c r="F24" i="2"/>
  <c r="F23" i="2"/>
  <c r="F21" i="2"/>
  <c r="F20" i="2"/>
  <c r="F19" i="2"/>
  <c r="F18" i="2"/>
  <c r="F17" i="2"/>
  <c r="F16" i="2"/>
  <c r="F13" i="2"/>
  <c r="I16" i="2"/>
  <c r="I10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F22" i="2" l="1"/>
  <c r="E36" i="2" l="1"/>
  <c r="J82" i="1" l="1"/>
  <c r="F38" i="1" l="1"/>
  <c r="F41" i="1"/>
  <c r="F49" i="1"/>
  <c r="F50" i="1"/>
  <c r="F16" i="1"/>
  <c r="F17" i="1"/>
  <c r="F18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I30" i="3" l="1"/>
  <c r="H10" i="2" l="1"/>
  <c r="N35" i="7" l="1"/>
  <c r="N61" i="7" l="1"/>
  <c r="N59" i="7"/>
  <c r="F53" i="7"/>
  <c r="D53" i="7"/>
  <c r="F52" i="7"/>
  <c r="D52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AB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M31" i="5"/>
  <c r="E31" i="5"/>
  <c r="L29" i="5"/>
  <c r="L31" i="5" s="1"/>
  <c r="A29" i="5"/>
  <c r="M28" i="5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K30" i="3" s="1"/>
  <c r="G34" i="3"/>
  <c r="Y23" i="3"/>
  <c r="W23" i="3"/>
  <c r="U23" i="3"/>
  <c r="S23" i="3"/>
  <c r="Q23" i="3"/>
  <c r="O23" i="3"/>
  <c r="M23" i="3"/>
  <c r="K23" i="3"/>
  <c r="I23" i="3"/>
  <c r="G23" i="3"/>
  <c r="E23" i="3"/>
  <c r="C23" i="3"/>
  <c r="AB22" i="3"/>
  <c r="AB21" i="3"/>
  <c r="AB19" i="3"/>
  <c r="U19" i="3"/>
  <c r="S19" i="3"/>
  <c r="Q19" i="3"/>
  <c r="O19" i="3"/>
  <c r="M19" i="3"/>
  <c r="K19" i="3"/>
  <c r="I19" i="3"/>
  <c r="G19" i="3"/>
  <c r="E19" i="3"/>
  <c r="C19" i="3"/>
  <c r="AB18" i="3"/>
  <c r="Y15" i="3"/>
  <c r="Y25" i="3" s="1"/>
  <c r="W15" i="3"/>
  <c r="W25" i="3" s="1"/>
  <c r="U15" i="3"/>
  <c r="U25" i="3" s="1"/>
  <c r="S15" i="3"/>
  <c r="S25" i="3" s="1"/>
  <c r="Q15" i="3"/>
  <c r="O15" i="3"/>
  <c r="M15" i="3"/>
  <c r="K15" i="3"/>
  <c r="I15" i="3"/>
  <c r="G15" i="3"/>
  <c r="G25" i="3" s="1"/>
  <c r="E15" i="3"/>
  <c r="E25" i="3" s="1"/>
  <c r="C15" i="3"/>
  <c r="C25" i="3" s="1"/>
  <c r="C27" i="3" s="1"/>
  <c r="C36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I36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C41" i="11" l="1"/>
  <c r="C43" i="11" s="1"/>
  <c r="I25" i="3"/>
  <c r="M25" i="3"/>
  <c r="E27" i="3"/>
  <c r="F45" i="2"/>
  <c r="J61" i="1"/>
  <c r="F85" i="1"/>
  <c r="H44" i="1"/>
  <c r="H90" i="1"/>
  <c r="J85" i="1"/>
  <c r="I85" i="1" s="1"/>
  <c r="F61" i="1"/>
  <c r="D90" i="1"/>
  <c r="F90" i="1"/>
  <c r="J13" i="1"/>
  <c r="J44" i="1" s="1"/>
  <c r="Y41" i="11"/>
  <c r="W41" i="11"/>
  <c r="U41" i="11"/>
  <c r="D44" i="1"/>
  <c r="S41" i="11"/>
  <c r="Q25" i="3"/>
  <c r="Q41" i="11"/>
  <c r="E85" i="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E43" i="11" l="1"/>
  <c r="E56" i="11" s="1"/>
  <c r="C56" i="11"/>
  <c r="AB25" i="3"/>
  <c r="AB27" i="3" s="1"/>
  <c r="E26" i="4" s="1"/>
  <c r="E34" i="4" s="1"/>
  <c r="E36" i="3"/>
  <c r="G27" i="3"/>
  <c r="J90" i="1"/>
  <c r="I90" i="1" s="1"/>
  <c r="E90" i="1"/>
  <c r="F44" i="1"/>
  <c r="E44" i="1" s="1"/>
  <c r="AB39" i="11"/>
  <c r="K34" i="3"/>
  <c r="M30" i="3" s="1"/>
  <c r="O30" i="3" s="1"/>
  <c r="Q30" i="3" s="1"/>
  <c r="S30" i="3" s="1"/>
  <c r="U30" i="3" s="1"/>
  <c r="AB41" i="11"/>
  <c r="AB43" i="11" s="1"/>
  <c r="N54" i="7"/>
  <c r="O27" i="7"/>
  <c r="G43" i="11" l="1"/>
  <c r="G56" i="11" s="1"/>
  <c r="AB36" i="3"/>
  <c r="M34" i="3"/>
  <c r="O34" i="3" s="1"/>
  <c r="I7" i="3"/>
  <c r="I27" i="3" s="1"/>
  <c r="G36" i="3"/>
  <c r="AB56" i="11"/>
  <c r="E8" i="4"/>
  <c r="E20" i="4" s="1"/>
  <c r="Q34" i="3"/>
  <c r="I7" i="11" l="1"/>
  <c r="I43" i="11" s="1"/>
  <c r="K7" i="11" s="1"/>
  <c r="K43" i="11" s="1"/>
  <c r="K7" i="3"/>
  <c r="K27" i="3" s="1"/>
  <c r="I36" i="3"/>
  <c r="E38" i="4"/>
  <c r="S34" i="3"/>
  <c r="I56" i="11" l="1"/>
  <c r="M7" i="11"/>
  <c r="M43" i="11" s="1"/>
  <c r="K56" i="11"/>
  <c r="M7" i="3"/>
  <c r="M27" i="3" s="1"/>
  <c r="K36" i="3"/>
  <c r="W30" i="3"/>
  <c r="Y30" i="3" s="1"/>
  <c r="U34" i="3"/>
  <c r="M56" i="11" l="1"/>
  <c r="O7" i="11"/>
  <c r="O43" i="11" s="1"/>
  <c r="O7" i="3"/>
  <c r="O27" i="3" s="1"/>
  <c r="M36" i="3"/>
  <c r="W34" i="3"/>
  <c r="Y34" i="3"/>
  <c r="Q7" i="11" l="1"/>
  <c r="Q43" i="11" s="1"/>
  <c r="O56" i="11"/>
  <c r="Q7" i="3"/>
  <c r="Q27" i="3" s="1"/>
  <c r="O36" i="3"/>
  <c r="S7" i="11" l="1"/>
  <c r="S43" i="11" s="1"/>
  <c r="Q56" i="11"/>
  <c r="S7" i="3"/>
  <c r="S27" i="3" s="1"/>
  <c r="Q36" i="3"/>
  <c r="U7" i="11" l="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sharedStrings.xml><?xml version="1.0" encoding="utf-8"?>
<sst xmlns="http://schemas.openxmlformats.org/spreadsheetml/2006/main" count="831" uniqueCount="362">
  <si>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</si>
  <si>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</si>
  <si>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</si>
  <si>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</si>
  <si>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</si>
  <si>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</si>
  <si>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</si>
  <si>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</si>
  <si>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</si>
  <si>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</si>
  <si>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</si>
  <si>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</si>
  <si>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</si>
  <si>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</si>
  <si>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</si>
  <si>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</si>
  <si>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</si>
  <si>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</si>
  <si>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</si>
  <si>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</si>
  <si>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</si>
  <si>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</si>
  <si>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</si>
  <si>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</si>
  <si>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</si>
  <si>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</si>
  <si>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</si>
  <si>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</si>
  <si>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</si>
  <si>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</si>
  <si>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</si>
  <si>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</si>
  <si>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</si>
  <si>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</si>
  <si>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</si>
  <si>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</si>
  <si>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</si>
  <si>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</si>
  <si>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</si>
  <si>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</si>
  <si>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</si>
  <si>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</si>
  <si>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</si>
  <si>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</si>
  <si>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</si>
  <si>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</si>
  <si>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</si>
  <si>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</si>
  <si>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</si>
  <si>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</si>
  <si>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</si>
  <si>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</si>
  <si>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</si>
  <si>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</si>
  <si>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</si>
  <si>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</si>
  <si>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</si>
  <si>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</si>
  <si>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</si>
  <si>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</si>
  <si>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</si>
  <si>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</si>
  <si>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</si>
  <si>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</si>
  <si>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</si>
  <si>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</si>
  <si>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</si>
  <si>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</si>
  <si>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</si>
  <si>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</si>
  <si>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</si>
  <si>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</si>
  <si>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</si>
  <si>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</si>
  <si>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</si>
  <si>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</si>
  <si>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</si>
  <si>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</si>
  <si>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</si>
  <si>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</si>
  <si>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</si>
  <si>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</si>
  <si>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</si>
  <si>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</si>
  <si>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</si>
  <si>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</si>
  <si>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</si>
  <si>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</si>
  <si>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</si>
  <si>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</si>
  <si>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</si>
  <si>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</si>
  <si>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</si>
  <si>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</si>
  <si>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</si>
  <si>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</si>
  <si>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</si>
  <si>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</si>
  <si>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</si>
  <si>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</si>
  <si>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</si>
  <si>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</si>
  <si>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</si>
  <si>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</si>
  <si>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</si>
  <si>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</si>
  <si>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</si>
  <si>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</si>
  <si>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</si>
  <si>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</si>
  <si>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</si>
  <si>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</si>
  <si>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</si>
  <si>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</si>
  <si>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</si>
  <si>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</si>
  <si>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</si>
  <si>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</si>
  <si>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</si>
  <si>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</si>
  <si>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</si>
  <si>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</si>
  <si>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</si>
  <si>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</si>
  <si>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</si>
  <si>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</si>
  <si>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</si>
  <si>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</si>
  <si>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</si>
  <si>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</si>
  <si>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</si>
  <si>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</si>
  <si>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</si>
  <si>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</si>
  <si>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</si>
  <si>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</si>
  <si>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</si>
  <si>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</si>
  <si>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</si>
  <si>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</si>
  <si>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</si>
  <si>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</si>
  <si>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</si>
  <si>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</si>
  <si>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</si>
  <si>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</si>
  <si>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</si>
  <si>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</si>
  <si>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</si>
  <si>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</si>
  <si>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</si>
  <si>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</si>
  <si>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</si>
  <si>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</si>
  <si>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</si>
  <si>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</si>
  <si>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</si>
  <si>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</si>
  <si>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</si>
  <si>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</si>
  <si>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</si>
  <si>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</si>
  <si>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</si>
  <si>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</si>
  <si>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</si>
  <si>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</si>
  <si>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</si>
  <si>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</si>
  <si>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</si>
  <si>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</si>
  <si>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</si>
  <si>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</si>
  <si>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</si>
  <si>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</si>
  <si>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</si>
  <si>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</si>
  <si>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</si>
  <si>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</si>
  <si>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</si>
  <si>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</si>
  <si>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</si>
  <si>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</si>
  <si>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</si>
  <si>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</si>
  <si>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</si>
  <si>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</si>
  <si>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</si>
  <si>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</si>
  <si>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</si>
  <si>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</si>
  <si>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</si>
  <si>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</si>
  <si>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</si>
  <si>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</si>
  <si>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</si>
  <si>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</si>
  <si>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</si>
  <si>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</si>
  <si>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</si>
  <si>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</si>
  <si>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</si>
  <si>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</si>
  <si>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</si>
  <si>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</si>
  <si>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</si>
  <si>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</si>
  <si>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</si>
  <si>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</si>
  <si>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</si>
  <si>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</si>
  <si>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</si>
  <si>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</si>
  <si>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</si>
  <si>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</si>
  <si>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</si>
  <si>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</si>
  <si>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</si>
  <si>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</si>
  <si>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</si>
  <si>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</si>
  <si>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</si>
  <si>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</si>
  <si>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</si>
  <si>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</si>
  <si>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</si>
  <si>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</si>
  <si>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</si>
  <si>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</si>
  <si>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</si>
  <si>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</si>
  <si>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</si>
  <si>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</si>
  <si>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</si>
  <si>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</si>
  <si>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</si>
  <si>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</si>
  <si>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</si>
  <si>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</si>
  <si>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</si>
  <si>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</si>
  <si>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</si>
  <si>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</si>
  <si>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</si>
  <si>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</si>
  <si>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</si>
  <si>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</si>
  <si>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</si>
  <si>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</si>
  <si>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</si>
  <si>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</si>
  <si>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</si>
  <si>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</si>
  <si>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</si>
  <si>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</si>
  <si>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</si>
  <si>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</si>
  <si>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</si>
  <si>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</si>
  <si>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</si>
  <si>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</si>
  <si>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</si>
  <si>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</si>
  <si>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</si>
  <si>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</si>
  <si>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</si>
  <si>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</si>
  <si>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</si>
  <si>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</si>
  <si>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</si>
  <si>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</si>
  <si>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</si>
  <si>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</si>
  <si>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</si>
  <si>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</si>
  <si>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</si>
  <si>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</si>
  <si>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</si>
  <si>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</si>
  <si>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</si>
  <si>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</si>
  <si>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</si>
  <si>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</si>
  <si>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</si>
  <si>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</si>
  <si>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</si>
  <si>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</si>
  <si>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</si>
  <si>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</si>
  <si>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</si>
  <si>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</si>
  <si>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</si>
  <si>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</si>
  <si>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</si>
  <si>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</si>
  <si>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</si>
  <si>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</si>
  <si>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</si>
  <si>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</si>
  <si>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</si>
  <si>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</si>
  <si>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</si>
  <si>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</si>
  <si>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</si>
  <si>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</si>
  <si>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</si>
  <si>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</si>
  <si>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</si>
  <si>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</si>
  <si>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</si>
  <si>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</si>
  <si>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</si>
  <si>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</si>
  <si>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</si>
  <si>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</si>
  <si>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2012-13 Bonds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</si>
  <si>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</si>
  <si>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</si>
  <si>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</si>
  <si>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</si>
  <si>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</si>
  <si>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</si>
  <si>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</si>
  <si>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as of October 31, 2014</t>
  </si>
  <si>
    <t>As of October 31, 2014</t>
  </si>
  <si>
    <t>Accounting Period: 10</t>
  </si>
  <si>
    <t>FUND BALANCE 08/31/14</t>
  </si>
  <si>
    <t>MONTH ENDED:  October 31, 2014</t>
  </si>
  <si>
    <t>MONTH ENDED: October 31, 2014</t>
  </si>
  <si>
    <t>Summary of Revenue &amp; Expenditures As Of  10/31/14</t>
  </si>
  <si>
    <t>Month of October</t>
  </si>
  <si>
    <t>10/1/13 thru 10/31/14</t>
  </si>
  <si>
    <t>Original 2014 Tax Levy</t>
  </si>
  <si>
    <t>Current 2014 Tax Levy</t>
  </si>
  <si>
    <t>October 2014</t>
  </si>
  <si>
    <t>October 2013</t>
  </si>
  <si>
    <t>Tax Year 2014</t>
  </si>
  <si>
    <t>Adjusted 2013 Tax Levy</t>
  </si>
  <si>
    <r>
      <t>Tax Levy Remaining as of</t>
    </r>
    <r>
      <rPr>
        <sz val="12"/>
        <color theme="4"/>
        <rFont val="Arial"/>
        <family val="2"/>
      </rPr>
      <t xml:space="preserve"> 10/01/14</t>
    </r>
  </si>
  <si>
    <r>
      <t xml:space="preserve">Remaining Levy as of </t>
    </r>
    <r>
      <rPr>
        <sz val="12"/>
        <color theme="4"/>
        <rFont val="Arial"/>
        <family val="2"/>
      </rPr>
      <t xml:space="preserve"> 10/31/14</t>
    </r>
  </si>
  <si>
    <t>Original 2014 Tax Levy (as of 10-1-14)</t>
  </si>
  <si>
    <r>
      <t xml:space="preserve">Cumulative (From 10/01/14 thru </t>
    </r>
    <r>
      <rPr>
        <sz val="12"/>
        <color theme="4"/>
        <rFont val="Arial"/>
        <family val="2"/>
      </rPr>
      <t>10/31/14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</si>
  <si>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10/31/14</t>
    </r>
  </si>
  <si>
    <r>
      <t xml:space="preserve">EST FUND BALANCE </t>
    </r>
    <r>
      <rPr>
        <b/>
        <sz val="10"/>
        <color theme="4"/>
        <rFont val="Geneva"/>
      </rPr>
      <t>10/31/14</t>
    </r>
  </si>
  <si>
    <t>Fund Balance 08/31/14</t>
  </si>
  <si>
    <t>Fund</t>
  </si>
  <si>
    <t>FX</t>
  </si>
  <si>
    <t>Decrease</t>
  </si>
  <si>
    <t>Increase</t>
  </si>
  <si>
    <t>Org</t>
  </si>
  <si>
    <t>Effect on Budget</t>
  </si>
  <si>
    <t>Reason</t>
  </si>
  <si>
    <t>To increase the budget by the amount of art fees received.</t>
  </si>
  <si>
    <t>To reallocate funds to cover employee travel</t>
  </si>
  <si>
    <t>Total</t>
  </si>
  <si>
    <t>Board Approval: ___________________________________</t>
  </si>
  <si>
    <t>To reallocate fund to cover employee travel, supplies and awards</t>
  </si>
  <si>
    <t>To reallocate funds to cover reading materials</t>
  </si>
  <si>
    <t>To reallocate funds to cover equipment</t>
  </si>
  <si>
    <t>To reallocate funds to additional contracted services expenses</t>
  </si>
  <si>
    <t>To reallocate funds to cover supplies, equipment and additional contracted services</t>
  </si>
  <si>
    <t>To reallocate funds from 81 to 51correct function previously board approved</t>
  </si>
  <si>
    <t>To allocate funds from fund balance to cover additional supplies, contracted services and additional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</si>
</sst>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47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4"/>
      <name val="Geneva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553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43" fontId="7" fillId="4" borderId="5" xfId="9" applyNumberFormat="1" applyFill="1" applyBorder="1"/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3" fontId="36" fillId="4" borderId="5" xfId="9" applyNumberFormat="1" applyFont="1" applyFill="1" applyBorder="1"/>
    <xf numFmtId="43" fontId="7" fillId="4" borderId="7" xfId="9" applyNumberForma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3" fontId="7" fillId="0" borderId="40" xfId="13" applyNumberFormat="1" applyFont="1" applyBorder="1" applyAlignment="1">
      <alignment horizontal="center" wrapText="1"/>
    </xf>
    <xf numFmtId="0" fontId="3" fillId="0" borderId="0" xfId="14"/>
    <xf numFmtId="0" fontId="8" fillId="0" borderId="40" xfId="13" applyFont="1" applyBorder="1" applyAlignment="1">
      <alignment horizontal="center"/>
    </xf>
    <xf numFmtId="3" fontId="8" fillId="0" borderId="40" xfId="13" applyNumberFormat="1" applyFont="1" applyBorder="1" applyAlignment="1"/>
    <xf numFmtId="3" fontId="8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left"/>
    </xf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3" fontId="7" fillId="0" borderId="40" xfId="13" applyNumberFormat="1" applyFont="1" applyBorder="1"/>
    <xf numFmtId="3" fontId="7" fillId="0" borderId="40" xfId="13" applyNumberFormat="1" applyFont="1" applyBorder="1" applyAlignment="1"/>
    <xf numFmtId="0" fontId="7" fillId="0" borderId="40" xfId="13" applyFont="1" applyBorder="1"/>
    <xf numFmtId="3" fontId="7" fillId="0" borderId="0" xfId="13" applyNumberFormat="1" applyFont="1" applyBorder="1" applyAlignment="1">
      <alignment horizontal="center"/>
    </xf>
    <xf numFmtId="3" fontId="7" fillId="0" borderId="0" xfId="13" applyNumberFormat="1" applyFont="1" applyBorder="1" applyAlignment="1"/>
    <xf numFmtId="0" fontId="44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3" fontId="32" fillId="0" borderId="0" xfId="13" applyNumberFormat="1" applyFont="1" applyAlignment="1"/>
    <xf numFmtId="0" fontId="32" fillId="0" borderId="0" xfId="13" applyFont="1" applyAlignment="1">
      <alignment horizontal="left"/>
    </xf>
    <xf numFmtId="0" fontId="45" fillId="0" borderId="0" xfId="13" applyFont="1"/>
    <xf numFmtId="0" fontId="45" fillId="0" borderId="0" xfId="13" applyFont="1" applyAlignment="1">
      <alignment horizontal="center"/>
    </xf>
    <xf numFmtId="3" fontId="45" fillId="0" borderId="0" xfId="13" applyNumberFormat="1" applyFont="1"/>
    <xf numFmtId="3" fontId="45" fillId="0" borderId="0" xfId="13" applyNumberFormat="1" applyFont="1" applyAlignment="1">
      <alignment horizontal="center"/>
    </xf>
    <xf numFmtId="3" fontId="45" fillId="0" borderId="0" xfId="13" applyNumberFormat="1" applyFont="1" applyAlignment="1"/>
    <xf numFmtId="0" fontId="45" fillId="0" borderId="0" xfId="13" applyFont="1" applyAlignment="1">
      <alignment horizontal="left"/>
    </xf>
    <xf numFmtId="49" fontId="28" fillId="0" borderId="0" xfId="13" applyNumberFormat="1" applyFont="1" applyAlignment="1">
      <alignment horizontal="center"/>
    </xf>
    <xf numFmtId="0" fontId="28" fillId="0" borderId="0" xfId="13" applyFont="1" applyAlignment="1">
      <alignment horizontal="left"/>
    </xf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I4" sqref="I4"/>
    </sheetView>
  </sheetViews>
  <sheetFormatPr defaultRowHeight="12.75"/>
  <cols>
    <col min="1" max="1" width="4" style="519" customWidth="1"/>
    <col min="2" max="2" width="6.28515625" style="519" customWidth="1"/>
    <col min="3" max="3" width="3.7109375" style="519" customWidth="1"/>
    <col min="4" max="4" width="14" style="519" customWidth="1"/>
    <col min="5" max="5" width="5" style="519" customWidth="1"/>
    <col min="6" max="6" width="11.42578125" style="519" bestFit="1" customWidth="1"/>
    <col min="7" max="7" width="5.85546875" style="519" customWidth="1"/>
    <col min="8" max="8" width="11.42578125" style="519" bestFit="1" customWidth="1"/>
    <col min="9" max="9" width="21.28515625" style="519" customWidth="1"/>
    <col min="10" max="256" width="8.85546875" style="519"/>
    <col min="257" max="257" width="4" style="519" customWidth="1"/>
    <col min="258" max="258" width="6.28515625" style="519" customWidth="1"/>
    <col min="259" max="259" width="3.7109375" style="519" customWidth="1"/>
    <col min="260" max="260" width="14" style="519" customWidth="1"/>
    <col min="261" max="261" width="5" style="519" customWidth="1"/>
    <col min="262" max="262" width="11.42578125" style="519" bestFit="1" customWidth="1"/>
    <col min="263" max="263" width="5.85546875" style="519" customWidth="1"/>
    <col min="264" max="264" width="11.42578125" style="519" bestFit="1" customWidth="1"/>
    <col min="265" max="265" width="21.28515625" style="519" customWidth="1"/>
    <col min="266" max="512" width="8.85546875" style="519"/>
    <col min="513" max="513" width="4" style="519" customWidth="1"/>
    <col min="514" max="514" width="6.28515625" style="519" customWidth="1"/>
    <col min="515" max="515" width="3.7109375" style="519" customWidth="1"/>
    <col min="516" max="516" width="14" style="519" customWidth="1"/>
    <col min="517" max="517" width="5" style="519" customWidth="1"/>
    <col min="518" max="518" width="11.42578125" style="519" bestFit="1" customWidth="1"/>
    <col min="519" max="519" width="5.85546875" style="519" customWidth="1"/>
    <col min="520" max="520" width="11.42578125" style="519" bestFit="1" customWidth="1"/>
    <col min="521" max="521" width="21.28515625" style="519" customWidth="1"/>
    <col min="522" max="768" width="8.85546875" style="519"/>
    <col min="769" max="769" width="4" style="519" customWidth="1"/>
    <col min="770" max="770" width="6.28515625" style="519" customWidth="1"/>
    <col min="771" max="771" width="3.7109375" style="519" customWidth="1"/>
    <col min="772" max="772" width="14" style="519" customWidth="1"/>
    <col min="773" max="773" width="5" style="519" customWidth="1"/>
    <col min="774" max="774" width="11.42578125" style="519" bestFit="1" customWidth="1"/>
    <col min="775" max="775" width="5.85546875" style="519" customWidth="1"/>
    <col min="776" max="776" width="11.42578125" style="519" bestFit="1" customWidth="1"/>
    <col min="777" max="777" width="21.28515625" style="519" customWidth="1"/>
    <col min="778" max="1024" width="8.85546875" style="519"/>
    <col min="1025" max="1025" width="4" style="519" customWidth="1"/>
    <col min="1026" max="1026" width="6.28515625" style="519" customWidth="1"/>
    <col min="1027" max="1027" width="3.7109375" style="519" customWidth="1"/>
    <col min="1028" max="1028" width="14" style="519" customWidth="1"/>
    <col min="1029" max="1029" width="5" style="519" customWidth="1"/>
    <col min="1030" max="1030" width="11.42578125" style="519" bestFit="1" customWidth="1"/>
    <col min="1031" max="1031" width="5.85546875" style="519" customWidth="1"/>
    <col min="1032" max="1032" width="11.42578125" style="519" bestFit="1" customWidth="1"/>
    <col min="1033" max="1033" width="21.28515625" style="519" customWidth="1"/>
    <col min="1034" max="1280" width="8.85546875" style="519"/>
    <col min="1281" max="1281" width="4" style="519" customWidth="1"/>
    <col min="1282" max="1282" width="6.28515625" style="519" customWidth="1"/>
    <col min="1283" max="1283" width="3.7109375" style="519" customWidth="1"/>
    <col min="1284" max="1284" width="14" style="519" customWidth="1"/>
    <col min="1285" max="1285" width="5" style="519" customWidth="1"/>
    <col min="1286" max="1286" width="11.42578125" style="519" bestFit="1" customWidth="1"/>
    <col min="1287" max="1287" width="5.85546875" style="519" customWidth="1"/>
    <col min="1288" max="1288" width="11.42578125" style="519" bestFit="1" customWidth="1"/>
    <col min="1289" max="1289" width="21.28515625" style="519" customWidth="1"/>
    <col min="1290" max="1536" width="8.85546875" style="519"/>
    <col min="1537" max="1537" width="4" style="519" customWidth="1"/>
    <col min="1538" max="1538" width="6.28515625" style="519" customWidth="1"/>
    <col min="1539" max="1539" width="3.7109375" style="519" customWidth="1"/>
    <col min="1540" max="1540" width="14" style="519" customWidth="1"/>
    <col min="1541" max="1541" width="5" style="519" customWidth="1"/>
    <col min="1542" max="1542" width="11.42578125" style="519" bestFit="1" customWidth="1"/>
    <col min="1543" max="1543" width="5.85546875" style="519" customWidth="1"/>
    <col min="1544" max="1544" width="11.42578125" style="519" bestFit="1" customWidth="1"/>
    <col min="1545" max="1545" width="21.28515625" style="519" customWidth="1"/>
    <col min="1546" max="1792" width="8.85546875" style="519"/>
    <col min="1793" max="1793" width="4" style="519" customWidth="1"/>
    <col min="1794" max="1794" width="6.28515625" style="519" customWidth="1"/>
    <col min="1795" max="1795" width="3.7109375" style="519" customWidth="1"/>
    <col min="1796" max="1796" width="14" style="519" customWidth="1"/>
    <col min="1797" max="1797" width="5" style="519" customWidth="1"/>
    <col min="1798" max="1798" width="11.42578125" style="519" bestFit="1" customWidth="1"/>
    <col min="1799" max="1799" width="5.85546875" style="519" customWidth="1"/>
    <col min="1800" max="1800" width="11.42578125" style="519" bestFit="1" customWidth="1"/>
    <col min="1801" max="1801" width="21.28515625" style="519" customWidth="1"/>
    <col min="1802" max="2048" width="8.85546875" style="519"/>
    <col min="2049" max="2049" width="4" style="519" customWidth="1"/>
    <col min="2050" max="2050" width="6.28515625" style="519" customWidth="1"/>
    <col min="2051" max="2051" width="3.7109375" style="519" customWidth="1"/>
    <col min="2052" max="2052" width="14" style="519" customWidth="1"/>
    <col min="2053" max="2053" width="5" style="519" customWidth="1"/>
    <col min="2054" max="2054" width="11.42578125" style="519" bestFit="1" customWidth="1"/>
    <col min="2055" max="2055" width="5.85546875" style="519" customWidth="1"/>
    <col min="2056" max="2056" width="11.42578125" style="519" bestFit="1" customWidth="1"/>
    <col min="2057" max="2057" width="21.28515625" style="519" customWidth="1"/>
    <col min="2058" max="2304" width="8.85546875" style="519"/>
    <col min="2305" max="2305" width="4" style="519" customWidth="1"/>
    <col min="2306" max="2306" width="6.28515625" style="519" customWidth="1"/>
    <col min="2307" max="2307" width="3.7109375" style="519" customWidth="1"/>
    <col min="2308" max="2308" width="14" style="519" customWidth="1"/>
    <col min="2309" max="2309" width="5" style="519" customWidth="1"/>
    <col min="2310" max="2310" width="11.42578125" style="519" bestFit="1" customWidth="1"/>
    <col min="2311" max="2311" width="5.85546875" style="519" customWidth="1"/>
    <col min="2312" max="2312" width="11.42578125" style="519" bestFit="1" customWidth="1"/>
    <col min="2313" max="2313" width="21.28515625" style="519" customWidth="1"/>
    <col min="2314" max="2560" width="8.85546875" style="519"/>
    <col min="2561" max="2561" width="4" style="519" customWidth="1"/>
    <col min="2562" max="2562" width="6.28515625" style="519" customWidth="1"/>
    <col min="2563" max="2563" width="3.7109375" style="519" customWidth="1"/>
    <col min="2564" max="2564" width="14" style="519" customWidth="1"/>
    <col min="2565" max="2565" width="5" style="519" customWidth="1"/>
    <col min="2566" max="2566" width="11.42578125" style="519" bestFit="1" customWidth="1"/>
    <col min="2567" max="2567" width="5.85546875" style="519" customWidth="1"/>
    <col min="2568" max="2568" width="11.42578125" style="519" bestFit="1" customWidth="1"/>
    <col min="2569" max="2569" width="21.28515625" style="519" customWidth="1"/>
    <col min="2570" max="2816" width="8.85546875" style="519"/>
    <col min="2817" max="2817" width="4" style="519" customWidth="1"/>
    <col min="2818" max="2818" width="6.28515625" style="519" customWidth="1"/>
    <col min="2819" max="2819" width="3.7109375" style="519" customWidth="1"/>
    <col min="2820" max="2820" width="14" style="519" customWidth="1"/>
    <col min="2821" max="2821" width="5" style="519" customWidth="1"/>
    <col min="2822" max="2822" width="11.42578125" style="519" bestFit="1" customWidth="1"/>
    <col min="2823" max="2823" width="5.85546875" style="519" customWidth="1"/>
    <col min="2824" max="2824" width="11.42578125" style="519" bestFit="1" customWidth="1"/>
    <col min="2825" max="2825" width="21.28515625" style="519" customWidth="1"/>
    <col min="2826" max="3072" width="8.85546875" style="519"/>
    <col min="3073" max="3073" width="4" style="519" customWidth="1"/>
    <col min="3074" max="3074" width="6.28515625" style="519" customWidth="1"/>
    <col min="3075" max="3075" width="3.7109375" style="519" customWidth="1"/>
    <col min="3076" max="3076" width="14" style="519" customWidth="1"/>
    <col min="3077" max="3077" width="5" style="519" customWidth="1"/>
    <col min="3078" max="3078" width="11.42578125" style="519" bestFit="1" customWidth="1"/>
    <col min="3079" max="3079" width="5.85546875" style="519" customWidth="1"/>
    <col min="3080" max="3080" width="11.42578125" style="519" bestFit="1" customWidth="1"/>
    <col min="3081" max="3081" width="21.28515625" style="519" customWidth="1"/>
    <col min="3082" max="3328" width="8.85546875" style="519"/>
    <col min="3329" max="3329" width="4" style="519" customWidth="1"/>
    <col min="3330" max="3330" width="6.28515625" style="519" customWidth="1"/>
    <col min="3331" max="3331" width="3.7109375" style="519" customWidth="1"/>
    <col min="3332" max="3332" width="14" style="519" customWidth="1"/>
    <col min="3333" max="3333" width="5" style="519" customWidth="1"/>
    <col min="3334" max="3334" width="11.42578125" style="519" bestFit="1" customWidth="1"/>
    <col min="3335" max="3335" width="5.85546875" style="519" customWidth="1"/>
    <col min="3336" max="3336" width="11.42578125" style="519" bestFit="1" customWidth="1"/>
    <col min="3337" max="3337" width="21.28515625" style="519" customWidth="1"/>
    <col min="3338" max="3584" width="8.85546875" style="519"/>
    <col min="3585" max="3585" width="4" style="519" customWidth="1"/>
    <col min="3586" max="3586" width="6.28515625" style="519" customWidth="1"/>
    <col min="3587" max="3587" width="3.7109375" style="519" customWidth="1"/>
    <col min="3588" max="3588" width="14" style="519" customWidth="1"/>
    <col min="3589" max="3589" width="5" style="519" customWidth="1"/>
    <col min="3590" max="3590" width="11.42578125" style="519" bestFit="1" customWidth="1"/>
    <col min="3591" max="3591" width="5.85546875" style="519" customWidth="1"/>
    <col min="3592" max="3592" width="11.42578125" style="519" bestFit="1" customWidth="1"/>
    <col min="3593" max="3593" width="21.28515625" style="519" customWidth="1"/>
    <col min="3594" max="3840" width="8.85546875" style="519"/>
    <col min="3841" max="3841" width="4" style="519" customWidth="1"/>
    <col min="3842" max="3842" width="6.28515625" style="519" customWidth="1"/>
    <col min="3843" max="3843" width="3.7109375" style="519" customWidth="1"/>
    <col min="3844" max="3844" width="14" style="519" customWidth="1"/>
    <col min="3845" max="3845" width="5" style="519" customWidth="1"/>
    <col min="3846" max="3846" width="11.42578125" style="519" bestFit="1" customWidth="1"/>
    <col min="3847" max="3847" width="5.85546875" style="519" customWidth="1"/>
    <col min="3848" max="3848" width="11.42578125" style="519" bestFit="1" customWidth="1"/>
    <col min="3849" max="3849" width="21.28515625" style="519" customWidth="1"/>
    <col min="3850" max="4096" width="8.85546875" style="519"/>
    <col min="4097" max="4097" width="4" style="519" customWidth="1"/>
    <col min="4098" max="4098" width="6.28515625" style="519" customWidth="1"/>
    <col min="4099" max="4099" width="3.7109375" style="519" customWidth="1"/>
    <col min="4100" max="4100" width="14" style="519" customWidth="1"/>
    <col min="4101" max="4101" width="5" style="519" customWidth="1"/>
    <col min="4102" max="4102" width="11.42578125" style="519" bestFit="1" customWidth="1"/>
    <col min="4103" max="4103" width="5.85546875" style="519" customWidth="1"/>
    <col min="4104" max="4104" width="11.42578125" style="519" bestFit="1" customWidth="1"/>
    <col min="4105" max="4105" width="21.28515625" style="519" customWidth="1"/>
    <col min="4106" max="4352" width="8.85546875" style="519"/>
    <col min="4353" max="4353" width="4" style="519" customWidth="1"/>
    <col min="4354" max="4354" width="6.28515625" style="519" customWidth="1"/>
    <col min="4355" max="4355" width="3.7109375" style="519" customWidth="1"/>
    <col min="4356" max="4356" width="14" style="519" customWidth="1"/>
    <col min="4357" max="4357" width="5" style="519" customWidth="1"/>
    <col min="4358" max="4358" width="11.42578125" style="519" bestFit="1" customWidth="1"/>
    <col min="4359" max="4359" width="5.85546875" style="519" customWidth="1"/>
    <col min="4360" max="4360" width="11.42578125" style="519" bestFit="1" customWidth="1"/>
    <col min="4361" max="4361" width="21.28515625" style="519" customWidth="1"/>
    <col min="4362" max="4608" width="8.85546875" style="519"/>
    <col min="4609" max="4609" width="4" style="519" customWidth="1"/>
    <col min="4610" max="4610" width="6.28515625" style="519" customWidth="1"/>
    <col min="4611" max="4611" width="3.7109375" style="519" customWidth="1"/>
    <col min="4612" max="4612" width="14" style="519" customWidth="1"/>
    <col min="4613" max="4613" width="5" style="519" customWidth="1"/>
    <col min="4614" max="4614" width="11.42578125" style="519" bestFit="1" customWidth="1"/>
    <col min="4615" max="4615" width="5.85546875" style="519" customWidth="1"/>
    <col min="4616" max="4616" width="11.42578125" style="519" bestFit="1" customWidth="1"/>
    <col min="4617" max="4617" width="21.28515625" style="519" customWidth="1"/>
    <col min="4618" max="4864" width="8.85546875" style="519"/>
    <col min="4865" max="4865" width="4" style="519" customWidth="1"/>
    <col min="4866" max="4866" width="6.28515625" style="519" customWidth="1"/>
    <col min="4867" max="4867" width="3.7109375" style="519" customWidth="1"/>
    <col min="4868" max="4868" width="14" style="519" customWidth="1"/>
    <col min="4869" max="4869" width="5" style="519" customWidth="1"/>
    <col min="4870" max="4870" width="11.42578125" style="519" bestFit="1" customWidth="1"/>
    <col min="4871" max="4871" width="5.85546875" style="519" customWidth="1"/>
    <col min="4872" max="4872" width="11.42578125" style="519" bestFit="1" customWidth="1"/>
    <col min="4873" max="4873" width="21.28515625" style="519" customWidth="1"/>
    <col min="4874" max="5120" width="8.85546875" style="519"/>
    <col min="5121" max="5121" width="4" style="519" customWidth="1"/>
    <col min="5122" max="5122" width="6.28515625" style="519" customWidth="1"/>
    <col min="5123" max="5123" width="3.7109375" style="519" customWidth="1"/>
    <col min="5124" max="5124" width="14" style="519" customWidth="1"/>
    <col min="5125" max="5125" width="5" style="519" customWidth="1"/>
    <col min="5126" max="5126" width="11.42578125" style="519" bestFit="1" customWidth="1"/>
    <col min="5127" max="5127" width="5.85546875" style="519" customWidth="1"/>
    <col min="5128" max="5128" width="11.42578125" style="519" bestFit="1" customWidth="1"/>
    <col min="5129" max="5129" width="21.28515625" style="519" customWidth="1"/>
    <col min="5130" max="5376" width="8.85546875" style="519"/>
    <col min="5377" max="5377" width="4" style="519" customWidth="1"/>
    <col min="5378" max="5378" width="6.28515625" style="519" customWidth="1"/>
    <col min="5379" max="5379" width="3.7109375" style="519" customWidth="1"/>
    <col min="5380" max="5380" width="14" style="519" customWidth="1"/>
    <col min="5381" max="5381" width="5" style="519" customWidth="1"/>
    <col min="5382" max="5382" width="11.42578125" style="519" bestFit="1" customWidth="1"/>
    <col min="5383" max="5383" width="5.85546875" style="519" customWidth="1"/>
    <col min="5384" max="5384" width="11.42578125" style="519" bestFit="1" customWidth="1"/>
    <col min="5385" max="5385" width="21.28515625" style="519" customWidth="1"/>
    <col min="5386" max="5632" width="8.85546875" style="519"/>
    <col min="5633" max="5633" width="4" style="519" customWidth="1"/>
    <col min="5634" max="5634" width="6.28515625" style="519" customWidth="1"/>
    <col min="5635" max="5635" width="3.7109375" style="519" customWidth="1"/>
    <col min="5636" max="5636" width="14" style="519" customWidth="1"/>
    <col min="5637" max="5637" width="5" style="519" customWidth="1"/>
    <col min="5638" max="5638" width="11.42578125" style="519" bestFit="1" customWidth="1"/>
    <col min="5639" max="5639" width="5.85546875" style="519" customWidth="1"/>
    <col min="5640" max="5640" width="11.42578125" style="519" bestFit="1" customWidth="1"/>
    <col min="5641" max="5641" width="21.28515625" style="519" customWidth="1"/>
    <col min="5642" max="5888" width="8.85546875" style="519"/>
    <col min="5889" max="5889" width="4" style="519" customWidth="1"/>
    <col min="5890" max="5890" width="6.28515625" style="519" customWidth="1"/>
    <col min="5891" max="5891" width="3.7109375" style="519" customWidth="1"/>
    <col min="5892" max="5892" width="14" style="519" customWidth="1"/>
    <col min="5893" max="5893" width="5" style="519" customWidth="1"/>
    <col min="5894" max="5894" width="11.42578125" style="519" bestFit="1" customWidth="1"/>
    <col min="5895" max="5895" width="5.85546875" style="519" customWidth="1"/>
    <col min="5896" max="5896" width="11.42578125" style="519" bestFit="1" customWidth="1"/>
    <col min="5897" max="5897" width="21.28515625" style="519" customWidth="1"/>
    <col min="5898" max="6144" width="8.85546875" style="519"/>
    <col min="6145" max="6145" width="4" style="519" customWidth="1"/>
    <col min="6146" max="6146" width="6.28515625" style="519" customWidth="1"/>
    <col min="6147" max="6147" width="3.7109375" style="519" customWidth="1"/>
    <col min="6148" max="6148" width="14" style="519" customWidth="1"/>
    <col min="6149" max="6149" width="5" style="519" customWidth="1"/>
    <col min="6150" max="6150" width="11.42578125" style="519" bestFit="1" customWidth="1"/>
    <col min="6151" max="6151" width="5.85546875" style="519" customWidth="1"/>
    <col min="6152" max="6152" width="11.42578125" style="519" bestFit="1" customWidth="1"/>
    <col min="6153" max="6153" width="21.28515625" style="519" customWidth="1"/>
    <col min="6154" max="6400" width="8.85546875" style="519"/>
    <col min="6401" max="6401" width="4" style="519" customWidth="1"/>
    <col min="6402" max="6402" width="6.28515625" style="519" customWidth="1"/>
    <col min="6403" max="6403" width="3.7109375" style="519" customWidth="1"/>
    <col min="6404" max="6404" width="14" style="519" customWidth="1"/>
    <col min="6405" max="6405" width="5" style="519" customWidth="1"/>
    <col min="6406" max="6406" width="11.42578125" style="519" bestFit="1" customWidth="1"/>
    <col min="6407" max="6407" width="5.85546875" style="519" customWidth="1"/>
    <col min="6408" max="6408" width="11.42578125" style="519" bestFit="1" customWidth="1"/>
    <col min="6409" max="6409" width="21.28515625" style="519" customWidth="1"/>
    <col min="6410" max="6656" width="8.85546875" style="519"/>
    <col min="6657" max="6657" width="4" style="519" customWidth="1"/>
    <col min="6658" max="6658" width="6.28515625" style="519" customWidth="1"/>
    <col min="6659" max="6659" width="3.7109375" style="519" customWidth="1"/>
    <col min="6660" max="6660" width="14" style="519" customWidth="1"/>
    <col min="6661" max="6661" width="5" style="519" customWidth="1"/>
    <col min="6662" max="6662" width="11.42578125" style="519" bestFit="1" customWidth="1"/>
    <col min="6663" max="6663" width="5.85546875" style="519" customWidth="1"/>
    <col min="6664" max="6664" width="11.42578125" style="519" bestFit="1" customWidth="1"/>
    <col min="6665" max="6665" width="21.28515625" style="519" customWidth="1"/>
    <col min="6666" max="6912" width="8.85546875" style="519"/>
    <col min="6913" max="6913" width="4" style="519" customWidth="1"/>
    <col min="6914" max="6914" width="6.28515625" style="519" customWidth="1"/>
    <col min="6915" max="6915" width="3.7109375" style="519" customWidth="1"/>
    <col min="6916" max="6916" width="14" style="519" customWidth="1"/>
    <col min="6917" max="6917" width="5" style="519" customWidth="1"/>
    <col min="6918" max="6918" width="11.42578125" style="519" bestFit="1" customWidth="1"/>
    <col min="6919" max="6919" width="5.85546875" style="519" customWidth="1"/>
    <col min="6920" max="6920" width="11.42578125" style="519" bestFit="1" customWidth="1"/>
    <col min="6921" max="6921" width="21.28515625" style="519" customWidth="1"/>
    <col min="6922" max="7168" width="8.85546875" style="519"/>
    <col min="7169" max="7169" width="4" style="519" customWidth="1"/>
    <col min="7170" max="7170" width="6.28515625" style="519" customWidth="1"/>
    <col min="7171" max="7171" width="3.7109375" style="519" customWidth="1"/>
    <col min="7172" max="7172" width="14" style="519" customWidth="1"/>
    <col min="7173" max="7173" width="5" style="519" customWidth="1"/>
    <col min="7174" max="7174" width="11.42578125" style="519" bestFit="1" customWidth="1"/>
    <col min="7175" max="7175" width="5.85546875" style="519" customWidth="1"/>
    <col min="7176" max="7176" width="11.42578125" style="519" bestFit="1" customWidth="1"/>
    <col min="7177" max="7177" width="21.28515625" style="519" customWidth="1"/>
    <col min="7178" max="7424" width="8.85546875" style="519"/>
    <col min="7425" max="7425" width="4" style="519" customWidth="1"/>
    <col min="7426" max="7426" width="6.28515625" style="519" customWidth="1"/>
    <col min="7427" max="7427" width="3.7109375" style="519" customWidth="1"/>
    <col min="7428" max="7428" width="14" style="519" customWidth="1"/>
    <col min="7429" max="7429" width="5" style="519" customWidth="1"/>
    <col min="7430" max="7430" width="11.42578125" style="519" bestFit="1" customWidth="1"/>
    <col min="7431" max="7431" width="5.85546875" style="519" customWidth="1"/>
    <col min="7432" max="7432" width="11.42578125" style="519" bestFit="1" customWidth="1"/>
    <col min="7433" max="7433" width="21.28515625" style="519" customWidth="1"/>
    <col min="7434" max="7680" width="8.85546875" style="519"/>
    <col min="7681" max="7681" width="4" style="519" customWidth="1"/>
    <col min="7682" max="7682" width="6.28515625" style="519" customWidth="1"/>
    <col min="7683" max="7683" width="3.7109375" style="519" customWidth="1"/>
    <col min="7684" max="7684" width="14" style="519" customWidth="1"/>
    <col min="7685" max="7685" width="5" style="519" customWidth="1"/>
    <col min="7686" max="7686" width="11.42578125" style="519" bestFit="1" customWidth="1"/>
    <col min="7687" max="7687" width="5.85546875" style="519" customWidth="1"/>
    <col min="7688" max="7688" width="11.42578125" style="519" bestFit="1" customWidth="1"/>
    <col min="7689" max="7689" width="21.28515625" style="519" customWidth="1"/>
    <col min="7690" max="7936" width="8.85546875" style="519"/>
    <col min="7937" max="7937" width="4" style="519" customWidth="1"/>
    <col min="7938" max="7938" width="6.28515625" style="519" customWidth="1"/>
    <col min="7939" max="7939" width="3.7109375" style="519" customWidth="1"/>
    <col min="7940" max="7940" width="14" style="519" customWidth="1"/>
    <col min="7941" max="7941" width="5" style="519" customWidth="1"/>
    <col min="7942" max="7942" width="11.42578125" style="519" bestFit="1" customWidth="1"/>
    <col min="7943" max="7943" width="5.85546875" style="519" customWidth="1"/>
    <col min="7944" max="7944" width="11.42578125" style="519" bestFit="1" customWidth="1"/>
    <col min="7945" max="7945" width="21.28515625" style="519" customWidth="1"/>
    <col min="7946" max="8192" width="8.85546875" style="519"/>
    <col min="8193" max="8193" width="4" style="519" customWidth="1"/>
    <col min="8194" max="8194" width="6.28515625" style="519" customWidth="1"/>
    <col min="8195" max="8195" width="3.7109375" style="519" customWidth="1"/>
    <col min="8196" max="8196" width="14" style="519" customWidth="1"/>
    <col min="8197" max="8197" width="5" style="519" customWidth="1"/>
    <col min="8198" max="8198" width="11.42578125" style="519" bestFit="1" customWidth="1"/>
    <col min="8199" max="8199" width="5.85546875" style="519" customWidth="1"/>
    <col min="8200" max="8200" width="11.42578125" style="519" bestFit="1" customWidth="1"/>
    <col min="8201" max="8201" width="21.28515625" style="519" customWidth="1"/>
    <col min="8202" max="8448" width="8.85546875" style="519"/>
    <col min="8449" max="8449" width="4" style="519" customWidth="1"/>
    <col min="8450" max="8450" width="6.28515625" style="519" customWidth="1"/>
    <col min="8451" max="8451" width="3.7109375" style="519" customWidth="1"/>
    <col min="8452" max="8452" width="14" style="519" customWidth="1"/>
    <col min="8453" max="8453" width="5" style="519" customWidth="1"/>
    <col min="8454" max="8454" width="11.42578125" style="519" bestFit="1" customWidth="1"/>
    <col min="8455" max="8455" width="5.85546875" style="519" customWidth="1"/>
    <col min="8456" max="8456" width="11.42578125" style="519" bestFit="1" customWidth="1"/>
    <col min="8457" max="8457" width="21.28515625" style="519" customWidth="1"/>
    <col min="8458" max="8704" width="8.85546875" style="519"/>
    <col min="8705" max="8705" width="4" style="519" customWidth="1"/>
    <col min="8706" max="8706" width="6.28515625" style="519" customWidth="1"/>
    <col min="8707" max="8707" width="3.7109375" style="519" customWidth="1"/>
    <col min="8708" max="8708" width="14" style="519" customWidth="1"/>
    <col min="8709" max="8709" width="5" style="519" customWidth="1"/>
    <col min="8710" max="8710" width="11.42578125" style="519" bestFit="1" customWidth="1"/>
    <col min="8711" max="8711" width="5.85546875" style="519" customWidth="1"/>
    <col min="8712" max="8712" width="11.42578125" style="519" bestFit="1" customWidth="1"/>
    <col min="8713" max="8713" width="21.28515625" style="519" customWidth="1"/>
    <col min="8714" max="8960" width="8.85546875" style="519"/>
    <col min="8961" max="8961" width="4" style="519" customWidth="1"/>
    <col min="8962" max="8962" width="6.28515625" style="519" customWidth="1"/>
    <col min="8963" max="8963" width="3.7109375" style="519" customWidth="1"/>
    <col min="8964" max="8964" width="14" style="519" customWidth="1"/>
    <col min="8965" max="8965" width="5" style="519" customWidth="1"/>
    <col min="8966" max="8966" width="11.42578125" style="519" bestFit="1" customWidth="1"/>
    <col min="8967" max="8967" width="5.85546875" style="519" customWidth="1"/>
    <col min="8968" max="8968" width="11.42578125" style="519" bestFit="1" customWidth="1"/>
    <col min="8969" max="8969" width="21.28515625" style="519" customWidth="1"/>
    <col min="8970" max="9216" width="8.85546875" style="519"/>
    <col min="9217" max="9217" width="4" style="519" customWidth="1"/>
    <col min="9218" max="9218" width="6.28515625" style="519" customWidth="1"/>
    <col min="9219" max="9219" width="3.7109375" style="519" customWidth="1"/>
    <col min="9220" max="9220" width="14" style="519" customWidth="1"/>
    <col min="9221" max="9221" width="5" style="519" customWidth="1"/>
    <col min="9222" max="9222" width="11.42578125" style="519" bestFit="1" customWidth="1"/>
    <col min="9223" max="9223" width="5.85546875" style="519" customWidth="1"/>
    <col min="9224" max="9224" width="11.42578125" style="519" bestFit="1" customWidth="1"/>
    <col min="9225" max="9225" width="21.28515625" style="519" customWidth="1"/>
    <col min="9226" max="9472" width="8.85546875" style="519"/>
    <col min="9473" max="9473" width="4" style="519" customWidth="1"/>
    <col min="9474" max="9474" width="6.28515625" style="519" customWidth="1"/>
    <col min="9475" max="9475" width="3.7109375" style="519" customWidth="1"/>
    <col min="9476" max="9476" width="14" style="519" customWidth="1"/>
    <col min="9477" max="9477" width="5" style="519" customWidth="1"/>
    <col min="9478" max="9478" width="11.42578125" style="519" bestFit="1" customWidth="1"/>
    <col min="9479" max="9479" width="5.85546875" style="519" customWidth="1"/>
    <col min="9480" max="9480" width="11.42578125" style="519" bestFit="1" customWidth="1"/>
    <col min="9481" max="9481" width="21.28515625" style="519" customWidth="1"/>
    <col min="9482" max="9728" width="8.85546875" style="519"/>
    <col min="9729" max="9729" width="4" style="519" customWidth="1"/>
    <col min="9730" max="9730" width="6.28515625" style="519" customWidth="1"/>
    <col min="9731" max="9731" width="3.7109375" style="519" customWidth="1"/>
    <col min="9732" max="9732" width="14" style="519" customWidth="1"/>
    <col min="9733" max="9733" width="5" style="519" customWidth="1"/>
    <col min="9734" max="9734" width="11.42578125" style="519" bestFit="1" customWidth="1"/>
    <col min="9735" max="9735" width="5.85546875" style="519" customWidth="1"/>
    <col min="9736" max="9736" width="11.42578125" style="519" bestFit="1" customWidth="1"/>
    <col min="9737" max="9737" width="21.28515625" style="519" customWidth="1"/>
    <col min="9738" max="9984" width="8.85546875" style="519"/>
    <col min="9985" max="9985" width="4" style="519" customWidth="1"/>
    <col min="9986" max="9986" width="6.28515625" style="519" customWidth="1"/>
    <col min="9987" max="9987" width="3.7109375" style="519" customWidth="1"/>
    <col min="9988" max="9988" width="14" style="519" customWidth="1"/>
    <col min="9989" max="9989" width="5" style="519" customWidth="1"/>
    <col min="9990" max="9990" width="11.42578125" style="519" bestFit="1" customWidth="1"/>
    <col min="9991" max="9991" width="5.85546875" style="519" customWidth="1"/>
    <col min="9992" max="9992" width="11.42578125" style="519" bestFit="1" customWidth="1"/>
    <col min="9993" max="9993" width="21.28515625" style="519" customWidth="1"/>
    <col min="9994" max="10240" width="8.85546875" style="519"/>
    <col min="10241" max="10241" width="4" style="519" customWidth="1"/>
    <col min="10242" max="10242" width="6.28515625" style="519" customWidth="1"/>
    <col min="10243" max="10243" width="3.7109375" style="519" customWidth="1"/>
    <col min="10244" max="10244" width="14" style="519" customWidth="1"/>
    <col min="10245" max="10245" width="5" style="519" customWidth="1"/>
    <col min="10246" max="10246" width="11.42578125" style="519" bestFit="1" customWidth="1"/>
    <col min="10247" max="10247" width="5.85546875" style="519" customWidth="1"/>
    <col min="10248" max="10248" width="11.42578125" style="519" bestFit="1" customWidth="1"/>
    <col min="10249" max="10249" width="21.28515625" style="519" customWidth="1"/>
    <col min="10250" max="10496" width="8.85546875" style="519"/>
    <col min="10497" max="10497" width="4" style="519" customWidth="1"/>
    <col min="10498" max="10498" width="6.28515625" style="519" customWidth="1"/>
    <col min="10499" max="10499" width="3.7109375" style="519" customWidth="1"/>
    <col min="10500" max="10500" width="14" style="519" customWidth="1"/>
    <col min="10501" max="10501" width="5" style="519" customWidth="1"/>
    <col min="10502" max="10502" width="11.42578125" style="519" bestFit="1" customWidth="1"/>
    <col min="10503" max="10503" width="5.85546875" style="519" customWidth="1"/>
    <col min="10504" max="10504" width="11.42578125" style="519" bestFit="1" customWidth="1"/>
    <col min="10505" max="10505" width="21.28515625" style="519" customWidth="1"/>
    <col min="10506" max="10752" width="8.85546875" style="519"/>
    <col min="10753" max="10753" width="4" style="519" customWidth="1"/>
    <col min="10754" max="10754" width="6.28515625" style="519" customWidth="1"/>
    <col min="10755" max="10755" width="3.7109375" style="519" customWidth="1"/>
    <col min="10756" max="10756" width="14" style="519" customWidth="1"/>
    <col min="10757" max="10757" width="5" style="519" customWidth="1"/>
    <col min="10758" max="10758" width="11.42578125" style="519" bestFit="1" customWidth="1"/>
    <col min="10759" max="10759" width="5.85546875" style="519" customWidth="1"/>
    <col min="10760" max="10760" width="11.42578125" style="519" bestFit="1" customWidth="1"/>
    <col min="10761" max="10761" width="21.28515625" style="519" customWidth="1"/>
    <col min="10762" max="11008" width="8.85546875" style="519"/>
    <col min="11009" max="11009" width="4" style="519" customWidth="1"/>
    <col min="11010" max="11010" width="6.28515625" style="519" customWidth="1"/>
    <col min="11011" max="11011" width="3.7109375" style="519" customWidth="1"/>
    <col min="11012" max="11012" width="14" style="519" customWidth="1"/>
    <col min="11013" max="11013" width="5" style="519" customWidth="1"/>
    <col min="11014" max="11014" width="11.42578125" style="519" bestFit="1" customWidth="1"/>
    <col min="11015" max="11015" width="5.85546875" style="519" customWidth="1"/>
    <col min="11016" max="11016" width="11.42578125" style="519" bestFit="1" customWidth="1"/>
    <col min="11017" max="11017" width="21.28515625" style="519" customWidth="1"/>
    <col min="11018" max="11264" width="8.85546875" style="519"/>
    <col min="11265" max="11265" width="4" style="519" customWidth="1"/>
    <col min="11266" max="11266" width="6.28515625" style="519" customWidth="1"/>
    <col min="11267" max="11267" width="3.7109375" style="519" customWidth="1"/>
    <col min="11268" max="11268" width="14" style="519" customWidth="1"/>
    <col min="11269" max="11269" width="5" style="519" customWidth="1"/>
    <col min="11270" max="11270" width="11.42578125" style="519" bestFit="1" customWidth="1"/>
    <col min="11271" max="11271" width="5.85546875" style="519" customWidth="1"/>
    <col min="11272" max="11272" width="11.42578125" style="519" bestFit="1" customWidth="1"/>
    <col min="11273" max="11273" width="21.28515625" style="519" customWidth="1"/>
    <col min="11274" max="11520" width="8.85546875" style="519"/>
    <col min="11521" max="11521" width="4" style="519" customWidth="1"/>
    <col min="11522" max="11522" width="6.28515625" style="519" customWidth="1"/>
    <col min="11523" max="11523" width="3.7109375" style="519" customWidth="1"/>
    <col min="11524" max="11524" width="14" style="519" customWidth="1"/>
    <col min="11525" max="11525" width="5" style="519" customWidth="1"/>
    <col min="11526" max="11526" width="11.42578125" style="519" bestFit="1" customWidth="1"/>
    <col min="11527" max="11527" width="5.85546875" style="519" customWidth="1"/>
    <col min="11528" max="11528" width="11.42578125" style="519" bestFit="1" customWidth="1"/>
    <col min="11529" max="11529" width="21.28515625" style="519" customWidth="1"/>
    <col min="11530" max="11776" width="8.85546875" style="519"/>
    <col min="11777" max="11777" width="4" style="519" customWidth="1"/>
    <col min="11778" max="11778" width="6.28515625" style="519" customWidth="1"/>
    <col min="11779" max="11779" width="3.7109375" style="519" customWidth="1"/>
    <col min="11780" max="11780" width="14" style="519" customWidth="1"/>
    <col min="11781" max="11781" width="5" style="519" customWidth="1"/>
    <col min="11782" max="11782" width="11.42578125" style="519" bestFit="1" customWidth="1"/>
    <col min="11783" max="11783" width="5.85546875" style="519" customWidth="1"/>
    <col min="11784" max="11784" width="11.42578125" style="519" bestFit="1" customWidth="1"/>
    <col min="11785" max="11785" width="21.28515625" style="519" customWidth="1"/>
    <col min="11786" max="12032" width="8.85546875" style="519"/>
    <col min="12033" max="12033" width="4" style="519" customWidth="1"/>
    <col min="12034" max="12034" width="6.28515625" style="519" customWidth="1"/>
    <col min="12035" max="12035" width="3.7109375" style="519" customWidth="1"/>
    <col min="12036" max="12036" width="14" style="519" customWidth="1"/>
    <col min="12037" max="12037" width="5" style="519" customWidth="1"/>
    <col min="12038" max="12038" width="11.42578125" style="519" bestFit="1" customWidth="1"/>
    <col min="12039" max="12039" width="5.85546875" style="519" customWidth="1"/>
    <col min="12040" max="12040" width="11.42578125" style="519" bestFit="1" customWidth="1"/>
    <col min="12041" max="12041" width="21.28515625" style="519" customWidth="1"/>
    <col min="12042" max="12288" width="8.85546875" style="519"/>
    <col min="12289" max="12289" width="4" style="519" customWidth="1"/>
    <col min="12290" max="12290" width="6.28515625" style="519" customWidth="1"/>
    <col min="12291" max="12291" width="3.7109375" style="519" customWidth="1"/>
    <col min="12292" max="12292" width="14" style="519" customWidth="1"/>
    <col min="12293" max="12293" width="5" style="519" customWidth="1"/>
    <col min="12294" max="12294" width="11.42578125" style="519" bestFit="1" customWidth="1"/>
    <col min="12295" max="12295" width="5.85546875" style="519" customWidth="1"/>
    <col min="12296" max="12296" width="11.42578125" style="519" bestFit="1" customWidth="1"/>
    <col min="12297" max="12297" width="21.28515625" style="519" customWidth="1"/>
    <col min="12298" max="12544" width="8.85546875" style="519"/>
    <col min="12545" max="12545" width="4" style="519" customWidth="1"/>
    <col min="12546" max="12546" width="6.28515625" style="519" customWidth="1"/>
    <col min="12547" max="12547" width="3.7109375" style="519" customWidth="1"/>
    <col min="12548" max="12548" width="14" style="519" customWidth="1"/>
    <col min="12549" max="12549" width="5" style="519" customWidth="1"/>
    <col min="12550" max="12550" width="11.42578125" style="519" bestFit="1" customWidth="1"/>
    <col min="12551" max="12551" width="5.85546875" style="519" customWidth="1"/>
    <col min="12552" max="12552" width="11.42578125" style="519" bestFit="1" customWidth="1"/>
    <col min="12553" max="12553" width="21.28515625" style="519" customWidth="1"/>
    <col min="12554" max="12800" width="8.85546875" style="519"/>
    <col min="12801" max="12801" width="4" style="519" customWidth="1"/>
    <col min="12802" max="12802" width="6.28515625" style="519" customWidth="1"/>
    <col min="12803" max="12803" width="3.7109375" style="519" customWidth="1"/>
    <col min="12804" max="12804" width="14" style="519" customWidth="1"/>
    <col min="12805" max="12805" width="5" style="519" customWidth="1"/>
    <col min="12806" max="12806" width="11.42578125" style="519" bestFit="1" customWidth="1"/>
    <col min="12807" max="12807" width="5.85546875" style="519" customWidth="1"/>
    <col min="12808" max="12808" width="11.42578125" style="519" bestFit="1" customWidth="1"/>
    <col min="12809" max="12809" width="21.28515625" style="519" customWidth="1"/>
    <col min="12810" max="13056" width="8.85546875" style="519"/>
    <col min="13057" max="13057" width="4" style="519" customWidth="1"/>
    <col min="13058" max="13058" width="6.28515625" style="519" customWidth="1"/>
    <col min="13059" max="13059" width="3.7109375" style="519" customWidth="1"/>
    <col min="13060" max="13060" width="14" style="519" customWidth="1"/>
    <col min="13061" max="13061" width="5" style="519" customWidth="1"/>
    <col min="13062" max="13062" width="11.42578125" style="519" bestFit="1" customWidth="1"/>
    <col min="13063" max="13063" width="5.85546875" style="519" customWidth="1"/>
    <col min="13064" max="13064" width="11.42578125" style="519" bestFit="1" customWidth="1"/>
    <col min="13065" max="13065" width="21.28515625" style="519" customWidth="1"/>
    <col min="13066" max="13312" width="8.85546875" style="519"/>
    <col min="13313" max="13313" width="4" style="519" customWidth="1"/>
    <col min="13314" max="13314" width="6.28515625" style="519" customWidth="1"/>
    <col min="13315" max="13315" width="3.7109375" style="519" customWidth="1"/>
    <col min="13316" max="13316" width="14" style="519" customWidth="1"/>
    <col min="13317" max="13317" width="5" style="519" customWidth="1"/>
    <col min="13318" max="13318" width="11.42578125" style="519" bestFit="1" customWidth="1"/>
    <col min="13319" max="13319" width="5.85546875" style="519" customWidth="1"/>
    <col min="13320" max="13320" width="11.42578125" style="519" bestFit="1" customWidth="1"/>
    <col min="13321" max="13321" width="21.28515625" style="519" customWidth="1"/>
    <col min="13322" max="13568" width="8.85546875" style="519"/>
    <col min="13569" max="13569" width="4" style="519" customWidth="1"/>
    <col min="13570" max="13570" width="6.28515625" style="519" customWidth="1"/>
    <col min="13571" max="13571" width="3.7109375" style="519" customWidth="1"/>
    <col min="13572" max="13572" width="14" style="519" customWidth="1"/>
    <col min="13573" max="13573" width="5" style="519" customWidth="1"/>
    <col min="13574" max="13574" width="11.42578125" style="519" bestFit="1" customWidth="1"/>
    <col min="13575" max="13575" width="5.85546875" style="519" customWidth="1"/>
    <col min="13576" max="13576" width="11.42578125" style="519" bestFit="1" customWidth="1"/>
    <col min="13577" max="13577" width="21.28515625" style="519" customWidth="1"/>
    <col min="13578" max="13824" width="8.85546875" style="519"/>
    <col min="13825" max="13825" width="4" style="519" customWidth="1"/>
    <col min="13826" max="13826" width="6.28515625" style="519" customWidth="1"/>
    <col min="13827" max="13827" width="3.7109375" style="519" customWidth="1"/>
    <col min="13828" max="13828" width="14" style="519" customWidth="1"/>
    <col min="13829" max="13829" width="5" style="519" customWidth="1"/>
    <col min="13830" max="13830" width="11.42578125" style="519" bestFit="1" customWidth="1"/>
    <col min="13831" max="13831" width="5.85546875" style="519" customWidth="1"/>
    <col min="13832" max="13832" width="11.42578125" style="519" bestFit="1" customWidth="1"/>
    <col min="13833" max="13833" width="21.28515625" style="519" customWidth="1"/>
    <col min="13834" max="14080" width="8.85546875" style="519"/>
    <col min="14081" max="14081" width="4" style="519" customWidth="1"/>
    <col min="14082" max="14082" width="6.28515625" style="519" customWidth="1"/>
    <col min="14083" max="14083" width="3.7109375" style="519" customWidth="1"/>
    <col min="14084" max="14084" width="14" style="519" customWidth="1"/>
    <col min="14085" max="14085" width="5" style="519" customWidth="1"/>
    <col min="14086" max="14086" width="11.42578125" style="519" bestFit="1" customWidth="1"/>
    <col min="14087" max="14087" width="5.85546875" style="519" customWidth="1"/>
    <col min="14088" max="14088" width="11.42578125" style="519" bestFit="1" customWidth="1"/>
    <col min="14089" max="14089" width="21.28515625" style="519" customWidth="1"/>
    <col min="14090" max="14336" width="8.85546875" style="519"/>
    <col min="14337" max="14337" width="4" style="519" customWidth="1"/>
    <col min="14338" max="14338" width="6.28515625" style="519" customWidth="1"/>
    <col min="14339" max="14339" width="3.7109375" style="519" customWidth="1"/>
    <col min="14340" max="14340" width="14" style="519" customWidth="1"/>
    <col min="14341" max="14341" width="5" style="519" customWidth="1"/>
    <col min="14342" max="14342" width="11.42578125" style="519" bestFit="1" customWidth="1"/>
    <col min="14343" max="14343" width="5.85546875" style="519" customWidth="1"/>
    <col min="14344" max="14344" width="11.42578125" style="519" bestFit="1" customWidth="1"/>
    <col min="14345" max="14345" width="21.28515625" style="519" customWidth="1"/>
    <col min="14346" max="14592" width="8.85546875" style="519"/>
    <col min="14593" max="14593" width="4" style="519" customWidth="1"/>
    <col min="14594" max="14594" width="6.28515625" style="519" customWidth="1"/>
    <col min="14595" max="14595" width="3.7109375" style="519" customWidth="1"/>
    <col min="14596" max="14596" width="14" style="519" customWidth="1"/>
    <col min="14597" max="14597" width="5" style="519" customWidth="1"/>
    <col min="14598" max="14598" width="11.42578125" style="519" bestFit="1" customWidth="1"/>
    <col min="14599" max="14599" width="5.85546875" style="519" customWidth="1"/>
    <col min="14600" max="14600" width="11.42578125" style="519" bestFit="1" customWidth="1"/>
    <col min="14601" max="14601" width="21.28515625" style="519" customWidth="1"/>
    <col min="14602" max="14848" width="8.85546875" style="519"/>
    <col min="14849" max="14849" width="4" style="519" customWidth="1"/>
    <col min="14850" max="14850" width="6.28515625" style="519" customWidth="1"/>
    <col min="14851" max="14851" width="3.7109375" style="519" customWidth="1"/>
    <col min="14852" max="14852" width="14" style="519" customWidth="1"/>
    <col min="14853" max="14853" width="5" style="519" customWidth="1"/>
    <col min="14854" max="14854" width="11.42578125" style="519" bestFit="1" customWidth="1"/>
    <col min="14855" max="14855" width="5.85546875" style="519" customWidth="1"/>
    <col min="14856" max="14856" width="11.42578125" style="519" bestFit="1" customWidth="1"/>
    <col min="14857" max="14857" width="21.28515625" style="519" customWidth="1"/>
    <col min="14858" max="15104" width="8.85546875" style="519"/>
    <col min="15105" max="15105" width="4" style="519" customWidth="1"/>
    <col min="15106" max="15106" width="6.28515625" style="519" customWidth="1"/>
    <col min="15107" max="15107" width="3.7109375" style="519" customWidth="1"/>
    <col min="15108" max="15108" width="14" style="519" customWidth="1"/>
    <col min="15109" max="15109" width="5" style="519" customWidth="1"/>
    <col min="15110" max="15110" width="11.42578125" style="519" bestFit="1" customWidth="1"/>
    <col min="15111" max="15111" width="5.85546875" style="519" customWidth="1"/>
    <col min="15112" max="15112" width="11.42578125" style="519" bestFit="1" customWidth="1"/>
    <col min="15113" max="15113" width="21.28515625" style="519" customWidth="1"/>
    <col min="15114" max="15360" width="8.85546875" style="519"/>
    <col min="15361" max="15361" width="4" style="519" customWidth="1"/>
    <col min="15362" max="15362" width="6.28515625" style="519" customWidth="1"/>
    <col min="15363" max="15363" width="3.7109375" style="519" customWidth="1"/>
    <col min="15364" max="15364" width="14" style="519" customWidth="1"/>
    <col min="15365" max="15365" width="5" style="519" customWidth="1"/>
    <col min="15366" max="15366" width="11.42578125" style="519" bestFit="1" customWidth="1"/>
    <col min="15367" max="15367" width="5.85546875" style="519" customWidth="1"/>
    <col min="15368" max="15368" width="11.42578125" style="519" bestFit="1" customWidth="1"/>
    <col min="15369" max="15369" width="21.28515625" style="519" customWidth="1"/>
    <col min="15370" max="15616" width="8.85546875" style="519"/>
    <col min="15617" max="15617" width="4" style="519" customWidth="1"/>
    <col min="15618" max="15618" width="6.28515625" style="519" customWidth="1"/>
    <col min="15619" max="15619" width="3.7109375" style="519" customWidth="1"/>
    <col min="15620" max="15620" width="14" style="519" customWidth="1"/>
    <col min="15621" max="15621" width="5" style="519" customWidth="1"/>
    <col min="15622" max="15622" width="11.42578125" style="519" bestFit="1" customWidth="1"/>
    <col min="15623" max="15623" width="5.85546875" style="519" customWidth="1"/>
    <col min="15624" max="15624" width="11.42578125" style="519" bestFit="1" customWidth="1"/>
    <col min="15625" max="15625" width="21.28515625" style="519" customWidth="1"/>
    <col min="15626" max="15872" width="8.85546875" style="519"/>
    <col min="15873" max="15873" width="4" style="519" customWidth="1"/>
    <col min="15874" max="15874" width="6.28515625" style="519" customWidth="1"/>
    <col min="15875" max="15875" width="3.7109375" style="519" customWidth="1"/>
    <col min="15876" max="15876" width="14" style="519" customWidth="1"/>
    <col min="15877" max="15877" width="5" style="519" customWidth="1"/>
    <col min="15878" max="15878" width="11.42578125" style="519" bestFit="1" customWidth="1"/>
    <col min="15879" max="15879" width="5.85546875" style="519" customWidth="1"/>
    <col min="15880" max="15880" width="11.42578125" style="519" bestFit="1" customWidth="1"/>
    <col min="15881" max="15881" width="21.28515625" style="519" customWidth="1"/>
    <col min="15882" max="16128" width="8.85546875" style="519"/>
    <col min="16129" max="16129" width="4" style="519" customWidth="1"/>
    <col min="16130" max="16130" width="6.28515625" style="519" customWidth="1"/>
    <col min="16131" max="16131" width="3.7109375" style="519" customWidth="1"/>
    <col min="16132" max="16132" width="14" style="519" customWidth="1"/>
    <col min="16133" max="16133" width="5" style="519" customWidth="1"/>
    <col min="16134" max="16134" width="11.42578125" style="519" bestFit="1" customWidth="1"/>
    <col min="16135" max="16135" width="5.85546875" style="519" customWidth="1"/>
    <col min="16136" max="16136" width="11.42578125" style="519" bestFit="1" customWidth="1"/>
    <col min="16137" max="16137" width="21.28515625" style="519" customWidth="1"/>
    <col min="16138" max="16384" width="8.85546875" style="519"/>
  </cols>
  <sheetData>
    <row r="1" spans="1:9" ht="25.5">
      <c r="A1" s="516"/>
      <c r="B1" s="516" t="s">
        <v>344</v>
      </c>
      <c r="C1" s="516" t="s">
        <v>345</v>
      </c>
      <c r="D1" s="517" t="s">
        <v>346</v>
      </c>
      <c r="E1" s="517" t="s">
        <v>345</v>
      </c>
      <c r="F1" s="517" t="s">
        <v>347</v>
      </c>
      <c r="G1" s="517" t="s">
        <v>348</v>
      </c>
      <c r="H1" s="518" t="s">
        <v>349</v>
      </c>
      <c r="I1" s="516" t="s">
        <v>350</v>
      </c>
    </row>
    <row r="2" spans="1:9" ht="9" hidden="1" customHeight="1">
      <c r="A2" s="520"/>
      <c r="B2" s="516"/>
      <c r="C2" s="520"/>
      <c r="D2" s="521"/>
      <c r="E2" s="522"/>
      <c r="F2" s="521"/>
      <c r="G2" s="521"/>
      <c r="H2" s="521"/>
      <c r="I2" s="523"/>
    </row>
    <row r="3" spans="1:9" ht="63.75">
      <c r="A3" s="520">
        <v>1</v>
      </c>
      <c r="B3" s="516">
        <v>240</v>
      </c>
      <c r="C3" s="516">
        <v>0</v>
      </c>
      <c r="D3" s="524">
        <v>294015</v>
      </c>
      <c r="E3" s="517">
        <v>35</v>
      </c>
      <c r="F3" s="524">
        <v>266515</v>
      </c>
      <c r="G3" s="524">
        <v>999</v>
      </c>
      <c r="H3" s="524">
        <v>266515</v>
      </c>
      <c r="I3" s="525" t="s">
        <v>361</v>
      </c>
    </row>
    <row r="4" spans="1:9">
      <c r="A4" s="520"/>
      <c r="B4" s="516"/>
      <c r="C4" s="516"/>
      <c r="D4" s="524"/>
      <c r="E4" s="517">
        <v>35</v>
      </c>
      <c r="F4" s="524">
        <v>16000</v>
      </c>
      <c r="G4" s="524">
        <v>105</v>
      </c>
      <c r="H4" s="524">
        <v>16000</v>
      </c>
      <c r="I4" s="525"/>
    </row>
    <row r="5" spans="1:9">
      <c r="A5" s="520"/>
      <c r="B5" s="516"/>
      <c r="C5" s="516"/>
      <c r="D5" s="524"/>
      <c r="E5" s="517">
        <v>35</v>
      </c>
      <c r="F5" s="524">
        <v>8500</v>
      </c>
      <c r="G5" s="524">
        <v>108</v>
      </c>
      <c r="H5" s="524">
        <v>8500</v>
      </c>
      <c r="I5" s="525"/>
    </row>
    <row r="6" spans="1:9">
      <c r="A6" s="520"/>
      <c r="B6" s="516"/>
      <c r="C6" s="516"/>
      <c r="D6" s="524"/>
      <c r="E6" s="517">
        <v>35</v>
      </c>
      <c r="F6" s="524">
        <v>3000</v>
      </c>
      <c r="G6" s="524">
        <v>1</v>
      </c>
      <c r="H6" s="524">
        <v>3000</v>
      </c>
      <c r="I6" s="525"/>
    </row>
    <row r="7" spans="1:9" ht="27" hidden="1" customHeight="1">
      <c r="A7" s="520"/>
      <c r="B7" s="517"/>
      <c r="C7" s="516"/>
      <c r="D7" s="526"/>
      <c r="E7" s="517"/>
      <c r="F7" s="527"/>
      <c r="G7" s="527"/>
      <c r="H7" s="526"/>
      <c r="I7" s="528"/>
    </row>
    <row r="8" spans="1:9" ht="15.75" customHeight="1">
      <c r="A8" s="520"/>
      <c r="B8" s="517"/>
      <c r="C8" s="516"/>
      <c r="D8" s="526"/>
      <c r="E8" s="517"/>
      <c r="F8" s="527"/>
      <c r="G8" s="527"/>
      <c r="H8" s="526"/>
      <c r="I8" s="525"/>
    </row>
    <row r="9" spans="1:9" ht="51.75" hidden="1" customHeight="1">
      <c r="A9" s="520">
        <v>14</v>
      </c>
      <c r="B9" s="517"/>
      <c r="C9" s="516"/>
      <c r="D9" s="526"/>
      <c r="E9" s="517"/>
      <c r="F9" s="527"/>
      <c r="G9" s="527"/>
      <c r="H9" s="526"/>
      <c r="I9" s="525"/>
    </row>
    <row r="10" spans="1:9" ht="18.75" hidden="1" customHeight="1">
      <c r="A10" s="520"/>
      <c r="B10" s="517"/>
      <c r="C10" s="516"/>
      <c r="D10" s="526"/>
      <c r="E10" s="517"/>
      <c r="F10" s="527"/>
      <c r="G10" s="527"/>
      <c r="H10" s="526"/>
      <c r="I10" s="525"/>
    </row>
    <row r="11" spans="1:9" ht="51" hidden="1" customHeight="1">
      <c r="A11" s="520">
        <v>15</v>
      </c>
      <c r="B11" s="517"/>
      <c r="C11" s="516"/>
      <c r="D11" s="526"/>
      <c r="E11" s="517"/>
      <c r="F11" s="527"/>
      <c r="G11" s="527"/>
      <c r="H11" s="526"/>
      <c r="I11" s="525"/>
    </row>
    <row r="12" spans="1:9" ht="27" hidden="1" customHeight="1">
      <c r="A12" s="520"/>
      <c r="B12" s="517"/>
      <c r="C12" s="516"/>
      <c r="D12" s="526"/>
      <c r="E12" s="517"/>
      <c r="F12" s="527"/>
      <c r="G12" s="527"/>
      <c r="H12" s="526"/>
      <c r="I12" s="525"/>
    </row>
    <row r="13" spans="1:9" ht="60.75" hidden="1" customHeight="1">
      <c r="A13" s="520">
        <v>16</v>
      </c>
      <c r="B13" s="517"/>
      <c r="C13" s="516"/>
      <c r="D13" s="526"/>
      <c r="E13" s="517"/>
      <c r="F13" s="527"/>
      <c r="G13" s="527"/>
      <c r="H13" s="526"/>
      <c r="I13" s="525"/>
    </row>
    <row r="14" spans="1:9" ht="36" hidden="1" customHeight="1">
      <c r="A14" s="520">
        <v>17</v>
      </c>
      <c r="B14" s="517"/>
      <c r="C14" s="516"/>
      <c r="D14" s="526"/>
      <c r="E14" s="517"/>
      <c r="F14" s="527"/>
      <c r="G14" s="527"/>
      <c r="H14" s="526"/>
      <c r="I14" s="525"/>
    </row>
    <row r="15" spans="1:9" ht="15" hidden="1" customHeight="1">
      <c r="A15" s="520"/>
      <c r="B15" s="517"/>
      <c r="C15" s="516"/>
      <c r="D15" s="526"/>
      <c r="E15" s="517"/>
      <c r="F15" s="527"/>
      <c r="G15" s="527"/>
      <c r="H15" s="526"/>
      <c r="I15" s="525"/>
    </row>
    <row r="16" spans="1:9" ht="49.5" hidden="1" customHeight="1">
      <c r="A16" s="520">
        <v>18</v>
      </c>
      <c r="B16" s="517"/>
      <c r="C16" s="516"/>
      <c r="D16" s="526"/>
      <c r="E16" s="517"/>
      <c r="F16" s="527"/>
      <c r="G16" s="527"/>
      <c r="H16" s="526"/>
      <c r="I16" s="525"/>
    </row>
    <row r="17" spans="1:9" ht="15.75" hidden="1" customHeight="1">
      <c r="A17" s="520"/>
      <c r="B17" s="517"/>
      <c r="C17" s="516"/>
      <c r="D17" s="526"/>
      <c r="E17" s="517"/>
      <c r="F17" s="527"/>
      <c r="G17" s="527"/>
      <c r="H17" s="526"/>
      <c r="I17" s="525"/>
    </row>
    <row r="18" spans="1:9" ht="39" hidden="1" customHeight="1">
      <c r="A18" s="520">
        <v>19</v>
      </c>
      <c r="B18" s="517"/>
      <c r="C18" s="516"/>
      <c r="D18" s="526"/>
      <c r="E18" s="517"/>
      <c r="F18" s="527"/>
      <c r="G18" s="527"/>
      <c r="H18" s="526"/>
      <c r="I18" s="525"/>
    </row>
    <row r="19" spans="1:9" ht="39" hidden="1" customHeight="1">
      <c r="A19" s="520"/>
      <c r="B19" s="517"/>
      <c r="C19" s="516"/>
      <c r="D19" s="526"/>
      <c r="E19" s="517"/>
      <c r="F19" s="527"/>
      <c r="G19" s="527"/>
      <c r="H19" s="526"/>
      <c r="I19" s="525"/>
    </row>
    <row r="20" spans="1:9" ht="27" hidden="1" customHeight="1">
      <c r="A20" s="520"/>
      <c r="B20" s="517"/>
      <c r="C20" s="516"/>
      <c r="D20" s="526"/>
      <c r="E20" s="517"/>
      <c r="F20" s="527"/>
      <c r="G20" s="527"/>
      <c r="H20" s="526"/>
      <c r="I20" s="525"/>
    </row>
    <row r="21" spans="1:9" ht="45" hidden="1" customHeight="1">
      <c r="A21" s="520">
        <v>20</v>
      </c>
      <c r="B21" s="517"/>
      <c r="C21" s="516"/>
      <c r="D21" s="526"/>
      <c r="E21" s="517"/>
      <c r="F21" s="527"/>
      <c r="G21" s="527"/>
      <c r="H21" s="526"/>
      <c r="I21" s="525"/>
    </row>
    <row r="22" spans="1:9" ht="23.25" hidden="1" customHeight="1">
      <c r="A22" s="520"/>
      <c r="B22" s="517"/>
      <c r="C22" s="516"/>
      <c r="D22" s="526"/>
      <c r="E22" s="517"/>
      <c r="F22" s="527"/>
      <c r="G22" s="527"/>
      <c r="H22" s="526"/>
      <c r="I22" s="525"/>
    </row>
    <row r="23" spans="1:9" ht="37.5" hidden="1" customHeight="1">
      <c r="A23" s="520">
        <v>21</v>
      </c>
      <c r="B23" s="517"/>
      <c r="C23" s="516"/>
      <c r="D23" s="526"/>
      <c r="E23" s="517"/>
      <c r="F23" s="527"/>
      <c r="G23" s="527"/>
      <c r="H23" s="526"/>
      <c r="I23" s="525"/>
    </row>
    <row r="24" spans="1:9" ht="23.25" hidden="1" customHeight="1">
      <c r="A24" s="520"/>
      <c r="B24" s="517"/>
      <c r="C24" s="516"/>
      <c r="D24" s="526"/>
      <c r="E24" s="517"/>
      <c r="F24" s="527"/>
      <c r="G24" s="527"/>
      <c r="H24" s="526"/>
      <c r="I24" s="525"/>
    </row>
    <row r="25" spans="1:9" ht="54.75" hidden="1" customHeight="1">
      <c r="A25" s="520">
        <v>22</v>
      </c>
      <c r="B25" s="517"/>
      <c r="C25" s="516"/>
      <c r="D25" s="526"/>
      <c r="E25" s="517"/>
      <c r="F25" s="527"/>
      <c r="G25" s="527"/>
      <c r="H25" s="526"/>
      <c r="I25" s="525"/>
    </row>
    <row r="26" spans="1:9" ht="23.25" hidden="1" customHeight="1">
      <c r="A26" s="520"/>
      <c r="B26" s="517"/>
      <c r="C26" s="516"/>
      <c r="D26" s="526"/>
      <c r="E26" s="517"/>
      <c r="F26" s="527"/>
      <c r="G26" s="527"/>
      <c r="H26" s="526"/>
      <c r="I26" s="525"/>
    </row>
    <row r="27" spans="1:9" ht="75.75" hidden="1" customHeight="1">
      <c r="A27" s="520">
        <v>23</v>
      </c>
      <c r="B27" s="517"/>
      <c r="C27" s="516"/>
      <c r="D27" s="526"/>
      <c r="E27" s="529"/>
      <c r="F27" s="530"/>
      <c r="G27" s="527"/>
      <c r="H27" s="526"/>
      <c r="I27" s="525"/>
    </row>
    <row r="28" spans="1:9" ht="46.5" customHeight="1">
      <c r="A28" s="520"/>
      <c r="B28" s="516"/>
      <c r="C28" s="522" t="s">
        <v>353</v>
      </c>
      <c r="D28" s="526">
        <f>SUM(D3:D27)</f>
        <v>294015</v>
      </c>
      <c r="E28" s="531"/>
      <c r="F28" s="526">
        <f>SUM(F3:F27)</f>
        <v>294015</v>
      </c>
      <c r="G28" s="526"/>
      <c r="H28" s="526">
        <f>SUM(H3:H27)</f>
        <v>294015</v>
      </c>
      <c r="I28" s="525"/>
    </row>
    <row r="29" spans="1:9" ht="38.25" hidden="1" customHeight="1">
      <c r="A29" s="532"/>
      <c r="B29" s="533"/>
      <c r="C29" s="533"/>
      <c r="D29" s="534"/>
      <c r="E29" s="533"/>
      <c r="F29" s="535"/>
      <c r="G29" s="535"/>
      <c r="H29" s="536"/>
      <c r="I29" s="537"/>
    </row>
    <row r="30" spans="1:9" ht="38.25" hidden="1" customHeight="1">
      <c r="A30" s="538" t="s">
        <v>354</v>
      </c>
      <c r="B30" s="539"/>
      <c r="C30" s="539"/>
      <c r="D30" s="540"/>
      <c r="E30" s="541"/>
      <c r="F30" s="542"/>
      <c r="G30" s="542"/>
      <c r="H30" s="542"/>
      <c r="I30" s="543"/>
    </row>
    <row r="31" spans="1:9" ht="56.25" hidden="1" customHeight="1">
      <c r="A31" s="532"/>
      <c r="B31" s="532"/>
      <c r="C31" s="544"/>
      <c r="D31" s="535"/>
      <c r="E31" s="533"/>
      <c r="F31" s="535"/>
      <c r="G31" s="535"/>
      <c r="H31" s="535"/>
      <c r="I31" s="545"/>
    </row>
    <row r="32" spans="1:9" ht="38.25" hidden="1" customHeight="1"/>
    <row r="33" ht="51.75" hidden="1" customHeight="1"/>
    <row r="34" ht="45" customHeight="1"/>
    <row r="35" ht="51.75" customHeight="1"/>
    <row r="36" ht="51.75" customHeight="1"/>
    <row r="37" ht="51.75" customHeight="1"/>
    <row r="38" ht="51.75" customHeight="1"/>
    <row r="39" ht="51.75" customHeight="1"/>
    <row r="40" ht="51.75" customHeight="1"/>
    <row r="41" ht="51.75" customHeight="1"/>
    <row r="42" ht="51.75" customHeight="1"/>
    <row r="43" ht="63" customHeight="1"/>
    <row r="44" ht="28.5" customHeight="1"/>
    <row r="45" ht="50.25" customHeight="1"/>
    <row r="46" ht="10.5" customHeight="1"/>
  </sheetData>
  <pageMargins left="0.75" right="0.75" top="1.5" bottom="1" header="0.5" footer="0.5"/>
  <pageSetup fitToHeight="10" orientation="portrait" r:id="rId1"/>
  <headerFooter>
    <oddHeader>&amp;CLittle Elm Independent School District
General Fund 
Budget Amendments
December 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workbookViewId="0">
      <selection activeCell="A17" sqref="A17:XFD18"/>
    </sheetView>
  </sheetViews>
  <sheetFormatPr defaultRowHeight="12.75"/>
  <cols>
    <col min="1" max="1" width="4" style="519" customWidth="1"/>
    <col min="2" max="2" width="6.28515625" style="519" customWidth="1"/>
    <col min="3" max="3" width="3.7109375" style="519" customWidth="1"/>
    <col min="4" max="4" width="14" style="519" customWidth="1"/>
    <col min="5" max="5" width="5" style="519" customWidth="1"/>
    <col min="6" max="6" width="11.42578125" style="519" bestFit="1" customWidth="1"/>
    <col min="7" max="7" width="5.85546875" style="519" customWidth="1"/>
    <col min="8" max="8" width="11.42578125" style="519" bestFit="1" customWidth="1"/>
    <col min="9" max="9" width="21.28515625" style="519" customWidth="1"/>
    <col min="10" max="256" width="8.85546875" style="519"/>
    <col min="257" max="257" width="4" style="519" customWidth="1"/>
    <col min="258" max="258" width="6.28515625" style="519" customWidth="1"/>
    <col min="259" max="259" width="3.7109375" style="519" customWidth="1"/>
    <col min="260" max="260" width="14" style="519" customWidth="1"/>
    <col min="261" max="261" width="5" style="519" customWidth="1"/>
    <col min="262" max="262" width="11.42578125" style="519" bestFit="1" customWidth="1"/>
    <col min="263" max="263" width="5.85546875" style="519" customWidth="1"/>
    <col min="264" max="264" width="11.42578125" style="519" bestFit="1" customWidth="1"/>
    <col min="265" max="265" width="21.28515625" style="519" customWidth="1"/>
    <col min="266" max="512" width="8.85546875" style="519"/>
    <col min="513" max="513" width="4" style="519" customWidth="1"/>
    <col min="514" max="514" width="6.28515625" style="519" customWidth="1"/>
    <col min="515" max="515" width="3.7109375" style="519" customWidth="1"/>
    <col min="516" max="516" width="14" style="519" customWidth="1"/>
    <col min="517" max="517" width="5" style="519" customWidth="1"/>
    <col min="518" max="518" width="11.42578125" style="519" bestFit="1" customWidth="1"/>
    <col min="519" max="519" width="5.85546875" style="519" customWidth="1"/>
    <col min="520" max="520" width="11.42578125" style="519" bestFit="1" customWidth="1"/>
    <col min="521" max="521" width="21.28515625" style="519" customWidth="1"/>
    <col min="522" max="768" width="8.85546875" style="519"/>
    <col min="769" max="769" width="4" style="519" customWidth="1"/>
    <col min="770" max="770" width="6.28515625" style="519" customWidth="1"/>
    <col min="771" max="771" width="3.7109375" style="519" customWidth="1"/>
    <col min="772" max="772" width="14" style="519" customWidth="1"/>
    <col min="773" max="773" width="5" style="519" customWidth="1"/>
    <col min="774" max="774" width="11.42578125" style="519" bestFit="1" customWidth="1"/>
    <col min="775" max="775" width="5.85546875" style="519" customWidth="1"/>
    <col min="776" max="776" width="11.42578125" style="519" bestFit="1" customWidth="1"/>
    <col min="777" max="777" width="21.28515625" style="519" customWidth="1"/>
    <col min="778" max="1024" width="8.85546875" style="519"/>
    <col min="1025" max="1025" width="4" style="519" customWidth="1"/>
    <col min="1026" max="1026" width="6.28515625" style="519" customWidth="1"/>
    <col min="1027" max="1027" width="3.7109375" style="519" customWidth="1"/>
    <col min="1028" max="1028" width="14" style="519" customWidth="1"/>
    <col min="1029" max="1029" width="5" style="519" customWidth="1"/>
    <col min="1030" max="1030" width="11.42578125" style="519" bestFit="1" customWidth="1"/>
    <col min="1031" max="1031" width="5.85546875" style="519" customWidth="1"/>
    <col min="1032" max="1032" width="11.42578125" style="519" bestFit="1" customWidth="1"/>
    <col min="1033" max="1033" width="21.28515625" style="519" customWidth="1"/>
    <col min="1034" max="1280" width="8.85546875" style="519"/>
    <col min="1281" max="1281" width="4" style="519" customWidth="1"/>
    <col min="1282" max="1282" width="6.28515625" style="519" customWidth="1"/>
    <col min="1283" max="1283" width="3.7109375" style="519" customWidth="1"/>
    <col min="1284" max="1284" width="14" style="519" customWidth="1"/>
    <col min="1285" max="1285" width="5" style="519" customWidth="1"/>
    <col min="1286" max="1286" width="11.42578125" style="519" bestFit="1" customWidth="1"/>
    <col min="1287" max="1287" width="5.85546875" style="519" customWidth="1"/>
    <col min="1288" max="1288" width="11.42578125" style="519" bestFit="1" customWidth="1"/>
    <col min="1289" max="1289" width="21.28515625" style="519" customWidth="1"/>
    <col min="1290" max="1536" width="8.85546875" style="519"/>
    <col min="1537" max="1537" width="4" style="519" customWidth="1"/>
    <col min="1538" max="1538" width="6.28515625" style="519" customWidth="1"/>
    <col min="1539" max="1539" width="3.7109375" style="519" customWidth="1"/>
    <col min="1540" max="1540" width="14" style="519" customWidth="1"/>
    <col min="1541" max="1541" width="5" style="519" customWidth="1"/>
    <col min="1542" max="1542" width="11.42578125" style="519" bestFit="1" customWidth="1"/>
    <col min="1543" max="1543" width="5.85546875" style="519" customWidth="1"/>
    <col min="1544" max="1544" width="11.42578125" style="519" bestFit="1" customWidth="1"/>
    <col min="1545" max="1545" width="21.28515625" style="519" customWidth="1"/>
    <col min="1546" max="1792" width="8.85546875" style="519"/>
    <col min="1793" max="1793" width="4" style="519" customWidth="1"/>
    <col min="1794" max="1794" width="6.28515625" style="519" customWidth="1"/>
    <col min="1795" max="1795" width="3.7109375" style="519" customWidth="1"/>
    <col min="1796" max="1796" width="14" style="519" customWidth="1"/>
    <col min="1797" max="1797" width="5" style="519" customWidth="1"/>
    <col min="1798" max="1798" width="11.42578125" style="519" bestFit="1" customWidth="1"/>
    <col min="1799" max="1799" width="5.85546875" style="519" customWidth="1"/>
    <col min="1800" max="1800" width="11.42578125" style="519" bestFit="1" customWidth="1"/>
    <col min="1801" max="1801" width="21.28515625" style="519" customWidth="1"/>
    <col min="1802" max="2048" width="8.85546875" style="519"/>
    <col min="2049" max="2049" width="4" style="519" customWidth="1"/>
    <col min="2050" max="2050" width="6.28515625" style="519" customWidth="1"/>
    <col min="2051" max="2051" width="3.7109375" style="519" customWidth="1"/>
    <col min="2052" max="2052" width="14" style="519" customWidth="1"/>
    <col min="2053" max="2053" width="5" style="519" customWidth="1"/>
    <col min="2054" max="2054" width="11.42578125" style="519" bestFit="1" customWidth="1"/>
    <col min="2055" max="2055" width="5.85546875" style="519" customWidth="1"/>
    <col min="2056" max="2056" width="11.42578125" style="519" bestFit="1" customWidth="1"/>
    <col min="2057" max="2057" width="21.28515625" style="519" customWidth="1"/>
    <col min="2058" max="2304" width="8.85546875" style="519"/>
    <col min="2305" max="2305" width="4" style="519" customWidth="1"/>
    <col min="2306" max="2306" width="6.28515625" style="519" customWidth="1"/>
    <col min="2307" max="2307" width="3.7109375" style="519" customWidth="1"/>
    <col min="2308" max="2308" width="14" style="519" customWidth="1"/>
    <col min="2309" max="2309" width="5" style="519" customWidth="1"/>
    <col min="2310" max="2310" width="11.42578125" style="519" bestFit="1" customWidth="1"/>
    <col min="2311" max="2311" width="5.85546875" style="519" customWidth="1"/>
    <col min="2312" max="2312" width="11.42578125" style="519" bestFit="1" customWidth="1"/>
    <col min="2313" max="2313" width="21.28515625" style="519" customWidth="1"/>
    <col min="2314" max="2560" width="8.85546875" style="519"/>
    <col min="2561" max="2561" width="4" style="519" customWidth="1"/>
    <col min="2562" max="2562" width="6.28515625" style="519" customWidth="1"/>
    <col min="2563" max="2563" width="3.7109375" style="519" customWidth="1"/>
    <col min="2564" max="2564" width="14" style="519" customWidth="1"/>
    <col min="2565" max="2565" width="5" style="519" customWidth="1"/>
    <col min="2566" max="2566" width="11.42578125" style="519" bestFit="1" customWidth="1"/>
    <col min="2567" max="2567" width="5.85546875" style="519" customWidth="1"/>
    <col min="2568" max="2568" width="11.42578125" style="519" bestFit="1" customWidth="1"/>
    <col min="2569" max="2569" width="21.28515625" style="519" customWidth="1"/>
    <col min="2570" max="2816" width="8.85546875" style="519"/>
    <col min="2817" max="2817" width="4" style="519" customWidth="1"/>
    <col min="2818" max="2818" width="6.28515625" style="519" customWidth="1"/>
    <col min="2819" max="2819" width="3.7109375" style="519" customWidth="1"/>
    <col min="2820" max="2820" width="14" style="519" customWidth="1"/>
    <col min="2821" max="2821" width="5" style="519" customWidth="1"/>
    <col min="2822" max="2822" width="11.42578125" style="519" bestFit="1" customWidth="1"/>
    <col min="2823" max="2823" width="5.85546875" style="519" customWidth="1"/>
    <col min="2824" max="2824" width="11.42578125" style="519" bestFit="1" customWidth="1"/>
    <col min="2825" max="2825" width="21.28515625" style="519" customWidth="1"/>
    <col min="2826" max="3072" width="8.85546875" style="519"/>
    <col min="3073" max="3073" width="4" style="519" customWidth="1"/>
    <col min="3074" max="3074" width="6.28515625" style="519" customWidth="1"/>
    <col min="3075" max="3075" width="3.7109375" style="519" customWidth="1"/>
    <col min="3076" max="3076" width="14" style="519" customWidth="1"/>
    <col min="3077" max="3077" width="5" style="519" customWidth="1"/>
    <col min="3078" max="3078" width="11.42578125" style="519" bestFit="1" customWidth="1"/>
    <col min="3079" max="3079" width="5.85546875" style="519" customWidth="1"/>
    <col min="3080" max="3080" width="11.42578125" style="519" bestFit="1" customWidth="1"/>
    <col min="3081" max="3081" width="21.28515625" style="519" customWidth="1"/>
    <col min="3082" max="3328" width="8.85546875" style="519"/>
    <col min="3329" max="3329" width="4" style="519" customWidth="1"/>
    <col min="3330" max="3330" width="6.28515625" style="519" customWidth="1"/>
    <col min="3331" max="3331" width="3.7109375" style="519" customWidth="1"/>
    <col min="3332" max="3332" width="14" style="519" customWidth="1"/>
    <col min="3333" max="3333" width="5" style="519" customWidth="1"/>
    <col min="3334" max="3334" width="11.42578125" style="519" bestFit="1" customWidth="1"/>
    <col min="3335" max="3335" width="5.85546875" style="519" customWidth="1"/>
    <col min="3336" max="3336" width="11.42578125" style="519" bestFit="1" customWidth="1"/>
    <col min="3337" max="3337" width="21.28515625" style="519" customWidth="1"/>
    <col min="3338" max="3584" width="8.85546875" style="519"/>
    <col min="3585" max="3585" width="4" style="519" customWidth="1"/>
    <col min="3586" max="3586" width="6.28515625" style="519" customWidth="1"/>
    <col min="3587" max="3587" width="3.7109375" style="519" customWidth="1"/>
    <col min="3588" max="3588" width="14" style="519" customWidth="1"/>
    <col min="3589" max="3589" width="5" style="519" customWidth="1"/>
    <col min="3590" max="3590" width="11.42578125" style="519" bestFit="1" customWidth="1"/>
    <col min="3591" max="3591" width="5.85546875" style="519" customWidth="1"/>
    <col min="3592" max="3592" width="11.42578125" style="519" bestFit="1" customWidth="1"/>
    <col min="3593" max="3593" width="21.28515625" style="519" customWidth="1"/>
    <col min="3594" max="3840" width="8.85546875" style="519"/>
    <col min="3841" max="3841" width="4" style="519" customWidth="1"/>
    <col min="3842" max="3842" width="6.28515625" style="519" customWidth="1"/>
    <col min="3843" max="3843" width="3.7109375" style="519" customWidth="1"/>
    <col min="3844" max="3844" width="14" style="519" customWidth="1"/>
    <col min="3845" max="3845" width="5" style="519" customWidth="1"/>
    <col min="3846" max="3846" width="11.42578125" style="519" bestFit="1" customWidth="1"/>
    <col min="3847" max="3847" width="5.85546875" style="519" customWidth="1"/>
    <col min="3848" max="3848" width="11.42578125" style="519" bestFit="1" customWidth="1"/>
    <col min="3849" max="3849" width="21.28515625" style="519" customWidth="1"/>
    <col min="3850" max="4096" width="8.85546875" style="519"/>
    <col min="4097" max="4097" width="4" style="519" customWidth="1"/>
    <col min="4098" max="4098" width="6.28515625" style="519" customWidth="1"/>
    <col min="4099" max="4099" width="3.7109375" style="519" customWidth="1"/>
    <col min="4100" max="4100" width="14" style="519" customWidth="1"/>
    <col min="4101" max="4101" width="5" style="519" customWidth="1"/>
    <col min="4102" max="4102" width="11.42578125" style="519" bestFit="1" customWidth="1"/>
    <col min="4103" max="4103" width="5.85546875" style="519" customWidth="1"/>
    <col min="4104" max="4104" width="11.42578125" style="519" bestFit="1" customWidth="1"/>
    <col min="4105" max="4105" width="21.28515625" style="519" customWidth="1"/>
    <col min="4106" max="4352" width="8.85546875" style="519"/>
    <col min="4353" max="4353" width="4" style="519" customWidth="1"/>
    <col min="4354" max="4354" width="6.28515625" style="519" customWidth="1"/>
    <col min="4355" max="4355" width="3.7109375" style="519" customWidth="1"/>
    <col min="4356" max="4356" width="14" style="519" customWidth="1"/>
    <col min="4357" max="4357" width="5" style="519" customWidth="1"/>
    <col min="4358" max="4358" width="11.42578125" style="519" bestFit="1" customWidth="1"/>
    <col min="4359" max="4359" width="5.85546875" style="519" customWidth="1"/>
    <col min="4360" max="4360" width="11.42578125" style="519" bestFit="1" customWidth="1"/>
    <col min="4361" max="4361" width="21.28515625" style="519" customWidth="1"/>
    <col min="4362" max="4608" width="8.85546875" style="519"/>
    <col min="4609" max="4609" width="4" style="519" customWidth="1"/>
    <col min="4610" max="4610" width="6.28515625" style="519" customWidth="1"/>
    <col min="4611" max="4611" width="3.7109375" style="519" customWidth="1"/>
    <col min="4612" max="4612" width="14" style="519" customWidth="1"/>
    <col min="4613" max="4613" width="5" style="519" customWidth="1"/>
    <col min="4614" max="4614" width="11.42578125" style="519" bestFit="1" customWidth="1"/>
    <col min="4615" max="4615" width="5.85546875" style="519" customWidth="1"/>
    <col min="4616" max="4616" width="11.42578125" style="519" bestFit="1" customWidth="1"/>
    <col min="4617" max="4617" width="21.28515625" style="519" customWidth="1"/>
    <col min="4618" max="4864" width="8.85546875" style="519"/>
    <col min="4865" max="4865" width="4" style="519" customWidth="1"/>
    <col min="4866" max="4866" width="6.28515625" style="519" customWidth="1"/>
    <col min="4867" max="4867" width="3.7109375" style="519" customWidth="1"/>
    <col min="4868" max="4868" width="14" style="519" customWidth="1"/>
    <col min="4869" max="4869" width="5" style="519" customWidth="1"/>
    <col min="4870" max="4870" width="11.42578125" style="519" bestFit="1" customWidth="1"/>
    <col min="4871" max="4871" width="5.85546875" style="519" customWidth="1"/>
    <col min="4872" max="4872" width="11.42578125" style="519" bestFit="1" customWidth="1"/>
    <col min="4873" max="4873" width="21.28515625" style="519" customWidth="1"/>
    <col min="4874" max="5120" width="8.85546875" style="519"/>
    <col min="5121" max="5121" width="4" style="519" customWidth="1"/>
    <col min="5122" max="5122" width="6.28515625" style="519" customWidth="1"/>
    <col min="5123" max="5123" width="3.7109375" style="519" customWidth="1"/>
    <col min="5124" max="5124" width="14" style="519" customWidth="1"/>
    <col min="5125" max="5125" width="5" style="519" customWidth="1"/>
    <col min="5126" max="5126" width="11.42578125" style="519" bestFit="1" customWidth="1"/>
    <col min="5127" max="5127" width="5.85546875" style="519" customWidth="1"/>
    <col min="5128" max="5128" width="11.42578125" style="519" bestFit="1" customWidth="1"/>
    <col min="5129" max="5129" width="21.28515625" style="519" customWidth="1"/>
    <col min="5130" max="5376" width="8.85546875" style="519"/>
    <col min="5377" max="5377" width="4" style="519" customWidth="1"/>
    <col min="5378" max="5378" width="6.28515625" style="519" customWidth="1"/>
    <col min="5379" max="5379" width="3.7109375" style="519" customWidth="1"/>
    <col min="5380" max="5380" width="14" style="519" customWidth="1"/>
    <col min="5381" max="5381" width="5" style="519" customWidth="1"/>
    <col min="5382" max="5382" width="11.42578125" style="519" bestFit="1" customWidth="1"/>
    <col min="5383" max="5383" width="5.85546875" style="519" customWidth="1"/>
    <col min="5384" max="5384" width="11.42578125" style="519" bestFit="1" customWidth="1"/>
    <col min="5385" max="5385" width="21.28515625" style="519" customWidth="1"/>
    <col min="5386" max="5632" width="8.85546875" style="519"/>
    <col min="5633" max="5633" width="4" style="519" customWidth="1"/>
    <col min="5634" max="5634" width="6.28515625" style="519" customWidth="1"/>
    <col min="5635" max="5635" width="3.7109375" style="519" customWidth="1"/>
    <col min="5636" max="5636" width="14" style="519" customWidth="1"/>
    <col min="5637" max="5637" width="5" style="519" customWidth="1"/>
    <col min="5638" max="5638" width="11.42578125" style="519" bestFit="1" customWidth="1"/>
    <col min="5639" max="5639" width="5.85546875" style="519" customWidth="1"/>
    <col min="5640" max="5640" width="11.42578125" style="519" bestFit="1" customWidth="1"/>
    <col min="5641" max="5641" width="21.28515625" style="519" customWidth="1"/>
    <col min="5642" max="5888" width="8.85546875" style="519"/>
    <col min="5889" max="5889" width="4" style="519" customWidth="1"/>
    <col min="5890" max="5890" width="6.28515625" style="519" customWidth="1"/>
    <col min="5891" max="5891" width="3.7109375" style="519" customWidth="1"/>
    <col min="5892" max="5892" width="14" style="519" customWidth="1"/>
    <col min="5893" max="5893" width="5" style="519" customWidth="1"/>
    <col min="5894" max="5894" width="11.42578125" style="519" bestFit="1" customWidth="1"/>
    <col min="5895" max="5895" width="5.85546875" style="519" customWidth="1"/>
    <col min="5896" max="5896" width="11.42578125" style="519" bestFit="1" customWidth="1"/>
    <col min="5897" max="5897" width="21.28515625" style="519" customWidth="1"/>
    <col min="5898" max="6144" width="8.85546875" style="519"/>
    <col min="6145" max="6145" width="4" style="519" customWidth="1"/>
    <col min="6146" max="6146" width="6.28515625" style="519" customWidth="1"/>
    <col min="6147" max="6147" width="3.7109375" style="519" customWidth="1"/>
    <col min="6148" max="6148" width="14" style="519" customWidth="1"/>
    <col min="6149" max="6149" width="5" style="519" customWidth="1"/>
    <col min="6150" max="6150" width="11.42578125" style="519" bestFit="1" customWidth="1"/>
    <col min="6151" max="6151" width="5.85546875" style="519" customWidth="1"/>
    <col min="6152" max="6152" width="11.42578125" style="519" bestFit="1" customWidth="1"/>
    <col min="6153" max="6153" width="21.28515625" style="519" customWidth="1"/>
    <col min="6154" max="6400" width="8.85546875" style="519"/>
    <col min="6401" max="6401" width="4" style="519" customWidth="1"/>
    <col min="6402" max="6402" width="6.28515625" style="519" customWidth="1"/>
    <col min="6403" max="6403" width="3.7109375" style="519" customWidth="1"/>
    <col min="6404" max="6404" width="14" style="519" customWidth="1"/>
    <col min="6405" max="6405" width="5" style="519" customWidth="1"/>
    <col min="6406" max="6406" width="11.42578125" style="519" bestFit="1" customWidth="1"/>
    <col min="6407" max="6407" width="5.85546875" style="519" customWidth="1"/>
    <col min="6408" max="6408" width="11.42578125" style="519" bestFit="1" customWidth="1"/>
    <col min="6409" max="6409" width="21.28515625" style="519" customWidth="1"/>
    <col min="6410" max="6656" width="8.85546875" style="519"/>
    <col min="6657" max="6657" width="4" style="519" customWidth="1"/>
    <col min="6658" max="6658" width="6.28515625" style="519" customWidth="1"/>
    <col min="6659" max="6659" width="3.7109375" style="519" customWidth="1"/>
    <col min="6660" max="6660" width="14" style="519" customWidth="1"/>
    <col min="6661" max="6661" width="5" style="519" customWidth="1"/>
    <col min="6662" max="6662" width="11.42578125" style="519" bestFit="1" customWidth="1"/>
    <col min="6663" max="6663" width="5.85546875" style="519" customWidth="1"/>
    <col min="6664" max="6664" width="11.42578125" style="519" bestFit="1" customWidth="1"/>
    <col min="6665" max="6665" width="21.28515625" style="519" customWidth="1"/>
    <col min="6666" max="6912" width="8.85546875" style="519"/>
    <col min="6913" max="6913" width="4" style="519" customWidth="1"/>
    <col min="6914" max="6914" width="6.28515625" style="519" customWidth="1"/>
    <col min="6915" max="6915" width="3.7109375" style="519" customWidth="1"/>
    <col min="6916" max="6916" width="14" style="519" customWidth="1"/>
    <col min="6917" max="6917" width="5" style="519" customWidth="1"/>
    <col min="6918" max="6918" width="11.42578125" style="519" bestFit="1" customWidth="1"/>
    <col min="6919" max="6919" width="5.85546875" style="519" customWidth="1"/>
    <col min="6920" max="6920" width="11.42578125" style="519" bestFit="1" customWidth="1"/>
    <col min="6921" max="6921" width="21.28515625" style="519" customWidth="1"/>
    <col min="6922" max="7168" width="8.85546875" style="519"/>
    <col min="7169" max="7169" width="4" style="519" customWidth="1"/>
    <col min="7170" max="7170" width="6.28515625" style="519" customWidth="1"/>
    <col min="7171" max="7171" width="3.7109375" style="519" customWidth="1"/>
    <col min="7172" max="7172" width="14" style="519" customWidth="1"/>
    <col min="7173" max="7173" width="5" style="519" customWidth="1"/>
    <col min="7174" max="7174" width="11.42578125" style="519" bestFit="1" customWidth="1"/>
    <col min="7175" max="7175" width="5.85546875" style="519" customWidth="1"/>
    <col min="7176" max="7176" width="11.42578125" style="519" bestFit="1" customWidth="1"/>
    <col min="7177" max="7177" width="21.28515625" style="519" customWidth="1"/>
    <col min="7178" max="7424" width="8.85546875" style="519"/>
    <col min="7425" max="7425" width="4" style="519" customWidth="1"/>
    <col min="7426" max="7426" width="6.28515625" style="519" customWidth="1"/>
    <col min="7427" max="7427" width="3.7109375" style="519" customWidth="1"/>
    <col min="7428" max="7428" width="14" style="519" customWidth="1"/>
    <col min="7429" max="7429" width="5" style="519" customWidth="1"/>
    <col min="7430" max="7430" width="11.42578125" style="519" bestFit="1" customWidth="1"/>
    <col min="7431" max="7431" width="5.85546875" style="519" customWidth="1"/>
    <col min="7432" max="7432" width="11.42578125" style="519" bestFit="1" customWidth="1"/>
    <col min="7433" max="7433" width="21.28515625" style="519" customWidth="1"/>
    <col min="7434" max="7680" width="8.85546875" style="519"/>
    <col min="7681" max="7681" width="4" style="519" customWidth="1"/>
    <col min="7682" max="7682" width="6.28515625" style="519" customWidth="1"/>
    <col min="7683" max="7683" width="3.7109375" style="519" customWidth="1"/>
    <col min="7684" max="7684" width="14" style="519" customWidth="1"/>
    <col min="7685" max="7685" width="5" style="519" customWidth="1"/>
    <col min="7686" max="7686" width="11.42578125" style="519" bestFit="1" customWidth="1"/>
    <col min="7687" max="7687" width="5.85546875" style="519" customWidth="1"/>
    <col min="7688" max="7688" width="11.42578125" style="519" bestFit="1" customWidth="1"/>
    <col min="7689" max="7689" width="21.28515625" style="519" customWidth="1"/>
    <col min="7690" max="7936" width="8.85546875" style="519"/>
    <col min="7937" max="7937" width="4" style="519" customWidth="1"/>
    <col min="7938" max="7938" width="6.28515625" style="519" customWidth="1"/>
    <col min="7939" max="7939" width="3.7109375" style="519" customWidth="1"/>
    <col min="7940" max="7940" width="14" style="519" customWidth="1"/>
    <col min="7941" max="7941" width="5" style="519" customWidth="1"/>
    <col min="7942" max="7942" width="11.42578125" style="519" bestFit="1" customWidth="1"/>
    <col min="7943" max="7943" width="5.85546875" style="519" customWidth="1"/>
    <col min="7944" max="7944" width="11.42578125" style="519" bestFit="1" customWidth="1"/>
    <col min="7945" max="7945" width="21.28515625" style="519" customWidth="1"/>
    <col min="7946" max="8192" width="8.85546875" style="519"/>
    <col min="8193" max="8193" width="4" style="519" customWidth="1"/>
    <col min="8194" max="8194" width="6.28515625" style="519" customWidth="1"/>
    <col min="8195" max="8195" width="3.7109375" style="519" customWidth="1"/>
    <col min="8196" max="8196" width="14" style="519" customWidth="1"/>
    <col min="8197" max="8197" width="5" style="519" customWidth="1"/>
    <col min="8198" max="8198" width="11.42578125" style="519" bestFit="1" customWidth="1"/>
    <col min="8199" max="8199" width="5.85546875" style="519" customWidth="1"/>
    <col min="8200" max="8200" width="11.42578125" style="519" bestFit="1" customWidth="1"/>
    <col min="8201" max="8201" width="21.28515625" style="519" customWidth="1"/>
    <col min="8202" max="8448" width="8.85546875" style="519"/>
    <col min="8449" max="8449" width="4" style="519" customWidth="1"/>
    <col min="8450" max="8450" width="6.28515625" style="519" customWidth="1"/>
    <col min="8451" max="8451" width="3.7109375" style="519" customWidth="1"/>
    <col min="8452" max="8452" width="14" style="519" customWidth="1"/>
    <col min="8453" max="8453" width="5" style="519" customWidth="1"/>
    <col min="8454" max="8454" width="11.42578125" style="519" bestFit="1" customWidth="1"/>
    <col min="8455" max="8455" width="5.85546875" style="519" customWidth="1"/>
    <col min="8456" max="8456" width="11.42578125" style="519" bestFit="1" customWidth="1"/>
    <col min="8457" max="8457" width="21.28515625" style="519" customWidth="1"/>
    <col min="8458" max="8704" width="8.85546875" style="519"/>
    <col min="8705" max="8705" width="4" style="519" customWidth="1"/>
    <col min="8706" max="8706" width="6.28515625" style="519" customWidth="1"/>
    <col min="8707" max="8707" width="3.7109375" style="519" customWidth="1"/>
    <col min="8708" max="8708" width="14" style="519" customWidth="1"/>
    <col min="8709" max="8709" width="5" style="519" customWidth="1"/>
    <col min="8710" max="8710" width="11.42578125" style="519" bestFit="1" customWidth="1"/>
    <col min="8711" max="8711" width="5.85546875" style="519" customWidth="1"/>
    <col min="8712" max="8712" width="11.42578125" style="519" bestFit="1" customWidth="1"/>
    <col min="8713" max="8713" width="21.28515625" style="519" customWidth="1"/>
    <col min="8714" max="8960" width="8.85546875" style="519"/>
    <col min="8961" max="8961" width="4" style="519" customWidth="1"/>
    <col min="8962" max="8962" width="6.28515625" style="519" customWidth="1"/>
    <col min="8963" max="8963" width="3.7109375" style="519" customWidth="1"/>
    <col min="8964" max="8964" width="14" style="519" customWidth="1"/>
    <col min="8965" max="8965" width="5" style="519" customWidth="1"/>
    <col min="8966" max="8966" width="11.42578125" style="519" bestFit="1" customWidth="1"/>
    <col min="8967" max="8967" width="5.85546875" style="519" customWidth="1"/>
    <col min="8968" max="8968" width="11.42578125" style="519" bestFit="1" customWidth="1"/>
    <col min="8969" max="8969" width="21.28515625" style="519" customWidth="1"/>
    <col min="8970" max="9216" width="8.85546875" style="519"/>
    <col min="9217" max="9217" width="4" style="519" customWidth="1"/>
    <col min="9218" max="9218" width="6.28515625" style="519" customWidth="1"/>
    <col min="9219" max="9219" width="3.7109375" style="519" customWidth="1"/>
    <col min="9220" max="9220" width="14" style="519" customWidth="1"/>
    <col min="9221" max="9221" width="5" style="519" customWidth="1"/>
    <col min="9222" max="9222" width="11.42578125" style="519" bestFit="1" customWidth="1"/>
    <col min="9223" max="9223" width="5.85546875" style="519" customWidth="1"/>
    <col min="9224" max="9224" width="11.42578125" style="519" bestFit="1" customWidth="1"/>
    <col min="9225" max="9225" width="21.28515625" style="519" customWidth="1"/>
    <col min="9226" max="9472" width="8.85546875" style="519"/>
    <col min="9473" max="9473" width="4" style="519" customWidth="1"/>
    <col min="9474" max="9474" width="6.28515625" style="519" customWidth="1"/>
    <col min="9475" max="9475" width="3.7109375" style="519" customWidth="1"/>
    <col min="9476" max="9476" width="14" style="519" customWidth="1"/>
    <col min="9477" max="9477" width="5" style="519" customWidth="1"/>
    <col min="9478" max="9478" width="11.42578125" style="519" bestFit="1" customWidth="1"/>
    <col min="9479" max="9479" width="5.85546875" style="519" customWidth="1"/>
    <col min="9480" max="9480" width="11.42578125" style="519" bestFit="1" customWidth="1"/>
    <col min="9481" max="9481" width="21.28515625" style="519" customWidth="1"/>
    <col min="9482" max="9728" width="8.85546875" style="519"/>
    <col min="9729" max="9729" width="4" style="519" customWidth="1"/>
    <col min="9730" max="9730" width="6.28515625" style="519" customWidth="1"/>
    <col min="9731" max="9731" width="3.7109375" style="519" customWidth="1"/>
    <col min="9732" max="9732" width="14" style="519" customWidth="1"/>
    <col min="9733" max="9733" width="5" style="519" customWidth="1"/>
    <col min="9734" max="9734" width="11.42578125" style="519" bestFit="1" customWidth="1"/>
    <col min="9735" max="9735" width="5.85546875" style="519" customWidth="1"/>
    <col min="9736" max="9736" width="11.42578125" style="519" bestFit="1" customWidth="1"/>
    <col min="9737" max="9737" width="21.28515625" style="519" customWidth="1"/>
    <col min="9738" max="9984" width="8.85546875" style="519"/>
    <col min="9985" max="9985" width="4" style="519" customWidth="1"/>
    <col min="9986" max="9986" width="6.28515625" style="519" customWidth="1"/>
    <col min="9987" max="9987" width="3.7109375" style="519" customWidth="1"/>
    <col min="9988" max="9988" width="14" style="519" customWidth="1"/>
    <col min="9989" max="9989" width="5" style="519" customWidth="1"/>
    <col min="9990" max="9990" width="11.42578125" style="519" bestFit="1" customWidth="1"/>
    <col min="9991" max="9991" width="5.85546875" style="519" customWidth="1"/>
    <col min="9992" max="9992" width="11.42578125" style="519" bestFit="1" customWidth="1"/>
    <col min="9993" max="9993" width="21.28515625" style="519" customWidth="1"/>
    <col min="9994" max="10240" width="8.85546875" style="519"/>
    <col min="10241" max="10241" width="4" style="519" customWidth="1"/>
    <col min="10242" max="10242" width="6.28515625" style="519" customWidth="1"/>
    <col min="10243" max="10243" width="3.7109375" style="519" customWidth="1"/>
    <col min="10244" max="10244" width="14" style="519" customWidth="1"/>
    <col min="10245" max="10245" width="5" style="519" customWidth="1"/>
    <col min="10246" max="10246" width="11.42578125" style="519" bestFit="1" customWidth="1"/>
    <col min="10247" max="10247" width="5.85546875" style="519" customWidth="1"/>
    <col min="10248" max="10248" width="11.42578125" style="519" bestFit="1" customWidth="1"/>
    <col min="10249" max="10249" width="21.28515625" style="519" customWidth="1"/>
    <col min="10250" max="10496" width="8.85546875" style="519"/>
    <col min="10497" max="10497" width="4" style="519" customWidth="1"/>
    <col min="10498" max="10498" width="6.28515625" style="519" customWidth="1"/>
    <col min="10499" max="10499" width="3.7109375" style="519" customWidth="1"/>
    <col min="10500" max="10500" width="14" style="519" customWidth="1"/>
    <col min="10501" max="10501" width="5" style="519" customWidth="1"/>
    <col min="10502" max="10502" width="11.42578125" style="519" bestFit="1" customWidth="1"/>
    <col min="10503" max="10503" width="5.85546875" style="519" customWidth="1"/>
    <col min="10504" max="10504" width="11.42578125" style="519" bestFit="1" customWidth="1"/>
    <col min="10505" max="10505" width="21.28515625" style="519" customWidth="1"/>
    <col min="10506" max="10752" width="8.85546875" style="519"/>
    <col min="10753" max="10753" width="4" style="519" customWidth="1"/>
    <col min="10754" max="10754" width="6.28515625" style="519" customWidth="1"/>
    <col min="10755" max="10755" width="3.7109375" style="519" customWidth="1"/>
    <col min="10756" max="10756" width="14" style="519" customWidth="1"/>
    <col min="10757" max="10757" width="5" style="519" customWidth="1"/>
    <col min="10758" max="10758" width="11.42578125" style="519" bestFit="1" customWidth="1"/>
    <col min="10759" max="10759" width="5.85546875" style="519" customWidth="1"/>
    <col min="10760" max="10760" width="11.42578125" style="519" bestFit="1" customWidth="1"/>
    <col min="10761" max="10761" width="21.28515625" style="519" customWidth="1"/>
    <col min="10762" max="11008" width="8.85546875" style="519"/>
    <col min="11009" max="11009" width="4" style="519" customWidth="1"/>
    <col min="11010" max="11010" width="6.28515625" style="519" customWidth="1"/>
    <col min="11011" max="11011" width="3.7109375" style="519" customWidth="1"/>
    <col min="11012" max="11012" width="14" style="519" customWidth="1"/>
    <col min="11013" max="11013" width="5" style="519" customWidth="1"/>
    <col min="11014" max="11014" width="11.42578125" style="519" bestFit="1" customWidth="1"/>
    <col min="11015" max="11015" width="5.85546875" style="519" customWidth="1"/>
    <col min="11016" max="11016" width="11.42578125" style="519" bestFit="1" customWidth="1"/>
    <col min="11017" max="11017" width="21.28515625" style="519" customWidth="1"/>
    <col min="11018" max="11264" width="8.85546875" style="519"/>
    <col min="11265" max="11265" width="4" style="519" customWidth="1"/>
    <col min="11266" max="11266" width="6.28515625" style="519" customWidth="1"/>
    <col min="11267" max="11267" width="3.7109375" style="519" customWidth="1"/>
    <col min="11268" max="11268" width="14" style="519" customWidth="1"/>
    <col min="11269" max="11269" width="5" style="519" customWidth="1"/>
    <col min="11270" max="11270" width="11.42578125" style="519" bestFit="1" customWidth="1"/>
    <col min="11271" max="11271" width="5.85546875" style="519" customWidth="1"/>
    <col min="11272" max="11272" width="11.42578125" style="519" bestFit="1" customWidth="1"/>
    <col min="11273" max="11273" width="21.28515625" style="519" customWidth="1"/>
    <col min="11274" max="11520" width="8.85546875" style="519"/>
    <col min="11521" max="11521" width="4" style="519" customWidth="1"/>
    <col min="11522" max="11522" width="6.28515625" style="519" customWidth="1"/>
    <col min="11523" max="11523" width="3.7109375" style="519" customWidth="1"/>
    <col min="11524" max="11524" width="14" style="519" customWidth="1"/>
    <col min="11525" max="11525" width="5" style="519" customWidth="1"/>
    <col min="11526" max="11526" width="11.42578125" style="519" bestFit="1" customWidth="1"/>
    <col min="11527" max="11527" width="5.85546875" style="519" customWidth="1"/>
    <col min="11528" max="11528" width="11.42578125" style="519" bestFit="1" customWidth="1"/>
    <col min="11529" max="11529" width="21.28515625" style="519" customWidth="1"/>
    <col min="11530" max="11776" width="8.85546875" style="519"/>
    <col min="11777" max="11777" width="4" style="519" customWidth="1"/>
    <col min="11778" max="11778" width="6.28515625" style="519" customWidth="1"/>
    <col min="11779" max="11779" width="3.7109375" style="519" customWidth="1"/>
    <col min="11780" max="11780" width="14" style="519" customWidth="1"/>
    <col min="11781" max="11781" width="5" style="519" customWidth="1"/>
    <col min="11782" max="11782" width="11.42578125" style="519" bestFit="1" customWidth="1"/>
    <col min="11783" max="11783" width="5.85546875" style="519" customWidth="1"/>
    <col min="11784" max="11784" width="11.42578125" style="519" bestFit="1" customWidth="1"/>
    <col min="11785" max="11785" width="21.28515625" style="519" customWidth="1"/>
    <col min="11786" max="12032" width="8.85546875" style="519"/>
    <col min="12033" max="12033" width="4" style="519" customWidth="1"/>
    <col min="12034" max="12034" width="6.28515625" style="519" customWidth="1"/>
    <col min="12035" max="12035" width="3.7109375" style="519" customWidth="1"/>
    <col min="12036" max="12036" width="14" style="519" customWidth="1"/>
    <col min="12037" max="12037" width="5" style="519" customWidth="1"/>
    <col min="12038" max="12038" width="11.42578125" style="519" bestFit="1" customWidth="1"/>
    <col min="12039" max="12039" width="5.85546875" style="519" customWidth="1"/>
    <col min="12040" max="12040" width="11.42578125" style="519" bestFit="1" customWidth="1"/>
    <col min="12041" max="12041" width="21.28515625" style="519" customWidth="1"/>
    <col min="12042" max="12288" width="8.85546875" style="519"/>
    <col min="12289" max="12289" width="4" style="519" customWidth="1"/>
    <col min="12290" max="12290" width="6.28515625" style="519" customWidth="1"/>
    <col min="12291" max="12291" width="3.7109375" style="519" customWidth="1"/>
    <col min="12292" max="12292" width="14" style="519" customWidth="1"/>
    <col min="12293" max="12293" width="5" style="519" customWidth="1"/>
    <col min="12294" max="12294" width="11.42578125" style="519" bestFit="1" customWidth="1"/>
    <col min="12295" max="12295" width="5.85546875" style="519" customWidth="1"/>
    <col min="12296" max="12296" width="11.42578125" style="519" bestFit="1" customWidth="1"/>
    <col min="12297" max="12297" width="21.28515625" style="519" customWidth="1"/>
    <col min="12298" max="12544" width="8.85546875" style="519"/>
    <col min="12545" max="12545" width="4" style="519" customWidth="1"/>
    <col min="12546" max="12546" width="6.28515625" style="519" customWidth="1"/>
    <col min="12547" max="12547" width="3.7109375" style="519" customWidth="1"/>
    <col min="12548" max="12548" width="14" style="519" customWidth="1"/>
    <col min="12549" max="12549" width="5" style="519" customWidth="1"/>
    <col min="12550" max="12550" width="11.42578125" style="519" bestFit="1" customWidth="1"/>
    <col min="12551" max="12551" width="5.85546875" style="519" customWidth="1"/>
    <col min="12552" max="12552" width="11.42578125" style="519" bestFit="1" customWidth="1"/>
    <col min="12553" max="12553" width="21.28515625" style="519" customWidth="1"/>
    <col min="12554" max="12800" width="8.85546875" style="519"/>
    <col min="12801" max="12801" width="4" style="519" customWidth="1"/>
    <col min="12802" max="12802" width="6.28515625" style="519" customWidth="1"/>
    <col min="12803" max="12803" width="3.7109375" style="519" customWidth="1"/>
    <col min="12804" max="12804" width="14" style="519" customWidth="1"/>
    <col min="12805" max="12805" width="5" style="519" customWidth="1"/>
    <col min="12806" max="12806" width="11.42578125" style="519" bestFit="1" customWidth="1"/>
    <col min="12807" max="12807" width="5.85546875" style="519" customWidth="1"/>
    <col min="12808" max="12808" width="11.42578125" style="519" bestFit="1" customWidth="1"/>
    <col min="12809" max="12809" width="21.28515625" style="519" customWidth="1"/>
    <col min="12810" max="13056" width="8.85546875" style="519"/>
    <col min="13057" max="13057" width="4" style="519" customWidth="1"/>
    <col min="13058" max="13058" width="6.28515625" style="519" customWidth="1"/>
    <col min="13059" max="13059" width="3.7109375" style="519" customWidth="1"/>
    <col min="13060" max="13060" width="14" style="519" customWidth="1"/>
    <col min="13061" max="13061" width="5" style="519" customWidth="1"/>
    <col min="13062" max="13062" width="11.42578125" style="519" bestFit="1" customWidth="1"/>
    <col min="13063" max="13063" width="5.85546875" style="519" customWidth="1"/>
    <col min="13064" max="13064" width="11.42578125" style="519" bestFit="1" customWidth="1"/>
    <col min="13065" max="13065" width="21.28515625" style="519" customWidth="1"/>
    <col min="13066" max="13312" width="8.85546875" style="519"/>
    <col min="13313" max="13313" width="4" style="519" customWidth="1"/>
    <col min="13314" max="13314" width="6.28515625" style="519" customWidth="1"/>
    <col min="13315" max="13315" width="3.7109375" style="519" customWidth="1"/>
    <col min="13316" max="13316" width="14" style="519" customWidth="1"/>
    <col min="13317" max="13317" width="5" style="519" customWidth="1"/>
    <col min="13318" max="13318" width="11.42578125" style="519" bestFit="1" customWidth="1"/>
    <col min="13319" max="13319" width="5.85546875" style="519" customWidth="1"/>
    <col min="13320" max="13320" width="11.42578125" style="519" bestFit="1" customWidth="1"/>
    <col min="13321" max="13321" width="21.28515625" style="519" customWidth="1"/>
    <col min="13322" max="13568" width="8.85546875" style="519"/>
    <col min="13569" max="13569" width="4" style="519" customWidth="1"/>
    <col min="13570" max="13570" width="6.28515625" style="519" customWidth="1"/>
    <col min="13571" max="13571" width="3.7109375" style="519" customWidth="1"/>
    <col min="13572" max="13572" width="14" style="519" customWidth="1"/>
    <col min="13573" max="13573" width="5" style="519" customWidth="1"/>
    <col min="13574" max="13574" width="11.42578125" style="519" bestFit="1" customWidth="1"/>
    <col min="13575" max="13575" width="5.85546875" style="519" customWidth="1"/>
    <col min="13576" max="13576" width="11.42578125" style="519" bestFit="1" customWidth="1"/>
    <col min="13577" max="13577" width="21.28515625" style="519" customWidth="1"/>
    <col min="13578" max="13824" width="8.85546875" style="519"/>
    <col min="13825" max="13825" width="4" style="519" customWidth="1"/>
    <col min="13826" max="13826" width="6.28515625" style="519" customWidth="1"/>
    <col min="13827" max="13827" width="3.7109375" style="519" customWidth="1"/>
    <col min="13828" max="13828" width="14" style="519" customWidth="1"/>
    <col min="13829" max="13829" width="5" style="519" customWidth="1"/>
    <col min="13830" max="13830" width="11.42578125" style="519" bestFit="1" customWidth="1"/>
    <col min="13831" max="13831" width="5.85546875" style="519" customWidth="1"/>
    <col min="13832" max="13832" width="11.42578125" style="519" bestFit="1" customWidth="1"/>
    <col min="13833" max="13833" width="21.28515625" style="519" customWidth="1"/>
    <col min="13834" max="14080" width="8.85546875" style="519"/>
    <col min="14081" max="14081" width="4" style="519" customWidth="1"/>
    <col min="14082" max="14082" width="6.28515625" style="519" customWidth="1"/>
    <col min="14083" max="14083" width="3.7109375" style="519" customWidth="1"/>
    <col min="14084" max="14084" width="14" style="519" customWidth="1"/>
    <col min="14085" max="14085" width="5" style="519" customWidth="1"/>
    <col min="14086" max="14086" width="11.42578125" style="519" bestFit="1" customWidth="1"/>
    <col min="14087" max="14087" width="5.85546875" style="519" customWidth="1"/>
    <col min="14088" max="14088" width="11.42578125" style="519" bestFit="1" customWidth="1"/>
    <col min="14089" max="14089" width="21.28515625" style="519" customWidth="1"/>
    <col min="14090" max="14336" width="8.85546875" style="519"/>
    <col min="14337" max="14337" width="4" style="519" customWidth="1"/>
    <col min="14338" max="14338" width="6.28515625" style="519" customWidth="1"/>
    <col min="14339" max="14339" width="3.7109375" style="519" customWidth="1"/>
    <col min="14340" max="14340" width="14" style="519" customWidth="1"/>
    <col min="14341" max="14341" width="5" style="519" customWidth="1"/>
    <col min="14342" max="14342" width="11.42578125" style="519" bestFit="1" customWidth="1"/>
    <col min="14343" max="14343" width="5.85546875" style="519" customWidth="1"/>
    <col min="14344" max="14344" width="11.42578125" style="519" bestFit="1" customWidth="1"/>
    <col min="14345" max="14345" width="21.28515625" style="519" customWidth="1"/>
    <col min="14346" max="14592" width="8.85546875" style="519"/>
    <col min="14593" max="14593" width="4" style="519" customWidth="1"/>
    <col min="14594" max="14594" width="6.28515625" style="519" customWidth="1"/>
    <col min="14595" max="14595" width="3.7109375" style="519" customWidth="1"/>
    <col min="14596" max="14596" width="14" style="519" customWidth="1"/>
    <col min="14597" max="14597" width="5" style="519" customWidth="1"/>
    <col min="14598" max="14598" width="11.42578125" style="519" bestFit="1" customWidth="1"/>
    <col min="14599" max="14599" width="5.85546875" style="519" customWidth="1"/>
    <col min="14600" max="14600" width="11.42578125" style="519" bestFit="1" customWidth="1"/>
    <col min="14601" max="14601" width="21.28515625" style="519" customWidth="1"/>
    <col min="14602" max="14848" width="8.85546875" style="519"/>
    <col min="14849" max="14849" width="4" style="519" customWidth="1"/>
    <col min="14850" max="14850" width="6.28515625" style="519" customWidth="1"/>
    <col min="14851" max="14851" width="3.7109375" style="519" customWidth="1"/>
    <col min="14852" max="14852" width="14" style="519" customWidth="1"/>
    <col min="14853" max="14853" width="5" style="519" customWidth="1"/>
    <col min="14854" max="14854" width="11.42578125" style="519" bestFit="1" customWidth="1"/>
    <col min="14855" max="14855" width="5.85546875" style="519" customWidth="1"/>
    <col min="14856" max="14856" width="11.42578125" style="519" bestFit="1" customWidth="1"/>
    <col min="14857" max="14857" width="21.28515625" style="519" customWidth="1"/>
    <col min="14858" max="15104" width="8.85546875" style="519"/>
    <col min="15105" max="15105" width="4" style="519" customWidth="1"/>
    <col min="15106" max="15106" width="6.28515625" style="519" customWidth="1"/>
    <col min="15107" max="15107" width="3.7109375" style="519" customWidth="1"/>
    <col min="15108" max="15108" width="14" style="519" customWidth="1"/>
    <col min="15109" max="15109" width="5" style="519" customWidth="1"/>
    <col min="15110" max="15110" width="11.42578125" style="519" bestFit="1" customWidth="1"/>
    <col min="15111" max="15111" width="5.85546875" style="519" customWidth="1"/>
    <col min="15112" max="15112" width="11.42578125" style="519" bestFit="1" customWidth="1"/>
    <col min="15113" max="15113" width="21.28515625" style="519" customWidth="1"/>
    <col min="15114" max="15360" width="8.85546875" style="519"/>
    <col min="15361" max="15361" width="4" style="519" customWidth="1"/>
    <col min="15362" max="15362" width="6.28515625" style="519" customWidth="1"/>
    <col min="15363" max="15363" width="3.7109375" style="519" customWidth="1"/>
    <col min="15364" max="15364" width="14" style="519" customWidth="1"/>
    <col min="15365" max="15365" width="5" style="519" customWidth="1"/>
    <col min="15366" max="15366" width="11.42578125" style="519" bestFit="1" customWidth="1"/>
    <col min="15367" max="15367" width="5.85546875" style="519" customWidth="1"/>
    <col min="15368" max="15368" width="11.42578125" style="519" bestFit="1" customWidth="1"/>
    <col min="15369" max="15369" width="21.28515625" style="519" customWidth="1"/>
    <col min="15370" max="15616" width="8.85546875" style="519"/>
    <col min="15617" max="15617" width="4" style="519" customWidth="1"/>
    <col min="15618" max="15618" width="6.28515625" style="519" customWidth="1"/>
    <col min="15619" max="15619" width="3.7109375" style="519" customWidth="1"/>
    <col min="15620" max="15620" width="14" style="519" customWidth="1"/>
    <col min="15621" max="15621" width="5" style="519" customWidth="1"/>
    <col min="15622" max="15622" width="11.42578125" style="519" bestFit="1" customWidth="1"/>
    <col min="15623" max="15623" width="5.85546875" style="519" customWidth="1"/>
    <col min="15624" max="15624" width="11.42578125" style="519" bestFit="1" customWidth="1"/>
    <col min="15625" max="15625" width="21.28515625" style="519" customWidth="1"/>
    <col min="15626" max="15872" width="8.85546875" style="519"/>
    <col min="15873" max="15873" width="4" style="519" customWidth="1"/>
    <col min="15874" max="15874" width="6.28515625" style="519" customWidth="1"/>
    <col min="15875" max="15875" width="3.7109375" style="519" customWidth="1"/>
    <col min="15876" max="15876" width="14" style="519" customWidth="1"/>
    <col min="15877" max="15877" width="5" style="519" customWidth="1"/>
    <col min="15878" max="15878" width="11.42578125" style="519" bestFit="1" customWidth="1"/>
    <col min="15879" max="15879" width="5.85546875" style="519" customWidth="1"/>
    <col min="15880" max="15880" width="11.42578125" style="519" bestFit="1" customWidth="1"/>
    <col min="15881" max="15881" width="21.28515625" style="519" customWidth="1"/>
    <col min="15882" max="16128" width="8.85546875" style="519"/>
    <col min="16129" max="16129" width="4" style="519" customWidth="1"/>
    <col min="16130" max="16130" width="6.28515625" style="519" customWidth="1"/>
    <col min="16131" max="16131" width="3.7109375" style="519" customWidth="1"/>
    <col min="16132" max="16132" width="14" style="519" customWidth="1"/>
    <col min="16133" max="16133" width="5" style="519" customWidth="1"/>
    <col min="16134" max="16134" width="11.42578125" style="519" bestFit="1" customWidth="1"/>
    <col min="16135" max="16135" width="5.85546875" style="519" customWidth="1"/>
    <col min="16136" max="16136" width="11.42578125" style="519" bestFit="1" customWidth="1"/>
    <col min="16137" max="16137" width="21.28515625" style="519" customWidth="1"/>
    <col min="16138" max="16384" width="8.85546875" style="519"/>
  </cols>
  <sheetData>
    <row r="1" spans="1:9" ht="25.5">
      <c r="A1" s="516"/>
      <c r="B1" s="516" t="s">
        <v>344</v>
      </c>
      <c r="C1" s="516" t="s">
        <v>345</v>
      </c>
      <c r="D1" s="517" t="s">
        <v>346</v>
      </c>
      <c r="E1" s="517" t="s">
        <v>345</v>
      </c>
      <c r="F1" s="517" t="s">
        <v>347</v>
      </c>
      <c r="G1" s="517" t="s">
        <v>348</v>
      </c>
      <c r="H1" s="518" t="s">
        <v>349</v>
      </c>
      <c r="I1" s="516" t="s">
        <v>350</v>
      </c>
    </row>
    <row r="2" spans="1:9" ht="9" hidden="1" customHeight="1">
      <c r="A2" s="520"/>
      <c r="B2" s="516"/>
      <c r="C2" s="520"/>
      <c r="D2" s="521"/>
      <c r="E2" s="522"/>
      <c r="F2" s="521"/>
      <c r="G2" s="521"/>
      <c r="H2" s="521"/>
      <c r="I2" s="523"/>
    </row>
    <row r="3" spans="1:9" ht="38.25">
      <c r="A3" s="520">
        <v>1</v>
      </c>
      <c r="B3" s="516">
        <v>199</v>
      </c>
      <c r="C3" s="516">
        <v>0</v>
      </c>
      <c r="D3" s="524">
        <v>495</v>
      </c>
      <c r="E3" s="517">
        <v>11</v>
      </c>
      <c r="F3" s="524">
        <v>495</v>
      </c>
      <c r="G3" s="524">
        <v>1</v>
      </c>
      <c r="H3" s="524">
        <v>495</v>
      </c>
      <c r="I3" s="525" t="s">
        <v>351</v>
      </c>
    </row>
    <row r="4" spans="1:9" ht="29.45" customHeight="1">
      <c r="A4" s="520">
        <v>2</v>
      </c>
      <c r="B4" s="516">
        <v>199</v>
      </c>
      <c r="C4" s="516">
        <v>11</v>
      </c>
      <c r="D4" s="524">
        <v>1500</v>
      </c>
      <c r="E4" s="517">
        <v>13</v>
      </c>
      <c r="F4" s="524">
        <v>1500</v>
      </c>
      <c r="G4" s="524">
        <v>105</v>
      </c>
      <c r="H4" s="524"/>
      <c r="I4" s="525" t="s">
        <v>352</v>
      </c>
    </row>
    <row r="5" spans="1:9" ht="25.5">
      <c r="A5" s="520">
        <v>3</v>
      </c>
      <c r="B5" s="516">
        <v>199</v>
      </c>
      <c r="C5" s="516">
        <v>11</v>
      </c>
      <c r="D5" s="524">
        <v>1500</v>
      </c>
      <c r="E5" s="517">
        <v>13</v>
      </c>
      <c r="F5" s="524">
        <v>1500</v>
      </c>
      <c r="G5" s="524">
        <v>821</v>
      </c>
      <c r="H5" s="524"/>
      <c r="I5" s="525" t="s">
        <v>352</v>
      </c>
    </row>
    <row r="6" spans="1:9" ht="38.25">
      <c r="A6" s="520">
        <v>4</v>
      </c>
      <c r="B6" s="516">
        <v>199</v>
      </c>
      <c r="C6" s="516">
        <v>11</v>
      </c>
      <c r="D6" s="524">
        <v>1734</v>
      </c>
      <c r="E6" s="517">
        <v>23</v>
      </c>
      <c r="F6" s="524">
        <v>784</v>
      </c>
      <c r="G6" s="524">
        <v>108</v>
      </c>
      <c r="H6" s="524"/>
      <c r="I6" s="525" t="s">
        <v>355</v>
      </c>
    </row>
    <row r="7" spans="1:9">
      <c r="A7" s="520"/>
      <c r="B7" s="516"/>
      <c r="C7" s="516"/>
      <c r="D7" s="524"/>
      <c r="E7" s="517">
        <v>13</v>
      </c>
      <c r="F7" s="524">
        <v>125</v>
      </c>
      <c r="G7" s="524">
        <v>108</v>
      </c>
      <c r="H7" s="524"/>
      <c r="I7" s="525"/>
    </row>
    <row r="8" spans="1:9">
      <c r="A8" s="520"/>
      <c r="B8" s="516"/>
      <c r="C8" s="516"/>
      <c r="D8" s="524"/>
      <c r="E8" s="517">
        <v>36</v>
      </c>
      <c r="F8" s="524">
        <v>825</v>
      </c>
      <c r="G8" s="524">
        <v>108</v>
      </c>
      <c r="H8" s="524"/>
      <c r="I8" s="525"/>
    </row>
    <row r="9" spans="1:9" ht="25.5">
      <c r="A9" s="520">
        <v>5</v>
      </c>
      <c r="B9" s="516">
        <v>199</v>
      </c>
      <c r="C9" s="516">
        <v>11</v>
      </c>
      <c r="D9" s="524">
        <v>1774</v>
      </c>
      <c r="E9" s="517">
        <v>12</v>
      </c>
      <c r="F9" s="524">
        <v>1774</v>
      </c>
      <c r="G9" s="524">
        <v>103</v>
      </c>
      <c r="H9" s="524"/>
      <c r="I9" s="525" t="s">
        <v>356</v>
      </c>
    </row>
    <row r="10" spans="1:9" ht="25.5">
      <c r="A10" s="520">
        <v>6</v>
      </c>
      <c r="B10" s="516">
        <v>199</v>
      </c>
      <c r="C10" s="516">
        <v>31</v>
      </c>
      <c r="D10" s="524">
        <v>1500</v>
      </c>
      <c r="E10" s="517"/>
      <c r="F10" s="524"/>
      <c r="G10" s="524"/>
      <c r="H10" s="524"/>
      <c r="I10" s="525" t="s">
        <v>357</v>
      </c>
    </row>
    <row r="11" spans="1:9">
      <c r="A11" s="520"/>
      <c r="B11" s="516">
        <v>199</v>
      </c>
      <c r="C11" s="516">
        <v>11</v>
      </c>
      <c r="D11" s="524">
        <v>1500</v>
      </c>
      <c r="E11" s="517"/>
      <c r="F11" s="524"/>
      <c r="G11" s="524"/>
      <c r="H11" s="524"/>
      <c r="I11" s="525"/>
    </row>
    <row r="12" spans="1:9">
      <c r="A12" s="520"/>
      <c r="B12" s="516"/>
      <c r="C12" s="516"/>
      <c r="D12" s="524"/>
      <c r="E12" s="517">
        <v>31</v>
      </c>
      <c r="F12" s="524">
        <v>3000</v>
      </c>
      <c r="G12" s="524">
        <v>41</v>
      </c>
      <c r="H12" s="524"/>
      <c r="I12" s="525"/>
    </row>
    <row r="13" spans="1:9" ht="40.5" customHeight="1">
      <c r="A13" s="520">
        <v>7</v>
      </c>
      <c r="B13" s="516">
        <v>199</v>
      </c>
      <c r="C13" s="516">
        <v>11</v>
      </c>
      <c r="D13" s="524">
        <v>3700</v>
      </c>
      <c r="E13" s="517">
        <v>51</v>
      </c>
      <c r="F13" s="524">
        <v>3700</v>
      </c>
      <c r="G13" s="524">
        <v>821</v>
      </c>
      <c r="H13" s="524"/>
      <c r="I13" s="525" t="s">
        <v>358</v>
      </c>
    </row>
    <row r="14" spans="1:9" ht="63.75">
      <c r="A14" s="520">
        <v>8</v>
      </c>
      <c r="B14" s="516">
        <v>199</v>
      </c>
      <c r="C14" s="516">
        <v>11</v>
      </c>
      <c r="D14" s="524">
        <v>5400</v>
      </c>
      <c r="E14" s="517">
        <v>21</v>
      </c>
      <c r="F14" s="524">
        <v>5400</v>
      </c>
      <c r="G14" s="524">
        <v>823</v>
      </c>
      <c r="H14" s="524"/>
      <c r="I14" s="525" t="s">
        <v>359</v>
      </c>
    </row>
    <row r="15" spans="1:9" ht="51">
      <c r="A15" s="520">
        <v>9</v>
      </c>
      <c r="B15" s="516">
        <v>199</v>
      </c>
      <c r="C15" s="516">
        <v>81</v>
      </c>
      <c r="D15" s="524">
        <v>100000</v>
      </c>
      <c r="E15" s="517">
        <v>51</v>
      </c>
      <c r="F15" s="524">
        <v>100000</v>
      </c>
      <c r="G15" s="524">
        <v>103</v>
      </c>
      <c r="H15" s="524"/>
      <c r="I15" s="525" t="s">
        <v>360</v>
      </c>
    </row>
    <row r="16" spans="1:9" ht="18.600000000000001" customHeight="1">
      <c r="A16" s="520"/>
      <c r="B16" s="516"/>
      <c r="C16" s="516"/>
      <c r="D16" s="524"/>
      <c r="E16" s="517"/>
      <c r="F16" s="524"/>
      <c r="G16" s="524"/>
      <c r="H16" s="524"/>
      <c r="I16" s="525"/>
    </row>
    <row r="17" spans="1:9" ht="27" hidden="1" customHeight="1">
      <c r="A17" s="520"/>
      <c r="B17" s="517"/>
      <c r="C17" s="516"/>
      <c r="D17" s="526"/>
      <c r="E17" s="517"/>
      <c r="F17" s="527"/>
      <c r="G17" s="527"/>
      <c r="H17" s="526"/>
      <c r="I17" s="528"/>
    </row>
    <row r="18" spans="1:9" ht="15.75" customHeight="1">
      <c r="A18" s="520"/>
      <c r="B18" s="517"/>
      <c r="C18" s="516"/>
      <c r="D18" s="526"/>
      <c r="E18" s="517"/>
      <c r="F18" s="527"/>
      <c r="G18" s="527"/>
      <c r="H18" s="526"/>
      <c r="I18" s="525"/>
    </row>
    <row r="19" spans="1:9" ht="51.75" hidden="1" customHeight="1">
      <c r="A19" s="520">
        <v>14</v>
      </c>
      <c r="B19" s="517"/>
      <c r="C19" s="516"/>
      <c r="D19" s="526"/>
      <c r="E19" s="517"/>
      <c r="F19" s="527"/>
      <c r="G19" s="527"/>
      <c r="H19" s="526"/>
      <c r="I19" s="525"/>
    </row>
    <row r="20" spans="1:9" ht="18.75" hidden="1" customHeight="1">
      <c r="A20" s="520"/>
      <c r="B20" s="517"/>
      <c r="C20" s="516"/>
      <c r="D20" s="526"/>
      <c r="E20" s="517"/>
      <c r="F20" s="527"/>
      <c r="G20" s="527"/>
      <c r="H20" s="526"/>
      <c r="I20" s="525"/>
    </row>
    <row r="21" spans="1:9" ht="51" hidden="1" customHeight="1">
      <c r="A21" s="520">
        <v>15</v>
      </c>
      <c r="B21" s="517"/>
      <c r="C21" s="516"/>
      <c r="D21" s="526"/>
      <c r="E21" s="517"/>
      <c r="F21" s="527"/>
      <c r="G21" s="527"/>
      <c r="H21" s="526"/>
      <c r="I21" s="525"/>
    </row>
    <row r="22" spans="1:9" ht="27" hidden="1" customHeight="1">
      <c r="A22" s="520"/>
      <c r="B22" s="517"/>
      <c r="C22" s="516"/>
      <c r="D22" s="526"/>
      <c r="E22" s="517"/>
      <c r="F22" s="527"/>
      <c r="G22" s="527"/>
      <c r="H22" s="526"/>
      <c r="I22" s="525"/>
    </row>
    <row r="23" spans="1:9" ht="60.75" hidden="1" customHeight="1">
      <c r="A23" s="520">
        <v>16</v>
      </c>
      <c r="B23" s="517"/>
      <c r="C23" s="516"/>
      <c r="D23" s="526"/>
      <c r="E23" s="517"/>
      <c r="F23" s="527"/>
      <c r="G23" s="527"/>
      <c r="H23" s="526"/>
      <c r="I23" s="525"/>
    </row>
    <row r="24" spans="1:9" ht="36" hidden="1" customHeight="1">
      <c r="A24" s="520">
        <v>17</v>
      </c>
      <c r="B24" s="517"/>
      <c r="C24" s="516"/>
      <c r="D24" s="526"/>
      <c r="E24" s="517"/>
      <c r="F24" s="527"/>
      <c r="G24" s="527"/>
      <c r="H24" s="526"/>
      <c r="I24" s="525"/>
    </row>
    <row r="25" spans="1:9" ht="15" hidden="1" customHeight="1">
      <c r="A25" s="520"/>
      <c r="B25" s="517"/>
      <c r="C25" s="516"/>
      <c r="D25" s="526"/>
      <c r="E25" s="517"/>
      <c r="F25" s="527"/>
      <c r="G25" s="527"/>
      <c r="H25" s="526"/>
      <c r="I25" s="525"/>
    </row>
    <row r="26" spans="1:9" ht="49.5" hidden="1" customHeight="1">
      <c r="A26" s="520">
        <v>18</v>
      </c>
      <c r="B26" s="517"/>
      <c r="C26" s="516"/>
      <c r="D26" s="526"/>
      <c r="E26" s="517"/>
      <c r="F26" s="527"/>
      <c r="G26" s="527"/>
      <c r="H26" s="526"/>
      <c r="I26" s="525"/>
    </row>
    <row r="27" spans="1:9" ht="15.75" hidden="1" customHeight="1">
      <c r="A27" s="520"/>
      <c r="B27" s="517"/>
      <c r="C27" s="516"/>
      <c r="D27" s="526"/>
      <c r="E27" s="517"/>
      <c r="F27" s="527"/>
      <c r="G27" s="527"/>
      <c r="H27" s="526"/>
      <c r="I27" s="525"/>
    </row>
    <row r="28" spans="1:9" ht="39" hidden="1" customHeight="1">
      <c r="A28" s="520">
        <v>19</v>
      </c>
      <c r="B28" s="517"/>
      <c r="C28" s="516"/>
      <c r="D28" s="526"/>
      <c r="E28" s="517"/>
      <c r="F28" s="527"/>
      <c r="G28" s="527"/>
      <c r="H28" s="526"/>
      <c r="I28" s="525"/>
    </row>
    <row r="29" spans="1:9" ht="39" hidden="1" customHeight="1">
      <c r="A29" s="520"/>
      <c r="B29" s="517"/>
      <c r="C29" s="516"/>
      <c r="D29" s="526"/>
      <c r="E29" s="517"/>
      <c r="F29" s="527"/>
      <c r="G29" s="527"/>
      <c r="H29" s="526"/>
      <c r="I29" s="525"/>
    </row>
    <row r="30" spans="1:9" ht="27" hidden="1" customHeight="1">
      <c r="A30" s="520"/>
      <c r="B30" s="517"/>
      <c r="C30" s="516"/>
      <c r="D30" s="526"/>
      <c r="E30" s="517"/>
      <c r="F30" s="527"/>
      <c r="G30" s="527"/>
      <c r="H30" s="526"/>
      <c r="I30" s="525"/>
    </row>
    <row r="31" spans="1:9" ht="45" hidden="1" customHeight="1">
      <c r="A31" s="520">
        <v>20</v>
      </c>
      <c r="B31" s="517"/>
      <c r="C31" s="516"/>
      <c r="D31" s="526"/>
      <c r="E31" s="517"/>
      <c r="F31" s="527"/>
      <c r="G31" s="527"/>
      <c r="H31" s="526"/>
      <c r="I31" s="525"/>
    </row>
    <row r="32" spans="1:9" ht="23.25" hidden="1" customHeight="1">
      <c r="A32" s="520"/>
      <c r="B32" s="517"/>
      <c r="C32" s="516"/>
      <c r="D32" s="526"/>
      <c r="E32" s="517"/>
      <c r="F32" s="527"/>
      <c r="G32" s="527"/>
      <c r="H32" s="526"/>
      <c r="I32" s="525"/>
    </row>
    <row r="33" spans="1:9" ht="37.5" hidden="1" customHeight="1">
      <c r="A33" s="520">
        <v>21</v>
      </c>
      <c r="B33" s="517"/>
      <c r="C33" s="516"/>
      <c r="D33" s="526"/>
      <c r="E33" s="517"/>
      <c r="F33" s="527"/>
      <c r="G33" s="527"/>
      <c r="H33" s="526"/>
      <c r="I33" s="525"/>
    </row>
    <row r="34" spans="1:9" ht="23.25" hidden="1" customHeight="1">
      <c r="A34" s="520"/>
      <c r="B34" s="517"/>
      <c r="C34" s="516"/>
      <c r="D34" s="526"/>
      <c r="E34" s="517"/>
      <c r="F34" s="527"/>
      <c r="G34" s="527"/>
      <c r="H34" s="526"/>
      <c r="I34" s="525"/>
    </row>
    <row r="35" spans="1:9" ht="54.75" hidden="1" customHeight="1">
      <c r="A35" s="520">
        <v>22</v>
      </c>
      <c r="B35" s="517"/>
      <c r="C35" s="516"/>
      <c r="D35" s="526"/>
      <c r="E35" s="517"/>
      <c r="F35" s="527"/>
      <c r="G35" s="527"/>
      <c r="H35" s="526"/>
      <c r="I35" s="525"/>
    </row>
    <row r="36" spans="1:9" ht="23.25" hidden="1" customHeight="1">
      <c r="A36" s="520"/>
      <c r="B36" s="517"/>
      <c r="C36" s="516"/>
      <c r="D36" s="526"/>
      <c r="E36" s="517"/>
      <c r="F36" s="527"/>
      <c r="G36" s="527"/>
      <c r="H36" s="526"/>
      <c r="I36" s="525"/>
    </row>
    <row r="37" spans="1:9" ht="75.75" hidden="1" customHeight="1">
      <c r="A37" s="520">
        <v>23</v>
      </c>
      <c r="B37" s="517"/>
      <c r="C37" s="516"/>
      <c r="D37" s="526"/>
      <c r="E37" s="529"/>
      <c r="F37" s="530"/>
      <c r="G37" s="527"/>
      <c r="H37" s="526"/>
      <c r="I37" s="525"/>
    </row>
    <row r="38" spans="1:9" ht="46.5" customHeight="1">
      <c r="A38" s="520"/>
      <c r="B38" s="516"/>
      <c r="C38" s="522" t="s">
        <v>353</v>
      </c>
      <c r="D38" s="526">
        <f>SUM(D3:D37)</f>
        <v>119103</v>
      </c>
      <c r="E38" s="531"/>
      <c r="F38" s="526">
        <f>SUM(F3:F37)</f>
        <v>119103</v>
      </c>
      <c r="G38" s="526"/>
      <c r="H38" s="526">
        <f>SUM(H3:H37)</f>
        <v>495</v>
      </c>
      <c r="I38" s="525"/>
    </row>
    <row r="39" spans="1:9" ht="38.25" hidden="1" customHeight="1">
      <c r="A39" s="532"/>
      <c r="B39" s="533"/>
      <c r="C39" s="533"/>
      <c r="D39" s="534"/>
      <c r="E39" s="533"/>
      <c r="F39" s="535"/>
      <c r="G39" s="535"/>
      <c r="H39" s="536"/>
      <c r="I39" s="537"/>
    </row>
    <row r="40" spans="1:9" ht="38.25" hidden="1" customHeight="1">
      <c r="A40" s="538" t="s">
        <v>354</v>
      </c>
      <c r="B40" s="539"/>
      <c r="C40" s="539"/>
      <c r="D40" s="540"/>
      <c r="E40" s="541"/>
      <c r="F40" s="542"/>
      <c r="G40" s="542"/>
      <c r="H40" s="542"/>
      <c r="I40" s="543"/>
    </row>
    <row r="41" spans="1:9" ht="56.25" hidden="1" customHeight="1">
      <c r="A41" s="532"/>
      <c r="B41" s="532"/>
      <c r="C41" s="544"/>
      <c r="D41" s="535"/>
      <c r="E41" s="533"/>
      <c r="F41" s="535"/>
      <c r="G41" s="535"/>
      <c r="H41" s="535"/>
      <c r="I41" s="545"/>
    </row>
    <row r="42" spans="1:9" ht="38.25" hidden="1" customHeight="1"/>
    <row r="43" spans="1:9" ht="51.75" hidden="1" customHeight="1"/>
    <row r="44" spans="1:9" ht="45" customHeight="1"/>
    <row r="45" spans="1:9" ht="51.75" customHeight="1"/>
    <row r="46" spans="1:9" ht="51.75" customHeight="1"/>
    <row r="47" spans="1:9" ht="51.75" customHeight="1"/>
    <row r="48" spans="1:9" ht="51.75" customHeight="1"/>
    <row r="49" ht="51.75" customHeight="1"/>
    <row r="50" ht="51.75" customHeight="1"/>
    <row r="51" ht="51.75" customHeight="1"/>
    <row r="52" ht="51.75" customHeight="1"/>
    <row r="53" ht="63" customHeight="1"/>
    <row r="54" ht="28.5" customHeight="1"/>
    <row r="55" ht="50.25" customHeight="1"/>
    <row r="56" ht="10.5" customHeight="1"/>
  </sheetData>
  <pageMargins left="0.75" right="0.75" top="1.5" bottom="1" header="0.5" footer="0.5"/>
  <pageSetup fitToHeight="10" orientation="portrait" r:id="rId1"/>
  <headerFooter>
    <oddHeader>&amp;CLittle Elm Independent School District
General Fund 
Budget Amendments
December 2014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activeCell="D41" sqref="D41"/>
    </sheetView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317</v>
      </c>
    </row>
    <row r="2" spans="1:10">
      <c r="D2" s="5"/>
      <c r="E2" s="5"/>
      <c r="F2" s="6" t="s">
        <v>319</v>
      </c>
      <c r="G2" s="5"/>
      <c r="H2" s="5"/>
      <c r="I2" s="3"/>
      <c r="J2" s="3"/>
    </row>
    <row r="3" spans="1:10">
      <c r="D3" s="3"/>
      <c r="E3" s="3"/>
      <c r="F3" s="7" t="s">
        <v>322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23134773</v>
      </c>
      <c r="E10" s="186">
        <v>22310</v>
      </c>
      <c r="F10" s="187">
        <f>D10+E10</f>
        <v>23157083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49483841</v>
      </c>
      <c r="E13" s="452">
        <f>SUM(E10:E12)</f>
        <v>22310</v>
      </c>
      <c r="F13" s="190">
        <f>SUM(F10:F12)</f>
        <v>49506151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30006897</v>
      </c>
      <c r="E16" s="200">
        <v>399552</v>
      </c>
      <c r="F16" s="462">
        <f t="shared" ref="F16:F35" si="0">D16+E16</f>
        <v>30406449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659590</v>
      </c>
      <c r="E17" s="189">
        <v>-500</v>
      </c>
      <c r="F17" s="187">
        <f t="shared" si="0"/>
        <v>659090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519242</v>
      </c>
      <c r="E18" s="189">
        <v>2035</v>
      </c>
      <c r="F18" s="487">
        <f t="shared" si="0"/>
        <v>521277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554163</v>
      </c>
      <c r="E19" s="189">
        <v>-7000</v>
      </c>
      <c r="F19" s="187">
        <f t="shared" si="0"/>
        <v>547163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3123288</v>
      </c>
      <c r="E20" s="189">
        <v>9381</v>
      </c>
      <c r="F20" s="187">
        <f t="shared" si="0"/>
        <v>3132669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1681237</v>
      </c>
      <c r="E21" s="189">
        <v>1319</v>
      </c>
      <c r="F21" s="187">
        <f t="shared" si="0"/>
        <v>1682556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49000</v>
      </c>
      <c r="E22" s="189">
        <v>-36000</v>
      </c>
      <c r="F22" s="187">
        <f t="shared" si="0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1548150</v>
      </c>
      <c r="E24" s="189"/>
      <c r="F24" s="187">
        <f t="shared" si="0"/>
        <v>1548150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1348014</v>
      </c>
      <c r="E26" s="189">
        <v>6936</v>
      </c>
      <c r="F26" s="187">
        <f t="shared" si="0"/>
        <v>1354950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1900189</v>
      </c>
      <c r="E27" s="189"/>
      <c r="F27" s="187">
        <f t="shared" si="0"/>
        <v>1900189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5082853</v>
      </c>
      <c r="E28" s="189"/>
      <c r="F28" s="187">
        <f t="shared" si="0"/>
        <v>5082853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/>
      <c r="F29" s="187">
        <f t="shared" si="0"/>
        <v>482604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964125</v>
      </c>
      <c r="E30" s="189"/>
      <c r="F30" s="187">
        <f t="shared" si="0"/>
        <v>964125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0</v>
      </c>
      <c r="E33" s="189">
        <v>1256572</v>
      </c>
      <c r="F33" s="187">
        <f t="shared" si="0"/>
        <v>1256572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49631615</v>
      </c>
      <c r="E36" s="191">
        <f>SUM(E16:E35)</f>
        <v>1632295</v>
      </c>
      <c r="F36" s="190">
        <f>SUM(F16:F35)</f>
        <v>51263910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325</v>
      </c>
      <c r="D41" s="497">
        <v>21653740</v>
      </c>
      <c r="E41" s="192"/>
      <c r="F41" s="193">
        <f>D41</f>
        <v>21653740</v>
      </c>
      <c r="G41" s="18"/>
      <c r="H41" s="495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342</v>
      </c>
      <c r="B44" s="20"/>
      <c r="D44" s="196">
        <f>D13-D36+D38+D41</f>
        <v>21505966</v>
      </c>
      <c r="E44" s="197">
        <f>F44-D44</f>
        <v>-1609985</v>
      </c>
      <c r="F44" s="198">
        <f>F13-F36+F38-F39+F41</f>
        <v>19895981</v>
      </c>
      <c r="G44" s="11"/>
      <c r="H44" s="214">
        <f>H13-H32+H38+H39+H41</f>
        <v>3710704</v>
      </c>
      <c r="I44" s="214">
        <f t="shared" ref="I44" si="2">I13-I32+I38+I39+I41</f>
        <v>0</v>
      </c>
      <c r="J44" s="214">
        <f>J13-J32+J38+J39+J41</f>
        <v>3710704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8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316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October 31,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3">D65+E65</f>
        <v>0</v>
      </c>
      <c r="G65" s="206"/>
      <c r="H65" s="206">
        <v>0</v>
      </c>
      <c r="I65" s="222"/>
      <c r="J65" s="206">
        <f t="shared" ref="J65:J84" si="4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3"/>
        <v>0</v>
      </c>
      <c r="G66" s="206"/>
      <c r="H66" s="206">
        <v>0</v>
      </c>
      <c r="I66" s="222"/>
      <c r="J66" s="206">
        <f t="shared" si="4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3"/>
        <v>0</v>
      </c>
      <c r="G67" s="206"/>
      <c r="H67" s="206">
        <v>0</v>
      </c>
      <c r="I67" s="222"/>
      <c r="J67" s="206">
        <f t="shared" si="4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3"/>
        <v>0</v>
      </c>
      <c r="G68" s="206"/>
      <c r="H68" s="206">
        <v>0</v>
      </c>
      <c r="I68" s="222"/>
      <c r="J68" s="206">
        <f t="shared" si="4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3"/>
        <v>0</v>
      </c>
      <c r="G69" s="206"/>
      <c r="H69" s="206">
        <v>0</v>
      </c>
      <c r="I69" s="222"/>
      <c r="J69" s="206">
        <f t="shared" si="4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3"/>
        <v>0</v>
      </c>
      <c r="G70" s="206"/>
      <c r="H70" s="206">
        <v>0</v>
      </c>
      <c r="I70" s="222"/>
      <c r="J70" s="206">
        <f t="shared" si="4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3"/>
        <v>0</v>
      </c>
      <c r="G71" s="206"/>
      <c r="H71" s="206">
        <v>0</v>
      </c>
      <c r="I71" s="222"/>
      <c r="J71" s="206">
        <f t="shared" si="4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3"/>
        <v>0</v>
      </c>
      <c r="G72" s="206"/>
      <c r="H72" s="206">
        <v>0</v>
      </c>
      <c r="I72" s="222"/>
      <c r="J72" s="206">
        <f t="shared" si="4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3"/>
        <v>0</v>
      </c>
      <c r="G73" s="206"/>
      <c r="H73" s="206">
        <v>0</v>
      </c>
      <c r="I73" s="222"/>
      <c r="J73" s="206">
        <f t="shared" si="4"/>
        <v>0</v>
      </c>
      <c r="K73" s="217"/>
    </row>
    <row r="74" spans="1:11">
      <c r="A74" t="s">
        <v>23</v>
      </c>
      <c r="D74" s="206">
        <v>2849784</v>
      </c>
      <c r="E74" s="223"/>
      <c r="F74" s="206">
        <f t="shared" si="3"/>
        <v>2849784</v>
      </c>
      <c r="G74" s="206"/>
      <c r="H74" s="206">
        <v>0</v>
      </c>
      <c r="I74" s="223"/>
      <c r="J74" s="206">
        <f t="shared" si="4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3"/>
        <v>0</v>
      </c>
      <c r="G75" s="206"/>
      <c r="H75" s="206">
        <v>0</v>
      </c>
      <c r="I75" s="222"/>
      <c r="J75" s="206">
        <f t="shared" si="4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3"/>
        <v>0</v>
      </c>
      <c r="G76" s="206"/>
      <c r="H76" s="206">
        <v>0</v>
      </c>
      <c r="I76" s="222"/>
      <c r="J76" s="206">
        <f t="shared" si="4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3"/>
        <v>0</v>
      </c>
      <c r="G77" s="206"/>
      <c r="H77" s="206">
        <v>0</v>
      </c>
      <c r="I77" s="223"/>
      <c r="J77" s="206">
        <f t="shared" si="4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3"/>
        <v>0</v>
      </c>
      <c r="G78" s="206"/>
      <c r="H78" s="206">
        <v>0</v>
      </c>
      <c r="I78" s="222"/>
      <c r="J78" s="206">
        <f t="shared" si="4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3"/>
        <v>0</v>
      </c>
      <c r="G79" s="206"/>
      <c r="H79" s="206">
        <v>0</v>
      </c>
      <c r="I79" s="222"/>
      <c r="J79" s="206">
        <f t="shared" si="4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3"/>
        <v>0</v>
      </c>
      <c r="G80" s="206"/>
      <c r="H80" s="206">
        <v>579032</v>
      </c>
      <c r="I80" s="222"/>
      <c r="J80" s="206">
        <f t="shared" si="4"/>
        <v>579032</v>
      </c>
      <c r="K80" s="217"/>
    </row>
    <row r="81" spans="1:11">
      <c r="A81" t="s">
        <v>30</v>
      </c>
      <c r="D81" s="206">
        <v>0</v>
      </c>
      <c r="E81" s="222"/>
      <c r="F81" s="206">
        <f t="shared" si="3"/>
        <v>0</v>
      </c>
      <c r="G81" s="206"/>
      <c r="H81" s="206">
        <v>0</v>
      </c>
      <c r="I81" s="222"/>
      <c r="J81" s="206">
        <f t="shared" si="4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3"/>
        <v>0</v>
      </c>
      <c r="G82" s="206"/>
      <c r="H82" s="206">
        <v>0</v>
      </c>
      <c r="I82" s="222"/>
      <c r="J82" s="206">
        <f t="shared" si="4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3"/>
        <v>0</v>
      </c>
      <c r="G83" s="206"/>
      <c r="H83" s="206">
        <v>0</v>
      </c>
      <c r="I83" s="222"/>
      <c r="J83" s="199">
        <f t="shared" si="4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3"/>
        <v>0</v>
      </c>
      <c r="G84" s="206"/>
      <c r="H84" s="206">
        <v>0</v>
      </c>
      <c r="I84" s="272"/>
      <c r="J84" s="199">
        <f t="shared" si="4"/>
        <v>0</v>
      </c>
      <c r="K84" s="217"/>
    </row>
    <row r="85" spans="1:11">
      <c r="A85" t="s">
        <v>31</v>
      </c>
      <c r="D85" s="209">
        <f>SUM(D64:D84)</f>
        <v>2849784</v>
      </c>
      <c r="E85" s="215">
        <f>F85-D85</f>
        <v>0</v>
      </c>
      <c r="F85" s="209">
        <f>SUM(F65:F84)</f>
        <v>2849784</v>
      </c>
      <c r="G85" s="203"/>
      <c r="H85" s="209">
        <f>SUM(H64:H84)</f>
        <v>579032</v>
      </c>
      <c r="I85" s="215">
        <f>J85-H85</f>
        <v>0</v>
      </c>
      <c r="J85" s="209">
        <f>SUM(J65:J84)</f>
        <v>579032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96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10/31/14</v>
      </c>
      <c r="D90" s="214">
        <f>D61-D85+D87</f>
        <v>1153161</v>
      </c>
      <c r="E90" s="215">
        <f>F90-D90</f>
        <v>0</v>
      </c>
      <c r="F90" s="214">
        <f>F87+F61-F85</f>
        <v>1153161</v>
      </c>
      <c r="G90" s="227"/>
      <c r="H90" s="214">
        <f>H61-H85+H87</f>
        <v>134292</v>
      </c>
      <c r="I90" s="215">
        <f>J90-H90</f>
        <v>0</v>
      </c>
      <c r="J90" s="214">
        <f>J87+J61-J85</f>
        <v>134292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>
      <selection activeCell="L35" sqref="L35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546" t="s">
        <v>235</v>
      </c>
      <c r="B1" s="546"/>
      <c r="C1" s="546"/>
      <c r="D1" s="546"/>
      <c r="E1" s="546"/>
      <c r="F1" s="546"/>
      <c r="G1" s="546"/>
      <c r="H1" s="546"/>
      <c r="I1" s="546"/>
    </row>
    <row r="2" spans="1:9">
      <c r="A2" s="546" t="s">
        <v>320</v>
      </c>
      <c r="B2" s="546"/>
      <c r="C2" s="546"/>
      <c r="D2" s="546"/>
      <c r="E2" s="546"/>
      <c r="F2" s="546"/>
      <c r="G2" s="546"/>
      <c r="H2" s="546"/>
      <c r="I2" s="546"/>
    </row>
    <row r="3" spans="1:9">
      <c r="A3" s="546" t="s">
        <v>323</v>
      </c>
      <c r="B3" s="546"/>
      <c r="C3" s="546"/>
      <c r="D3" s="546"/>
      <c r="E3" s="546"/>
      <c r="F3" s="546"/>
      <c r="G3" s="546"/>
      <c r="H3" s="546"/>
      <c r="I3" s="546"/>
    </row>
    <row r="4" spans="1:9" ht="15">
      <c r="A4" s="28"/>
    </row>
    <row r="5" spans="1:9">
      <c r="A5" s="546" t="s">
        <v>0</v>
      </c>
      <c r="B5" s="546"/>
      <c r="C5" s="546"/>
      <c r="D5" s="546"/>
      <c r="E5" s="546"/>
      <c r="F5" s="546"/>
      <c r="G5" s="546"/>
      <c r="H5" s="546"/>
      <c r="I5" s="546"/>
    </row>
    <row r="6" spans="1:9" ht="13.5" thickBot="1">
      <c r="A6" s="546" t="s">
        <v>248</v>
      </c>
      <c r="B6" s="546"/>
      <c r="C6" s="546"/>
      <c r="D6" s="546"/>
      <c r="E6" s="546"/>
      <c r="F6" s="546"/>
      <c r="G6" s="546"/>
      <c r="H6" s="546"/>
      <c r="I6" s="546"/>
    </row>
    <row r="7" spans="1:9">
      <c r="D7" s="29" t="s">
        <v>318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23157083</v>
      </c>
      <c r="E10" s="441">
        <v>839242.7</v>
      </c>
      <c r="F10" s="357">
        <v>939997.27</v>
      </c>
      <c r="G10" s="357">
        <f>F10-D10</f>
        <v>-22217085.73</v>
      </c>
      <c r="H10" s="39">
        <f>F10/D10</f>
        <v>4.0592214053903078E-2</v>
      </c>
      <c r="I10" s="40">
        <f>2/12</f>
        <v>0.16666666666666666</v>
      </c>
    </row>
    <row r="11" spans="1:9">
      <c r="A11" s="26">
        <v>5800</v>
      </c>
      <c r="B11" s="27" t="s">
        <v>11</v>
      </c>
      <c r="D11" s="356">
        <v>26074068</v>
      </c>
      <c r="E11" s="357">
        <v>3572269.82</v>
      </c>
      <c r="F11" s="357">
        <v>10857095.76</v>
      </c>
      <c r="G11" s="357">
        <f>F11-D11</f>
        <v>-15216972.24</v>
      </c>
      <c r="H11" s="39">
        <f>F11/D11</f>
        <v>0.41639439461460326</v>
      </c>
      <c r="I11" s="40">
        <f>I10</f>
        <v>0.16666666666666666</v>
      </c>
    </row>
    <row r="12" spans="1:9">
      <c r="A12" s="26">
        <v>5900</v>
      </c>
      <c r="B12" s="27" t="s">
        <v>12</v>
      </c>
      <c r="D12" s="358">
        <v>275000</v>
      </c>
      <c r="E12" s="359">
        <v>33370.769999999997</v>
      </c>
      <c r="F12" s="359">
        <v>167077.01</v>
      </c>
      <c r="G12" s="359">
        <f>F12-D12</f>
        <v>-107922.98999999999</v>
      </c>
      <c r="H12" s="436">
        <f>F12/D12</f>
        <v>0.60755276363636368</v>
      </c>
      <c r="I12" s="437">
        <f>I10</f>
        <v>0.16666666666666666</v>
      </c>
    </row>
    <row r="13" spans="1:9">
      <c r="A13" s="34" t="s">
        <v>49</v>
      </c>
      <c r="D13" s="355">
        <f>SUM(D10:D12)</f>
        <v>49506151</v>
      </c>
      <c r="E13" s="234">
        <f>SUM(E10:E12)</f>
        <v>4444883.2899999991</v>
      </c>
      <c r="F13" s="234">
        <f>SUM(F10:F12)</f>
        <v>11964170.039999999</v>
      </c>
      <c r="G13" s="234">
        <f>F13-D13</f>
        <v>-37541980.960000001</v>
      </c>
      <c r="H13" s="44">
        <f>F13/D13</f>
        <v>0.24167037425309026</v>
      </c>
      <c r="I13" s="41">
        <f>I10</f>
        <v>0.16666666666666666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30406449</v>
      </c>
      <c r="E16" s="357">
        <v>3358277.66</v>
      </c>
      <c r="F16" s="357">
        <f>222765.8+6559724.12</f>
        <v>6782489.9199999999</v>
      </c>
      <c r="G16" s="357">
        <f>D16-F16</f>
        <v>23623959.079999998</v>
      </c>
      <c r="H16" s="238">
        <f t="shared" ref="H16:H25" si="0">F16/D16</f>
        <v>0.22306090132392639</v>
      </c>
      <c r="I16" s="237">
        <f>2/12</f>
        <v>0.16666666666666666</v>
      </c>
    </row>
    <row r="17" spans="1:9">
      <c r="A17" s="42" t="s">
        <v>52</v>
      </c>
      <c r="B17" s="27" t="s">
        <v>53</v>
      </c>
      <c r="D17" s="356">
        <v>659090</v>
      </c>
      <c r="E17" s="357">
        <v>82298.009999999995</v>
      </c>
      <c r="F17" s="357">
        <f>9818.54+141330.05</f>
        <v>151148.59</v>
      </c>
      <c r="G17" s="357">
        <f t="shared" ref="G17:G30" si="1">D17-F17</f>
        <v>507941.41000000003</v>
      </c>
      <c r="H17" s="39">
        <f t="shared" si="0"/>
        <v>0.22932921148856755</v>
      </c>
      <c r="I17" s="237">
        <f>$I$16</f>
        <v>0.16666666666666666</v>
      </c>
    </row>
    <row r="18" spans="1:9">
      <c r="A18" s="42" t="s">
        <v>54</v>
      </c>
      <c r="B18" s="235" t="s">
        <v>242</v>
      </c>
      <c r="D18" s="356">
        <v>521277</v>
      </c>
      <c r="E18" s="357">
        <v>39110.26</v>
      </c>
      <c r="F18" s="357">
        <f>11614.82+76047.37</f>
        <v>87662.19</v>
      </c>
      <c r="G18" s="357">
        <f t="shared" si="1"/>
        <v>433614.81</v>
      </c>
      <c r="H18" s="238">
        <f t="shared" si="0"/>
        <v>0.16816815244102465</v>
      </c>
      <c r="I18" s="237">
        <f t="shared" ref="I18:I35" si="2">$I$16</f>
        <v>0.16666666666666666</v>
      </c>
    </row>
    <row r="19" spans="1:9">
      <c r="A19" s="42" t="s">
        <v>55</v>
      </c>
      <c r="B19" s="235" t="s">
        <v>241</v>
      </c>
      <c r="D19" s="356">
        <v>547163</v>
      </c>
      <c r="E19" s="357">
        <v>44220.66</v>
      </c>
      <c r="F19" s="357">
        <f>8422.2+84490.74</f>
        <v>92912.94</v>
      </c>
      <c r="G19" s="357">
        <f t="shared" si="1"/>
        <v>454250.06</v>
      </c>
      <c r="H19" s="39">
        <f t="shared" si="0"/>
        <v>0.16980852140952513</v>
      </c>
      <c r="I19" s="237">
        <f t="shared" si="2"/>
        <v>0.16666666666666666</v>
      </c>
    </row>
    <row r="20" spans="1:9">
      <c r="A20" s="42" t="s">
        <v>56</v>
      </c>
      <c r="B20" s="235" t="s">
        <v>240</v>
      </c>
      <c r="D20" s="356">
        <v>3132669</v>
      </c>
      <c r="E20" s="357">
        <v>270871.62</v>
      </c>
      <c r="F20" s="357">
        <f>13213.49+543055.22</f>
        <v>556268.71</v>
      </c>
      <c r="G20" s="357">
        <f t="shared" si="1"/>
        <v>2576400.29</v>
      </c>
      <c r="H20" s="39">
        <f t="shared" si="0"/>
        <v>0.17757021568509151</v>
      </c>
      <c r="I20" s="237">
        <f t="shared" si="2"/>
        <v>0.16666666666666666</v>
      </c>
    </row>
    <row r="21" spans="1:9">
      <c r="A21" s="42" t="s">
        <v>57</v>
      </c>
      <c r="B21" s="235" t="s">
        <v>243</v>
      </c>
      <c r="D21" s="356">
        <v>1682556</v>
      </c>
      <c r="E21" s="357">
        <v>145615.29</v>
      </c>
      <c r="F21" s="357">
        <f>26314.18+271917.9</f>
        <v>298232.08</v>
      </c>
      <c r="G21" s="357">
        <f t="shared" si="1"/>
        <v>1384323.92</v>
      </c>
      <c r="H21" s="39">
        <f t="shared" si="0"/>
        <v>0.17724942290182319</v>
      </c>
      <c r="I21" s="237">
        <f t="shared" si="2"/>
        <v>0.16666666666666666</v>
      </c>
    </row>
    <row r="22" spans="1:9">
      <c r="A22" s="42" t="s">
        <v>58</v>
      </c>
      <c r="B22" s="235" t="s">
        <v>244</v>
      </c>
      <c r="D22" s="356">
        <v>13000</v>
      </c>
      <c r="E22" s="357">
        <v>0</v>
      </c>
      <c r="F22" s="357">
        <f>150+12000</f>
        <v>12150</v>
      </c>
      <c r="G22" s="357">
        <f t="shared" si="1"/>
        <v>850</v>
      </c>
      <c r="H22" s="39">
        <f t="shared" si="0"/>
        <v>0.93461538461538463</v>
      </c>
      <c r="I22" s="237">
        <f t="shared" si="2"/>
        <v>0.16666666666666666</v>
      </c>
    </row>
    <row r="23" spans="1:9">
      <c r="A23" s="42" t="s">
        <v>59</v>
      </c>
      <c r="B23" s="27" t="s">
        <v>60</v>
      </c>
      <c r="D23" s="356">
        <v>473366</v>
      </c>
      <c r="E23" s="357">
        <v>55691.3</v>
      </c>
      <c r="F23" s="357">
        <f>2996.89+106160.5</f>
        <v>109157.39</v>
      </c>
      <c r="G23" s="357">
        <f t="shared" si="1"/>
        <v>364208.61</v>
      </c>
      <c r="H23" s="39">
        <f t="shared" si="0"/>
        <v>0.23059828969549989</v>
      </c>
      <c r="I23" s="237">
        <f t="shared" si="2"/>
        <v>0.16666666666666666</v>
      </c>
    </row>
    <row r="24" spans="1:9">
      <c r="A24" s="42" t="s">
        <v>61</v>
      </c>
      <c r="B24" s="27" t="s">
        <v>62</v>
      </c>
      <c r="D24" s="356">
        <v>1548150</v>
      </c>
      <c r="E24" s="357">
        <v>167186.57</v>
      </c>
      <c r="F24" s="357">
        <f>79.5+171334.73</f>
        <v>171414.23</v>
      </c>
      <c r="G24" s="357">
        <f t="shared" si="1"/>
        <v>1376735.77</v>
      </c>
      <c r="H24" s="39">
        <f t="shared" si="0"/>
        <v>0.11072197784452412</v>
      </c>
      <c r="I24" s="237">
        <f t="shared" si="2"/>
        <v>0.16666666666666666</v>
      </c>
    </row>
    <row r="25" spans="1:9">
      <c r="A25" s="42" t="s">
        <v>63</v>
      </c>
      <c r="B25" s="27" t="s">
        <v>64</v>
      </c>
      <c r="D25" s="356">
        <v>74460</v>
      </c>
      <c r="E25" s="357">
        <v>6796.77</v>
      </c>
      <c r="F25" s="357">
        <v>11246.63</v>
      </c>
      <c r="G25" s="357">
        <f t="shared" si="1"/>
        <v>63213.37</v>
      </c>
      <c r="H25" s="39">
        <f t="shared" si="0"/>
        <v>0.15104257319366102</v>
      </c>
      <c r="I25" s="237">
        <f t="shared" si="2"/>
        <v>0.16666666666666666</v>
      </c>
    </row>
    <row r="26" spans="1:9">
      <c r="A26" s="42" t="s">
        <v>65</v>
      </c>
      <c r="B26" s="27" t="s">
        <v>66</v>
      </c>
      <c r="D26" s="356">
        <v>1354950</v>
      </c>
      <c r="E26" s="357">
        <v>162090.93</v>
      </c>
      <c r="F26" s="357">
        <f>43722.69+279387.77</f>
        <v>323110.46000000002</v>
      </c>
      <c r="G26" s="357">
        <f t="shared" si="1"/>
        <v>1031839.54</v>
      </c>
      <c r="H26" s="39">
        <f t="shared" ref="H26:H33" si="3">F26/D26</f>
        <v>0.23846670356839739</v>
      </c>
      <c r="I26" s="237">
        <f t="shared" si="2"/>
        <v>0.16666666666666666</v>
      </c>
    </row>
    <row r="27" spans="1:9">
      <c r="A27" s="42" t="s">
        <v>67</v>
      </c>
      <c r="B27" s="27" t="s">
        <v>68</v>
      </c>
      <c r="D27" s="356">
        <v>1900189</v>
      </c>
      <c r="E27" s="357">
        <v>133949.06</v>
      </c>
      <c r="F27" s="357">
        <f>24360.89+286611.25</f>
        <v>310972.14</v>
      </c>
      <c r="G27" s="357">
        <f t="shared" si="1"/>
        <v>1589216.8599999999</v>
      </c>
      <c r="H27" s="39">
        <f t="shared" si="3"/>
        <v>0.16365326817490261</v>
      </c>
      <c r="I27" s="237">
        <f t="shared" si="2"/>
        <v>0.16666666666666666</v>
      </c>
    </row>
    <row r="28" spans="1:9">
      <c r="A28" s="42" t="s">
        <v>69</v>
      </c>
      <c r="B28" s="235" t="s">
        <v>70</v>
      </c>
      <c r="D28" s="356">
        <v>5082853</v>
      </c>
      <c r="E28" s="357">
        <v>451118.58</v>
      </c>
      <c r="F28" s="441">
        <f>110399.94+1005447.69</f>
        <v>1115847.6299999999</v>
      </c>
      <c r="G28" s="357">
        <f t="shared" si="1"/>
        <v>3967005.37</v>
      </c>
      <c r="H28" s="39">
        <f t="shared" si="3"/>
        <v>0.21953175313155818</v>
      </c>
      <c r="I28" s="237">
        <f t="shared" si="2"/>
        <v>0.16666666666666666</v>
      </c>
    </row>
    <row r="29" spans="1:9">
      <c r="A29" s="42" t="s">
        <v>71</v>
      </c>
      <c r="B29" s="235" t="s">
        <v>245</v>
      </c>
      <c r="D29" s="356">
        <v>482604</v>
      </c>
      <c r="E29" s="357">
        <v>40796.67</v>
      </c>
      <c r="F29" s="357">
        <f>87156.1+53016.05</f>
        <v>140172.15000000002</v>
      </c>
      <c r="G29" s="357">
        <f t="shared" si="1"/>
        <v>342431.85</v>
      </c>
      <c r="H29" s="39">
        <f t="shared" si="3"/>
        <v>0.29044962329363211</v>
      </c>
      <c r="I29" s="237">
        <f t="shared" si="2"/>
        <v>0.16666666666666666</v>
      </c>
    </row>
    <row r="30" spans="1:9">
      <c r="A30" s="42" t="s">
        <v>72</v>
      </c>
      <c r="B30" s="27" t="s">
        <v>73</v>
      </c>
      <c r="D30" s="356">
        <v>964125</v>
      </c>
      <c r="E30" s="357">
        <v>63314.15</v>
      </c>
      <c r="F30" s="357">
        <f>10600+149048.26</f>
        <v>159648.26</v>
      </c>
      <c r="G30" s="357">
        <f t="shared" si="1"/>
        <v>804476.74</v>
      </c>
      <c r="H30" s="43">
        <f t="shared" si="3"/>
        <v>0.16558875664462597</v>
      </c>
      <c r="I30" s="40">
        <f t="shared" si="2"/>
        <v>0.16666666666666666</v>
      </c>
    </row>
    <row r="31" spans="1:9">
      <c r="A31" s="42" t="s">
        <v>74</v>
      </c>
      <c r="B31" s="27" t="s">
        <v>75</v>
      </c>
      <c r="D31" s="356">
        <v>36831</v>
      </c>
      <c r="E31" s="357">
        <v>2891.34</v>
      </c>
      <c r="F31" s="357">
        <v>5885.32</v>
      </c>
      <c r="G31" s="357">
        <f>D31-F31</f>
        <v>30945.68</v>
      </c>
      <c r="H31" s="43">
        <f t="shared" si="3"/>
        <v>0.15979256604490782</v>
      </c>
      <c r="I31" s="40">
        <f t="shared" si="2"/>
        <v>0.16666666666666666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408173.8</v>
      </c>
      <c r="G32" s="357">
        <f>D32-F32</f>
        <v>442432.2</v>
      </c>
      <c r="H32" s="43">
        <f t="shared" si="3"/>
        <v>0.47986235695492391</v>
      </c>
      <c r="I32" s="40">
        <f t="shared" si="2"/>
        <v>0.16666666666666666</v>
      </c>
    </row>
    <row r="33" spans="1:10">
      <c r="A33" s="42" t="s">
        <v>78</v>
      </c>
      <c r="B33" s="27" t="s">
        <v>79</v>
      </c>
      <c r="D33" s="356">
        <v>1256572</v>
      </c>
      <c r="E33" s="357">
        <v>0</v>
      </c>
      <c r="F33" s="357">
        <v>1133894</v>
      </c>
      <c r="G33" s="357">
        <f>D33-F33</f>
        <v>122678</v>
      </c>
      <c r="H33" s="43">
        <f t="shared" si="3"/>
        <v>0.90237089478358579</v>
      </c>
      <c r="I33" s="40">
        <f t="shared" si="2"/>
        <v>0.16666666666666666</v>
      </c>
    </row>
    <row r="34" spans="1:10">
      <c r="A34" s="42" t="s">
        <v>80</v>
      </c>
      <c r="B34" s="27" t="s">
        <v>81</v>
      </c>
      <c r="D34" s="356">
        <v>32000</v>
      </c>
      <c r="E34" s="357">
        <v>1246</v>
      </c>
      <c r="F34" s="357">
        <v>1246</v>
      </c>
      <c r="G34" s="357">
        <f>D34-F34</f>
        <v>30754</v>
      </c>
      <c r="H34" s="43">
        <f>F34/D34</f>
        <v>3.89375E-2</v>
      </c>
      <c r="I34" s="40">
        <f t="shared" si="2"/>
        <v>0.16666666666666666</v>
      </c>
    </row>
    <row r="35" spans="1:10">
      <c r="A35" s="42" t="s">
        <v>246</v>
      </c>
      <c r="B35" s="235" t="s">
        <v>247</v>
      </c>
      <c r="D35" s="358">
        <v>245000</v>
      </c>
      <c r="E35" s="359">
        <v>0</v>
      </c>
      <c r="F35" s="359">
        <v>58216.639999999999</v>
      </c>
      <c r="G35" s="438">
        <f>D35-F35</f>
        <v>186783.35999999999</v>
      </c>
      <c r="H35" s="439">
        <f>F35/D35</f>
        <v>0.23761893877551021</v>
      </c>
      <c r="I35" s="437">
        <f t="shared" si="2"/>
        <v>0.16666666666666666</v>
      </c>
    </row>
    <row r="36" spans="1:10">
      <c r="A36" s="34" t="s">
        <v>31</v>
      </c>
      <c r="D36" s="355">
        <f>SUM(D16:D35)</f>
        <v>51263910</v>
      </c>
      <c r="E36" s="234">
        <f>SUM(E16:E35)</f>
        <v>5025474.8699999992</v>
      </c>
      <c r="F36" s="234">
        <f>SUM(F16:F35)</f>
        <v>11929849.080000002</v>
      </c>
      <c r="G36" s="234">
        <f>SUM(G16:G35)</f>
        <v>39334060.919999994</v>
      </c>
      <c r="H36" s="44">
        <f>F36/D36</f>
        <v>0.232714380935828</v>
      </c>
      <c r="I36" s="41">
        <f>I16</f>
        <v>0.16666666666666666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501" t="s">
        <v>343</v>
      </c>
      <c r="C43" s="235"/>
      <c r="D43" s="497">
        <v>21653740</v>
      </c>
      <c r="E43" s="233">
        <v>0</v>
      </c>
      <c r="F43" s="233">
        <f>D43</f>
        <v>21653740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19895981</v>
      </c>
      <c r="E45" s="231"/>
      <c r="F45" s="231">
        <f>(F13-F36)+F41+F43</f>
        <v>21688060.959999997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43" activePane="bottomRight" state="frozen"/>
      <selection pane="topRight" activeCell="C1" sqref="C1"/>
      <selection pane="bottomLeft" activeCell="A7" sqref="A7"/>
      <selection pane="bottomRight" activeCell="K46" sqref="K46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321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v>0</v>
      </c>
      <c r="H7" s="261"/>
      <c r="I7" s="247">
        <f>+G43</f>
        <v>0</v>
      </c>
      <c r="J7" s="261"/>
      <c r="K7" s="247">
        <f>+I43</f>
        <v>0</v>
      </c>
      <c r="L7" s="261"/>
      <c r="M7" s="247">
        <f>+K43</f>
        <v>0</v>
      </c>
      <c r="N7" s="261"/>
      <c r="O7" s="247">
        <f>+M43</f>
        <v>0</v>
      </c>
      <c r="P7" s="261"/>
      <c r="Q7" s="247">
        <f>+O43</f>
        <v>0</v>
      </c>
      <c r="R7" s="261"/>
      <c r="S7" s="247">
        <f>+Q43</f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0</v>
      </c>
      <c r="H10" s="261"/>
      <c r="I10" s="182">
        <v>0</v>
      </c>
      <c r="J10" s="261"/>
      <c r="K10" s="182">
        <v>0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448062.25999999995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0</v>
      </c>
      <c r="H11" s="261"/>
      <c r="I11" s="182">
        <v>0</v>
      </c>
      <c r="J11" s="261"/>
      <c r="K11" s="182">
        <v>0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7814.05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0</v>
      </c>
      <c r="H12" s="261"/>
      <c r="I12" s="182">
        <v>0</v>
      </c>
      <c r="J12" s="261"/>
      <c r="K12" s="251">
        <v>0</v>
      </c>
      <c r="L12" s="261"/>
      <c r="M12" s="25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568256.37999999989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0</v>
      </c>
      <c r="H13" s="261"/>
      <c r="I13" s="182">
        <v>0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0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0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0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9035511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0</v>
      </c>
      <c r="H15" s="261"/>
      <c r="I15" s="182">
        <v>0</v>
      </c>
      <c r="J15" s="261"/>
      <c r="K15" s="182">
        <v>0</v>
      </c>
      <c r="L15" s="261"/>
      <c r="M15" s="252">
        <v>0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0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0</v>
      </c>
      <c r="H16" s="261"/>
      <c r="I16" s="182">
        <v>0</v>
      </c>
      <c r="J16" s="261"/>
      <c r="K16" s="182">
        <v>0</v>
      </c>
      <c r="L16" s="261"/>
      <c r="M16" s="182">
        <v>0</v>
      </c>
      <c r="N16" s="261"/>
      <c r="O16" s="182">
        <v>0</v>
      </c>
      <c r="P16" s="261"/>
      <c r="Q16" s="182">
        <v>0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218125.12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0</v>
      </c>
      <c r="H17" s="261"/>
      <c r="I17" s="182">
        <v>0</v>
      </c>
      <c r="J17" s="261"/>
      <c r="K17" s="182">
        <v>0</v>
      </c>
      <c r="L17" s="261"/>
      <c r="M17" s="253">
        <v>0</v>
      </c>
      <c r="N17" s="261"/>
      <c r="O17" s="182">
        <v>0</v>
      </c>
      <c r="P17" s="261"/>
      <c r="Q17" s="182">
        <v>0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36701.009999999995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0</v>
      </c>
      <c r="H18" s="261"/>
      <c r="I18" s="182">
        <v>0</v>
      </c>
      <c r="J18" s="261"/>
      <c r="K18" s="251">
        <v>0</v>
      </c>
      <c r="L18" s="261"/>
      <c r="M18" s="182">
        <v>0</v>
      </c>
      <c r="N18" s="261"/>
      <c r="O18" s="182">
        <v>0</v>
      </c>
      <c r="P18" s="261"/>
      <c r="Q18" s="182">
        <v>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275358.06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0</v>
      </c>
      <c r="H19" s="261"/>
      <c r="I19" s="182">
        <v>0</v>
      </c>
      <c r="J19" s="261"/>
      <c r="K19" s="182">
        <v>0</v>
      </c>
      <c r="L19" s="261"/>
      <c r="M19" s="182">
        <v>0</v>
      </c>
      <c r="N19" s="261"/>
      <c r="O19" s="182">
        <v>0</v>
      </c>
      <c r="P19" s="261"/>
      <c r="Q19" s="182">
        <v>0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268626.40000000002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0</v>
      </c>
      <c r="H20" s="261"/>
      <c r="I20" s="182">
        <v>0</v>
      </c>
      <c r="J20" s="261"/>
      <c r="K20" s="182">
        <v>0</v>
      </c>
      <c r="L20" s="261"/>
      <c r="M20" s="252">
        <v>0</v>
      </c>
      <c r="N20" s="261"/>
      <c r="O20" s="182">
        <v>0</v>
      </c>
      <c r="P20" s="261"/>
      <c r="Q20" s="182">
        <v>0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309427.91000000003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0</v>
      </c>
      <c r="H21" s="261"/>
      <c r="I21" s="182">
        <v>0</v>
      </c>
      <c r="J21" s="261"/>
      <c r="K21" s="182">
        <v>0</v>
      </c>
      <c r="L21" s="261"/>
      <c r="M21" s="252">
        <v>0</v>
      </c>
      <c r="N21" s="261"/>
      <c r="O21" s="182">
        <v>0</v>
      </c>
      <c r="P21" s="261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1511.5900000000001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2543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0</v>
      </c>
      <c r="H25" s="261"/>
      <c r="I25" s="247">
        <f>SUM(I10:I24)</f>
        <v>0</v>
      </c>
      <c r="J25" s="261"/>
      <c r="K25" s="247">
        <f>SUM(K10:K24)</f>
        <v>0</v>
      </c>
      <c r="L25" s="261"/>
      <c r="M25" s="247">
        <f>SUM(M10:M24)</f>
        <v>0</v>
      </c>
      <c r="N25" s="261"/>
      <c r="O25" s="247">
        <f>SUM(O10:O24)</f>
        <v>0</v>
      </c>
      <c r="P25" s="261"/>
      <c r="Q25" s="247">
        <f>SUM(Q10:Q24)</f>
        <v>0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13807900.209999999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0</v>
      </c>
      <c r="H28" s="261"/>
      <c r="I28" s="250">
        <v>0</v>
      </c>
      <c r="J28" s="261"/>
      <c r="K28" s="250">
        <v>0</v>
      </c>
      <c r="L28" s="261"/>
      <c r="M28" s="250">
        <v>0</v>
      </c>
      <c r="N28" s="261"/>
      <c r="O28" s="250">
        <v>0</v>
      </c>
      <c r="P28" s="261"/>
      <c r="Q28" s="250">
        <v>0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4598805.46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0</v>
      </c>
      <c r="H29" s="261"/>
      <c r="I29" s="255">
        <v>0</v>
      </c>
      <c r="J29" s="261"/>
      <c r="K29" s="255">
        <v>0</v>
      </c>
      <c r="L29" s="261"/>
      <c r="M29" s="255">
        <v>0</v>
      </c>
      <c r="N29" s="182"/>
      <c r="O29" s="255">
        <v>0</v>
      </c>
      <c r="P29" s="182"/>
      <c r="Q29" s="255">
        <v>0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6199346.2199999997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0</v>
      </c>
      <c r="H30" s="261"/>
      <c r="I30" s="182">
        <v>0</v>
      </c>
      <c r="J30" s="261"/>
      <c r="K30" s="182">
        <v>0</v>
      </c>
      <c r="L30" s="261"/>
      <c r="M30" s="182">
        <v>0</v>
      </c>
      <c r="N30" s="261"/>
      <c r="O30" s="182">
        <v>0</v>
      </c>
      <c r="P30" s="261"/>
      <c r="Q30" s="182">
        <v>0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1233402.0899999999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0</v>
      </c>
      <c r="H31" s="261"/>
      <c r="I31" s="182">
        <v>0</v>
      </c>
      <c r="J31" s="261"/>
      <c r="K31" s="182">
        <v>0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651522.84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0</v>
      </c>
      <c r="H32" s="261"/>
      <c r="I32" s="256">
        <v>0</v>
      </c>
      <c r="J32" s="261"/>
      <c r="K32" s="256">
        <v>0</v>
      </c>
      <c r="L32" s="261"/>
      <c r="M32" s="256">
        <v>0</v>
      </c>
      <c r="N32" s="261"/>
      <c r="O32" s="256">
        <v>0</v>
      </c>
      <c r="P32" s="261"/>
      <c r="Q32" s="256">
        <v>0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1480.3899999999999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0</v>
      </c>
      <c r="H33" s="261"/>
      <c r="I33" s="247">
        <f>SUM(I28:I32)</f>
        <v>0</v>
      </c>
      <c r="J33" s="261"/>
      <c r="K33" s="247">
        <f>SUM(K28:K32)</f>
        <v>0</v>
      </c>
      <c r="L33" s="261"/>
      <c r="M33" s="247">
        <f>SUM(M28:M32)</f>
        <v>0</v>
      </c>
      <c r="N33" s="261"/>
      <c r="O33" s="247">
        <f>SUM(O28:O32)</f>
        <v>0</v>
      </c>
      <c r="P33" s="261"/>
      <c r="Q33" s="247">
        <f>SUM(Q28:Q32)</f>
        <v>0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12684557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0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0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0</v>
      </c>
      <c r="H39" s="261"/>
      <c r="I39" s="247">
        <f>SUM(I35:I38)+I33</f>
        <v>0</v>
      </c>
      <c r="J39" s="261"/>
      <c r="K39" s="247">
        <f>SUM(K35:K38)+K33</f>
        <v>0</v>
      </c>
      <c r="L39" s="261"/>
      <c r="M39" s="247">
        <f>SUM(M35:M38)+M33</f>
        <v>0</v>
      </c>
      <c r="N39" s="261"/>
      <c r="O39" s="247">
        <f>SUM(O35:O38)+O33</f>
        <v>0</v>
      </c>
      <c r="P39" s="261"/>
      <c r="Q39" s="247">
        <f>SUM(Q35:Q38)+Q33</f>
        <v>0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12684557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0</v>
      </c>
      <c r="H41" s="261"/>
      <c r="I41" s="247">
        <f>+I25-I39</f>
        <v>0</v>
      </c>
      <c r="J41" s="261"/>
      <c r="K41" s="247">
        <f>+K25-K39</f>
        <v>0</v>
      </c>
      <c r="L41" s="261"/>
      <c r="M41" s="247">
        <f>+M25-M39</f>
        <v>0</v>
      </c>
      <c r="N41" s="261"/>
      <c r="O41" s="247">
        <f>+O25-O39</f>
        <v>0</v>
      </c>
      <c r="P41" s="261"/>
      <c r="Q41" s="247">
        <f>+Q25-Q39</f>
        <v>0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1123343.21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0</v>
      </c>
      <c r="H43" s="266"/>
      <c r="I43" s="456">
        <f>+I7+I41</f>
        <v>0</v>
      </c>
      <c r="J43" s="266"/>
      <c r="K43" s="456">
        <f>+K7+K41</f>
        <v>0</v>
      </c>
      <c r="L43" s="266"/>
      <c r="M43" s="456">
        <f>+M7+M41</f>
        <v>0</v>
      </c>
      <c r="N43" s="266"/>
      <c r="O43" s="456">
        <f>+O7+O41</f>
        <v>0</v>
      </c>
      <c r="P43" s="266"/>
      <c r="Q43" s="456">
        <f>+Q7+Q41</f>
        <v>0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16415745.789999992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v>0</v>
      </c>
      <c r="H46" s="261"/>
      <c r="I46" s="182">
        <v>0</v>
      </c>
      <c r="J46" s="261"/>
      <c r="K46" s="182">
        <v>0</v>
      </c>
      <c r="L46" s="261"/>
      <c r="M46" s="182">
        <v>0</v>
      </c>
      <c r="N46" s="261"/>
      <c r="O46" s="182">
        <v>0</v>
      </c>
      <c r="P46" s="261"/>
      <c r="Q46" s="182">
        <v>0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v>0</v>
      </c>
      <c r="H47" s="261"/>
      <c r="I47" s="182">
        <v>0</v>
      </c>
      <c r="J47" s="261"/>
      <c r="K47" s="182">
        <v>0</v>
      </c>
      <c r="L47" s="261"/>
      <c r="M47" s="182">
        <v>0</v>
      </c>
      <c r="N47" s="261"/>
      <c r="O47" s="182">
        <v>0</v>
      </c>
      <c r="P47" s="261"/>
      <c r="Q47" s="182">
        <v>0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v>0</v>
      </c>
      <c r="H48" s="261"/>
      <c r="I48" s="182">
        <v>0</v>
      </c>
      <c r="J48" s="261"/>
      <c r="K48" s="182">
        <v>0</v>
      </c>
      <c r="L48" s="261"/>
      <c r="M48" s="182">
        <v>0</v>
      </c>
      <c r="N48" s="261"/>
      <c r="O48" s="182">
        <v>0</v>
      </c>
      <c r="P48" s="261"/>
      <c r="Q48" s="182">
        <v>0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0</v>
      </c>
      <c r="H49" s="261"/>
      <c r="I49" s="182">
        <v>0</v>
      </c>
      <c r="J49" s="261"/>
      <c r="K49" s="182">
        <v>0</v>
      </c>
      <c r="L49" s="261"/>
      <c r="M49" s="182">
        <v>0</v>
      </c>
      <c r="N49" s="261"/>
      <c r="O49" s="182">
        <v>0</v>
      </c>
      <c r="P49" s="261"/>
      <c r="Q49" s="182">
        <v>0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2372.8599999999997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0</v>
      </c>
      <c r="H50" s="261"/>
      <c r="I50" s="182">
        <v>0</v>
      </c>
      <c r="J50" s="261"/>
      <c r="K50" s="182">
        <v>0</v>
      </c>
      <c r="L50" s="261"/>
      <c r="M50" s="182">
        <v>0</v>
      </c>
      <c r="N50" s="261"/>
      <c r="O50" s="182">
        <v>0</v>
      </c>
      <c r="P50" s="261"/>
      <c r="Q50" s="182">
        <v>0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81.03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0</v>
      </c>
      <c r="H51" s="261"/>
      <c r="I51" s="182">
        <v>0</v>
      </c>
      <c r="J51" s="261"/>
      <c r="K51" s="182">
        <v>0</v>
      </c>
      <c r="L51" s="261"/>
      <c r="M51" s="182">
        <v>0</v>
      </c>
      <c r="N51" s="261"/>
      <c r="O51" s="182">
        <v>0</v>
      </c>
      <c r="P51" s="261"/>
      <c r="Q51" s="182">
        <v>0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342.43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0</v>
      </c>
      <c r="H54" s="266"/>
      <c r="I54" s="247">
        <f>SUM(I46:I53)</f>
        <v>0</v>
      </c>
      <c r="J54" s="266"/>
      <c r="K54" s="247">
        <f>SUM(K46:K53)</f>
        <v>0</v>
      </c>
      <c r="L54" s="266"/>
      <c r="M54" s="247">
        <f>SUM(M46:M53)</f>
        <v>0</v>
      </c>
      <c r="N54" s="266"/>
      <c r="O54" s="247">
        <f>SUM(O46:O53)</f>
        <v>0</v>
      </c>
      <c r="P54" s="266"/>
      <c r="Q54" s="247">
        <f>SUM(Q46:Q53)</f>
        <v>0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15351383.719999999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0</v>
      </c>
      <c r="H56" s="266"/>
      <c r="I56" s="456">
        <f>+I43+I54</f>
        <v>0</v>
      </c>
      <c r="J56" s="266"/>
      <c r="K56" s="456">
        <f>+K43+K54</f>
        <v>0</v>
      </c>
      <c r="L56" s="266"/>
      <c r="M56" s="456">
        <f>+M43+M54</f>
        <v>0</v>
      </c>
      <c r="N56" s="266"/>
      <c r="O56" s="456">
        <f>+O43+O54</f>
        <v>0</v>
      </c>
      <c r="P56" s="266"/>
      <c r="Q56" s="456">
        <f>+Q43+Q54</f>
        <v>0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31767129.50999999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32" sqref="E32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321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v>0</v>
      </c>
      <c r="H7" s="261"/>
      <c r="I7" s="247">
        <f>+G27</f>
        <v>0</v>
      </c>
      <c r="J7" s="261"/>
      <c r="K7" s="247">
        <f>+I27</f>
        <v>0</v>
      </c>
      <c r="L7" s="261"/>
      <c r="M7" s="247">
        <f>+K27</f>
        <v>0</v>
      </c>
      <c r="N7" s="261"/>
      <c r="O7" s="247">
        <f>+M27</f>
        <v>0</v>
      </c>
      <c r="P7" s="261"/>
      <c r="Q7" s="247">
        <f>+O27</f>
        <v>0</v>
      </c>
      <c r="R7" s="261"/>
      <c r="S7" s="247">
        <f>+Q27</f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0</v>
      </c>
      <c r="H10" s="261"/>
      <c r="I10" s="182">
        <v>0</v>
      </c>
      <c r="J10" s="261"/>
      <c r="K10" s="182">
        <v>0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215171.19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0</v>
      </c>
      <c r="H11" s="261"/>
      <c r="I11" s="182">
        <v>0</v>
      </c>
      <c r="J11" s="261"/>
      <c r="K11" s="182">
        <v>0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1667.47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0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0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0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0</v>
      </c>
      <c r="H15" s="261"/>
      <c r="I15" s="247">
        <f>SUM(I10:I14)</f>
        <v>0</v>
      </c>
      <c r="J15" s="261"/>
      <c r="K15" s="247">
        <f>SUM(K10:K14)</f>
        <v>0</v>
      </c>
      <c r="L15" s="261"/>
      <c r="M15" s="247">
        <f>SUM(M10:M14)</f>
        <v>0</v>
      </c>
      <c r="N15" s="261"/>
      <c r="O15" s="247">
        <f>SUM(O10:O14)</f>
        <v>0</v>
      </c>
      <c r="P15" s="261"/>
      <c r="Q15" s="247">
        <f>SUM(Q10:Q14)</f>
        <v>0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216838.66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0</v>
      </c>
      <c r="J21" s="261"/>
      <c r="K21" s="182">
        <v>0</v>
      </c>
      <c r="L21" s="261"/>
      <c r="M21" s="182">
        <v>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2543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0</v>
      </c>
      <c r="H23" s="261"/>
      <c r="I23" s="247">
        <f>SUM(I21:I22)+I19</f>
        <v>0</v>
      </c>
      <c r="J23" s="261"/>
      <c r="K23" s="247">
        <f>SUM(K21:K22)+K19</f>
        <v>0</v>
      </c>
      <c r="L23" s="261"/>
      <c r="M23" s="247">
        <f>SUM(M21:M22)+M19</f>
        <v>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2543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0</v>
      </c>
      <c r="H25" s="261"/>
      <c r="I25" s="247">
        <f>+I15-I23</f>
        <v>0</v>
      </c>
      <c r="J25" s="261"/>
      <c r="K25" s="247">
        <f>+K15-K23</f>
        <v>0</v>
      </c>
      <c r="L25" s="261"/>
      <c r="M25" s="247">
        <f>+M15-M23</f>
        <v>0</v>
      </c>
      <c r="N25" s="261"/>
      <c r="O25" s="247">
        <f>+O15-O23</f>
        <v>0</v>
      </c>
      <c r="P25" s="261"/>
      <c r="Q25" s="247">
        <f>+Q15-Q23</f>
        <v>0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214295.66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0</v>
      </c>
      <c r="H27" s="266"/>
      <c r="I27" s="456">
        <f>+I7+I25</f>
        <v>0</v>
      </c>
      <c r="J27" s="266"/>
      <c r="K27" s="456">
        <f>+K7+K25</f>
        <v>0</v>
      </c>
      <c r="L27" s="266"/>
      <c r="M27" s="456">
        <f>+M7+M25</f>
        <v>0</v>
      </c>
      <c r="N27" s="266"/>
      <c r="O27" s="456">
        <f>+O7+O25</f>
        <v>0</v>
      </c>
      <c r="P27" s="266"/>
      <c r="Q27" s="456">
        <f>+Q7+Q25</f>
        <v>0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2685867.3800000004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v>0</v>
      </c>
      <c r="H30" s="261"/>
      <c r="I30" s="182">
        <f>+G30+G31</f>
        <v>0</v>
      </c>
      <c r="J30" s="261"/>
      <c r="K30" s="182">
        <f>+I34</f>
        <v>0</v>
      </c>
      <c r="L30" s="261"/>
      <c r="M30" s="182">
        <f>+K34</f>
        <v>0</v>
      </c>
      <c r="N30" s="261"/>
      <c r="O30" s="182">
        <f>+M30+M31+M33</f>
        <v>0</v>
      </c>
      <c r="P30" s="261"/>
      <c r="Q30" s="182">
        <f>+O30+O31</f>
        <v>0</v>
      </c>
      <c r="R30" s="261"/>
      <c r="S30" s="182">
        <f>+Q30+Q31</f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0</v>
      </c>
      <c r="H31" s="261"/>
      <c r="I31" s="182">
        <v>0</v>
      </c>
      <c r="J31" s="261"/>
      <c r="K31" s="182">
        <v>0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62.16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0</v>
      </c>
      <c r="K32" s="182">
        <v>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0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0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0</v>
      </c>
      <c r="H34" s="266"/>
      <c r="I34" s="247">
        <f>SUM(I30:I33)</f>
        <v>0</v>
      </c>
      <c r="J34" s="266"/>
      <c r="K34" s="247">
        <f>SUM(K30:K33)</f>
        <v>0</v>
      </c>
      <c r="L34" s="266"/>
      <c r="M34" s="247">
        <f>SUM(M30:M33)</f>
        <v>0</v>
      </c>
      <c r="N34" s="266"/>
      <c r="O34" s="247">
        <f>SUM(O30:O33)</f>
        <v>0</v>
      </c>
      <c r="P34" s="266"/>
      <c r="Q34" s="247">
        <f>SUM(Q30:Q33)</f>
        <v>0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1241050.3299999998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0</v>
      </c>
      <c r="H36" s="266"/>
      <c r="I36" s="456">
        <f>+I27+I34</f>
        <v>0</v>
      </c>
      <c r="J36" s="266"/>
      <c r="K36" s="456">
        <f>+K27+K34</f>
        <v>0</v>
      </c>
      <c r="L36" s="266"/>
      <c r="M36" s="456">
        <f>+M27+M34</f>
        <v>0</v>
      </c>
      <c r="N36" s="266"/>
      <c r="O36" s="456">
        <f>+O27+O34</f>
        <v>0</v>
      </c>
      <c r="P36" s="266"/>
      <c r="Q36" s="456">
        <f>+Q27+Q34</f>
        <v>0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3926917.71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A4" sqref="A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6.425781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322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16415745.789999992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1808978.39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12163562.710000001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1378842.62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v>1859.8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307325.73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-709330.35-42</f>
        <v>-709372.35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31366942.689999994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2685867.3800000004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1241050.33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147742.07</v>
      </c>
      <c r="F30" s="71"/>
    </row>
    <row r="31" spans="1:9">
      <c r="A31" s="67"/>
      <c r="B31" s="67"/>
      <c r="C31" s="58"/>
      <c r="D31" s="68"/>
      <c r="E31" s="393"/>
      <c r="F31" s="59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4074659.7800000003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35441602.469999991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E45" sqref="E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326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41913</v>
      </c>
      <c r="B11" s="548" t="s">
        <v>258</v>
      </c>
      <c r="C11" s="547"/>
      <c r="D11" s="289" t="s">
        <v>171</v>
      </c>
      <c r="E11" s="278">
        <v>12162389.960000001</v>
      </c>
      <c r="F11" s="290">
        <v>1</v>
      </c>
      <c r="G11" s="290">
        <v>1</v>
      </c>
      <c r="H11" s="290">
        <v>0</v>
      </c>
      <c r="I11" s="278">
        <f>+E11</f>
        <v>12162389.960000001</v>
      </c>
      <c r="J11" s="288"/>
      <c r="K11" s="290"/>
      <c r="L11" s="291"/>
      <c r="M11" s="292"/>
      <c r="O11" s="91"/>
    </row>
    <row r="12" spans="1:15">
      <c r="A12" s="293"/>
      <c r="B12" s="549"/>
      <c r="C12" s="549"/>
      <c r="D12" s="289" t="s">
        <v>173</v>
      </c>
      <c r="E12" s="279">
        <v>0</v>
      </c>
      <c r="F12" s="290"/>
      <c r="G12" s="290"/>
      <c r="H12" s="290"/>
      <c r="I12" s="279">
        <f>+I11+E12</f>
        <v>12162389.960000001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12162389.960000001</v>
      </c>
      <c r="J13" s="288"/>
      <c r="K13" s="290"/>
      <c r="L13" s="279"/>
      <c r="M13" s="295">
        <f>+E13</f>
        <v>0</v>
      </c>
      <c r="O13" s="91"/>
    </row>
    <row r="14" spans="1:15">
      <c r="A14" s="293">
        <v>41943</v>
      </c>
      <c r="B14" s="296"/>
      <c r="C14" s="288"/>
      <c r="D14" s="289" t="s">
        <v>105</v>
      </c>
      <c r="E14" s="280">
        <v>1172.75</v>
      </c>
      <c r="F14" s="290"/>
      <c r="G14" s="290"/>
      <c r="H14" s="290">
        <v>1.1000000000000001E-3</v>
      </c>
      <c r="I14" s="297">
        <f>+I13+E14</f>
        <v>12163562.710000001</v>
      </c>
      <c r="J14" s="288"/>
      <c r="K14" s="290"/>
      <c r="L14" s="280">
        <f>+E14</f>
        <v>1172.75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12163562.710000001</v>
      </c>
      <c r="F16" s="319"/>
      <c r="G16" s="319"/>
      <c r="H16" s="319"/>
      <c r="I16" s="318">
        <f>I14</f>
        <v>12163562.710000001</v>
      </c>
      <c r="J16" s="320"/>
      <c r="K16" s="319"/>
      <c r="L16" s="318">
        <f>SUM(L14:L15)</f>
        <v>1172.75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41913</v>
      </c>
      <c r="B26" s="547" t="s">
        <v>170</v>
      </c>
      <c r="C26" s="547"/>
      <c r="D26" s="306" t="s">
        <v>171</v>
      </c>
      <c r="E26" s="278">
        <v>1378797.5399999996</v>
      </c>
      <c r="F26" s="290">
        <v>1</v>
      </c>
      <c r="G26" s="290">
        <v>1</v>
      </c>
      <c r="H26" s="290">
        <v>0</v>
      </c>
      <c r="I26" s="278">
        <f>E26</f>
        <v>1378797.5399999996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1378797.5399999996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1378797.5399999996</v>
      </c>
      <c r="J28" s="288"/>
      <c r="K28" s="290"/>
      <c r="L28" s="279"/>
      <c r="M28" s="307">
        <f>+E28</f>
        <v>0</v>
      </c>
    </row>
    <row r="29" spans="1:13">
      <c r="A29" s="293">
        <f>+A14</f>
        <v>41943</v>
      </c>
      <c r="B29" s="296"/>
      <c r="C29" s="288"/>
      <c r="D29" s="306" t="s">
        <v>105</v>
      </c>
      <c r="E29" s="280">
        <v>45.08</v>
      </c>
      <c r="F29" s="290"/>
      <c r="G29" s="290"/>
      <c r="H29" s="290">
        <v>3.8499999999999998E-4</v>
      </c>
      <c r="I29" s="279">
        <f>+I28+E29</f>
        <v>1378842.6199999996</v>
      </c>
      <c r="J29" s="288"/>
      <c r="K29" s="290"/>
      <c r="L29" s="280">
        <f>E29</f>
        <v>45.08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1378842.6199999996</v>
      </c>
      <c r="F31" s="319"/>
      <c r="G31" s="319"/>
      <c r="H31" s="319"/>
      <c r="I31" s="318">
        <f>I29</f>
        <v>1378842.6199999996</v>
      </c>
      <c r="J31" s="320"/>
      <c r="K31" s="319"/>
      <c r="L31" s="318">
        <f>L29</f>
        <v>45.08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41913</v>
      </c>
      <c r="B41" s="547" t="s">
        <v>172</v>
      </c>
      <c r="C41" s="547"/>
      <c r="D41" s="306" t="s">
        <v>171</v>
      </c>
      <c r="E41" s="278">
        <v>1808832.340000005</v>
      </c>
      <c r="F41" s="290">
        <v>1</v>
      </c>
      <c r="G41" s="290">
        <v>1</v>
      </c>
      <c r="H41" s="290">
        <v>0</v>
      </c>
      <c r="I41" s="278">
        <f>E41</f>
        <v>1808832.340000005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1808832.340000005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1808832.340000005</v>
      </c>
      <c r="J43" s="288"/>
      <c r="K43" s="290"/>
      <c r="L43" s="279"/>
      <c r="M43" s="307">
        <f>+E43</f>
        <v>0</v>
      </c>
    </row>
    <row r="44" spans="1:13">
      <c r="A44" s="293">
        <f>+A14</f>
        <v>41943</v>
      </c>
      <c r="B44" s="296"/>
      <c r="C44" s="288"/>
      <c r="D44" s="306" t="s">
        <v>105</v>
      </c>
      <c r="E44" s="435">
        <v>146.05000000000001</v>
      </c>
      <c r="F44" s="290"/>
      <c r="G44" s="290"/>
      <c r="H44" s="290">
        <v>1E-3</v>
      </c>
      <c r="I44" s="279">
        <f>+I43+E44</f>
        <v>1808978.390000005</v>
      </c>
      <c r="J44" s="288"/>
      <c r="K44" s="290"/>
      <c r="L44" s="280">
        <f>E44</f>
        <v>146.05000000000001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1808978.390000005</v>
      </c>
      <c r="F46" s="319"/>
      <c r="G46" s="319"/>
      <c r="H46" s="319"/>
      <c r="I46" s="318">
        <f>I44</f>
        <v>1808978.390000005</v>
      </c>
      <c r="J46" s="320"/>
      <c r="K46" s="319"/>
      <c r="L46" s="318">
        <f>L44</f>
        <v>146.05000000000001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5" sqref="H1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327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41913</v>
      </c>
      <c r="B11" s="548" t="s">
        <v>263</v>
      </c>
      <c r="C11" s="547"/>
      <c r="D11" s="289" t="s">
        <v>171</v>
      </c>
      <c r="E11" s="278">
        <v>1241022.110000001</v>
      </c>
      <c r="F11" s="290">
        <v>1</v>
      </c>
      <c r="G11" s="290">
        <v>1</v>
      </c>
      <c r="H11" s="290">
        <v>0</v>
      </c>
      <c r="I11" s="278">
        <f>+E11</f>
        <v>1241022.110000001</v>
      </c>
      <c r="J11" s="288"/>
      <c r="K11" s="290"/>
      <c r="L11" s="291"/>
      <c r="M11" s="292"/>
      <c r="O11" s="91"/>
    </row>
    <row r="12" spans="1:15">
      <c r="A12" s="293"/>
      <c r="B12" s="549"/>
      <c r="C12" s="549"/>
      <c r="D12" s="289" t="s">
        <v>173</v>
      </c>
      <c r="E12" s="279">
        <v>0</v>
      </c>
      <c r="F12" s="290"/>
      <c r="G12" s="290"/>
      <c r="H12" s="290"/>
      <c r="I12" s="279">
        <f>+I11+E12</f>
        <v>1241022.110000001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1241022.110000001</v>
      </c>
      <c r="J13" s="288"/>
      <c r="K13" s="290"/>
      <c r="L13" s="279"/>
      <c r="M13" s="295">
        <f>+E13</f>
        <v>0</v>
      </c>
      <c r="O13" s="91"/>
    </row>
    <row r="14" spans="1:15">
      <c r="A14" s="459">
        <v>41943</v>
      </c>
      <c r="B14" s="296"/>
      <c r="C14" s="288"/>
      <c r="D14" s="289" t="s">
        <v>105</v>
      </c>
      <c r="E14" s="280">
        <v>28.22</v>
      </c>
      <c r="F14" s="290"/>
      <c r="G14" s="290"/>
      <c r="H14" s="488">
        <v>2.6800000000000001E-4</v>
      </c>
      <c r="I14" s="279">
        <f>+I13+E14</f>
        <v>1241050.330000001</v>
      </c>
      <c r="J14" s="288"/>
      <c r="K14" s="290"/>
      <c r="L14" s="280">
        <f>+E14</f>
        <v>28.22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1241050.330000001</v>
      </c>
      <c r="F16" s="319"/>
      <c r="G16" s="319"/>
      <c r="H16" s="319"/>
      <c r="I16" s="318">
        <f>I14</f>
        <v>1241050.330000001</v>
      </c>
      <c r="J16" s="320"/>
      <c r="K16" s="319"/>
      <c r="L16" s="318">
        <f>SUM(L14:L15)</f>
        <v>28.22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topLeftCell="AF1" workbookViewId="0">
      <selection activeCell="AN17" sqref="AN17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550" t="s">
        <v>235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 t="s">
        <v>235</v>
      </c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 t="s">
        <v>235</v>
      </c>
      <c r="AD1" s="550"/>
      <c r="AE1" s="550"/>
      <c r="AF1" s="550"/>
      <c r="AG1" s="550"/>
      <c r="AH1" s="550"/>
      <c r="AI1" s="550"/>
      <c r="AJ1" s="550"/>
      <c r="AK1" s="550"/>
      <c r="AL1" s="550"/>
      <c r="AM1" s="550"/>
      <c r="AN1" s="550"/>
      <c r="AO1" s="550"/>
      <c r="AP1" s="550"/>
      <c r="AQ1" s="550" t="s">
        <v>235</v>
      </c>
      <c r="AR1" s="550"/>
      <c r="AS1" s="550"/>
      <c r="AT1" s="550"/>
      <c r="AU1" s="550"/>
      <c r="AV1" s="550"/>
      <c r="AW1" s="550"/>
      <c r="AX1" s="550"/>
      <c r="AY1" s="550"/>
      <c r="AZ1" s="550"/>
      <c r="BA1" s="550"/>
      <c r="BB1" s="550"/>
      <c r="BC1" s="550"/>
      <c r="BD1" s="550"/>
      <c r="BE1" s="338"/>
      <c r="BF1" s="339"/>
      <c r="BG1" s="339"/>
    </row>
    <row r="2" spans="1:59" ht="19.5">
      <c r="A2" s="550" t="s">
        <v>328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 t="str">
        <f>A2</f>
        <v>Summary of Revenue &amp; Expenditures As Of  10/31/14</v>
      </c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 t="str">
        <f>A2</f>
        <v>Summary of Revenue &amp; Expenditures As Of  10/31/14</v>
      </c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550"/>
      <c r="AQ2" s="550" t="str">
        <f>A2</f>
        <v>Summary of Revenue &amp; Expenditures As Of  10/31/14</v>
      </c>
      <c r="AR2" s="550"/>
      <c r="AS2" s="550"/>
      <c r="AT2" s="550"/>
      <c r="AU2" s="550"/>
      <c r="AV2" s="550"/>
      <c r="AW2" s="550"/>
      <c r="AX2" s="550"/>
      <c r="AY2" s="550"/>
      <c r="AZ2" s="550"/>
      <c r="BA2" s="550"/>
      <c r="BB2" s="550"/>
      <c r="BC2" s="550"/>
      <c r="BD2" s="550"/>
      <c r="BE2" s="338"/>
      <c r="BF2" s="339"/>
      <c r="BG2" s="339"/>
    </row>
    <row r="3" spans="1:59" s="144" customFormat="1" ht="19.5">
      <c r="A3" s="552" t="s">
        <v>324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 t="str">
        <f>A3</f>
        <v>Accounting Period: 10</v>
      </c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  <c r="AA3" s="552"/>
      <c r="AB3" s="552"/>
      <c r="AC3" s="552" t="str">
        <f>O3</f>
        <v>Accounting Period: 10</v>
      </c>
      <c r="AD3" s="552"/>
      <c r="AE3" s="552"/>
      <c r="AF3" s="552"/>
      <c r="AG3" s="552"/>
      <c r="AH3" s="552"/>
      <c r="AI3" s="552"/>
      <c r="AJ3" s="552"/>
      <c r="AK3" s="552"/>
      <c r="AL3" s="552"/>
      <c r="AM3" s="552"/>
      <c r="AN3" s="552"/>
      <c r="AO3" s="552"/>
      <c r="AP3" s="552"/>
      <c r="AQ3" s="552" t="str">
        <f>A3</f>
        <v>Accounting Period: 10</v>
      </c>
      <c r="AR3" s="552"/>
      <c r="AS3" s="552"/>
      <c r="AT3" s="552"/>
      <c r="AU3" s="552"/>
      <c r="AV3" s="552"/>
      <c r="AW3" s="552"/>
      <c r="AX3" s="552"/>
      <c r="AY3" s="552"/>
      <c r="AZ3" s="552"/>
      <c r="BA3" s="552"/>
      <c r="BB3" s="552"/>
      <c r="BC3" s="552"/>
      <c r="BD3" s="552"/>
      <c r="BE3" s="342"/>
      <c r="BF3" s="343"/>
      <c r="BG3" s="343"/>
    </row>
    <row r="4" spans="1:59" ht="20.25" thickBot="1">
      <c r="A4" s="551"/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1"/>
      <c r="AB4" s="551"/>
      <c r="AC4" s="551"/>
      <c r="AD4" s="551"/>
      <c r="AE4" s="551"/>
      <c r="AF4" s="551"/>
      <c r="AG4" s="551"/>
      <c r="AH4" s="551"/>
      <c r="AI4" s="551"/>
      <c r="AJ4" s="551"/>
      <c r="AK4" s="551"/>
      <c r="AL4" s="551"/>
      <c r="AM4" s="551"/>
      <c r="AN4" s="551"/>
      <c r="AO4" s="551"/>
      <c r="AP4" s="551"/>
      <c r="AQ4" s="551"/>
      <c r="AR4" s="551"/>
      <c r="AS4" s="551"/>
      <c r="AT4" s="551"/>
      <c r="AU4" s="551"/>
      <c r="AV4" s="551"/>
      <c r="AW4" s="551"/>
      <c r="AX4" s="551"/>
      <c r="AY4" s="552"/>
      <c r="AZ4" s="552"/>
      <c r="BA4" s="552"/>
      <c r="BB4" s="552"/>
      <c r="BC4" s="552"/>
      <c r="BD4" s="552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507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508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314</v>
      </c>
      <c r="AS7" s="472"/>
      <c r="AT7" s="473"/>
      <c r="AU7" s="325" t="s">
        <v>274</v>
      </c>
      <c r="AW7" s="509"/>
      <c r="AX7" s="502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510"/>
      <c r="AX8" s="502"/>
      <c r="AY8" s="346"/>
      <c r="AZ8" s="144"/>
      <c r="BA8" s="502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486"/>
      <c r="AS9" s="472"/>
      <c r="AT9" s="473"/>
      <c r="AW9" s="510"/>
      <c r="AX9" s="502"/>
      <c r="AY9" s="344"/>
      <c r="AZ9" s="144"/>
      <c r="BA9" s="502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49506151</v>
      </c>
      <c r="E10" s="160">
        <v>1</v>
      </c>
      <c r="F10" s="326">
        <v>379382</v>
      </c>
      <c r="H10" s="160">
        <v>1</v>
      </c>
      <c r="I10" s="326">
        <v>737203</v>
      </c>
      <c r="J10" s="326"/>
      <c r="K10" s="160">
        <v>1</v>
      </c>
      <c r="L10" s="326">
        <v>8977</v>
      </c>
      <c r="M10" s="157"/>
      <c r="N10" s="160">
        <v>1</v>
      </c>
      <c r="O10" s="155" t="s">
        <v>220</v>
      </c>
      <c r="P10" s="156"/>
      <c r="Q10" s="326">
        <v>52414</v>
      </c>
      <c r="S10" s="160">
        <v>1</v>
      </c>
      <c r="T10" s="326">
        <v>46831</v>
      </c>
      <c r="V10" s="160">
        <v>1</v>
      </c>
      <c r="W10" s="326">
        <v>117290</v>
      </c>
      <c r="X10" s="326"/>
      <c r="Y10" s="160">
        <v>1</v>
      </c>
      <c r="Z10" s="335">
        <v>0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218125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498">
        <v>18180345</v>
      </c>
      <c r="AS10" s="474"/>
      <c r="AT10" s="475">
        <v>1</v>
      </c>
      <c r="AU10" s="326">
        <v>579032</v>
      </c>
      <c r="AW10" s="511">
        <v>1</v>
      </c>
      <c r="AX10" s="161"/>
      <c r="AY10" s="348"/>
      <c r="AZ10" s="505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4444883.29</v>
      </c>
      <c r="E11" s="145"/>
      <c r="F11" s="323">
        <v>0</v>
      </c>
      <c r="H11" s="163"/>
      <c r="I11" s="323">
        <v>0</v>
      </c>
      <c r="K11" s="163"/>
      <c r="L11" s="323">
        <v>0</v>
      </c>
      <c r="M11" s="164"/>
      <c r="N11" s="163"/>
      <c r="O11" s="152" t="s">
        <v>221</v>
      </c>
      <c r="P11" s="154"/>
      <c r="Q11" s="323">
        <v>0</v>
      </c>
      <c r="S11" s="145"/>
      <c r="T11" s="323">
        <v>0</v>
      </c>
      <c r="V11" s="163"/>
      <c r="W11" s="323">
        <v>0</v>
      </c>
      <c r="Y11" s="163"/>
      <c r="Z11" s="333">
        <v>0</v>
      </c>
      <c r="AB11" s="163"/>
      <c r="AC11" s="152" t="s">
        <v>221</v>
      </c>
      <c r="AD11" s="154"/>
      <c r="AE11" s="333">
        <v>0</v>
      </c>
      <c r="AG11" s="163"/>
      <c r="AH11" s="333">
        <v>218125.12</v>
      </c>
      <c r="AJ11" s="162"/>
      <c r="AK11" s="333">
        <v>398293.1</v>
      </c>
      <c r="AM11" s="163"/>
      <c r="AN11" s="333">
        <v>353506.38</v>
      </c>
      <c r="AO11" s="146"/>
      <c r="AP11" s="163"/>
      <c r="AQ11" s="152" t="s">
        <v>221</v>
      </c>
      <c r="AR11" s="486">
        <v>146.05000000000001</v>
      </c>
      <c r="AS11" s="472"/>
      <c r="AT11" s="476"/>
      <c r="AU11" s="323">
        <v>50568.34</v>
      </c>
      <c r="AW11" s="509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11964170.039999999</v>
      </c>
      <c r="D12" s="148"/>
      <c r="E12" s="167">
        <f>C12/C10</f>
        <v>0.24167037425309026</v>
      </c>
      <c r="F12" s="327">
        <v>0</v>
      </c>
      <c r="G12" s="148"/>
      <c r="H12" s="167">
        <f>F12/F10</f>
        <v>0</v>
      </c>
      <c r="I12" s="327">
        <v>0</v>
      </c>
      <c r="J12" s="327"/>
      <c r="K12" s="167">
        <f>I12/I10</f>
        <v>0</v>
      </c>
      <c r="L12" s="327">
        <v>0</v>
      </c>
      <c r="M12" s="166"/>
      <c r="N12" s="167">
        <f>L12/L10</f>
        <v>0</v>
      </c>
      <c r="O12" s="152" t="s">
        <v>222</v>
      </c>
      <c r="P12" s="145"/>
      <c r="Q12" s="327">
        <v>0</v>
      </c>
      <c r="R12" s="148"/>
      <c r="S12" s="167">
        <f>Q12/Q10</f>
        <v>0</v>
      </c>
      <c r="T12" s="327">
        <v>0</v>
      </c>
      <c r="U12" s="148"/>
      <c r="V12" s="167">
        <f>T12/T10</f>
        <v>0</v>
      </c>
      <c r="W12" s="327">
        <v>0</v>
      </c>
      <c r="X12" s="327"/>
      <c r="Y12" s="167">
        <f>W12/W10</f>
        <v>0</v>
      </c>
      <c r="Z12" s="334">
        <v>0</v>
      </c>
      <c r="AA12" s="148"/>
      <c r="AB12" s="167" t="e">
        <f>Z12/Z10</f>
        <v>#DIV/0!</v>
      </c>
      <c r="AC12" s="152" t="s">
        <v>222</v>
      </c>
      <c r="AD12" s="145"/>
      <c r="AE12" s="334">
        <v>0</v>
      </c>
      <c r="AF12" s="148"/>
      <c r="AG12" s="167" t="e">
        <f>AE12/AE10</f>
        <v>#DIV/0!</v>
      </c>
      <c r="AH12" s="334">
        <v>218125.12</v>
      </c>
      <c r="AI12" s="148"/>
      <c r="AJ12" s="167">
        <f>AH12/AH10</f>
        <v>1.0000005501432665</v>
      </c>
      <c r="AK12" s="334">
        <v>556892.06000000006</v>
      </c>
      <c r="AL12" s="148"/>
      <c r="AM12" s="167">
        <f>AK12/AK10</f>
        <v>0.1954155332474321</v>
      </c>
      <c r="AN12" s="334">
        <v>363956.01</v>
      </c>
      <c r="AO12" s="148"/>
      <c r="AP12" s="167">
        <f>AN12/AN10</f>
        <v>3.2120681926834892E-2</v>
      </c>
      <c r="AQ12" s="152" t="s">
        <v>222</v>
      </c>
      <c r="AR12" s="499">
        <v>18192539.93</v>
      </c>
      <c r="AS12" s="470"/>
      <c r="AT12" s="167">
        <f>AR12/AR10</f>
        <v>1.0006707754995849</v>
      </c>
      <c r="AU12" s="327">
        <v>98714.97</v>
      </c>
      <c r="AV12" s="148"/>
      <c r="AW12" s="512">
        <f>AU12/AU10</f>
        <v>0.17048275397560067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486"/>
      <c r="AS13" s="472"/>
      <c r="AT13" s="476"/>
      <c r="AW13" s="513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37541980.960000001</v>
      </c>
      <c r="D14" s="152"/>
      <c r="E14" s="170">
        <f>C14/C10</f>
        <v>0.75832962574690976</v>
      </c>
      <c r="F14" s="325">
        <f>F10-F12</f>
        <v>379382</v>
      </c>
      <c r="G14" s="152"/>
      <c r="H14" s="170">
        <f>F14/F10</f>
        <v>1</v>
      </c>
      <c r="I14" s="325">
        <f>I10-I12</f>
        <v>737203</v>
      </c>
      <c r="J14" s="325"/>
      <c r="K14" s="170">
        <f>I14/I10</f>
        <v>1</v>
      </c>
      <c r="L14" s="325">
        <f>L10-L12</f>
        <v>8977</v>
      </c>
      <c r="M14" s="431"/>
      <c r="N14" s="170">
        <f>L14/L10</f>
        <v>1</v>
      </c>
      <c r="O14" s="152" t="s">
        <v>223</v>
      </c>
      <c r="P14" s="430"/>
      <c r="Q14" s="325">
        <f>Q10-Q12</f>
        <v>52414</v>
      </c>
      <c r="R14" s="152"/>
      <c r="S14" s="170">
        <f>Q14/Q10</f>
        <v>1</v>
      </c>
      <c r="T14" s="325">
        <f>T10-T12</f>
        <v>46831</v>
      </c>
      <c r="U14" s="152"/>
      <c r="V14" s="170">
        <f>T14/T10</f>
        <v>1</v>
      </c>
      <c r="W14" s="325">
        <f>W10-W12</f>
        <v>117290</v>
      </c>
      <c r="X14" s="325"/>
      <c r="Y14" s="170">
        <f>W14/W10</f>
        <v>1</v>
      </c>
      <c r="Z14" s="332">
        <f>Z10-Z12</f>
        <v>0</v>
      </c>
      <c r="AA14" s="152"/>
      <c r="AB14" s="170"/>
      <c r="AC14" s="152" t="s">
        <v>223</v>
      </c>
      <c r="AD14" s="430"/>
      <c r="AE14" s="332">
        <f>AE10-AE12</f>
        <v>0</v>
      </c>
      <c r="AF14" s="152"/>
      <c r="AG14" s="170"/>
      <c r="AH14" s="332">
        <f>AH10-AH12</f>
        <v>-0.11999999999534339</v>
      </c>
      <c r="AI14" s="152"/>
      <c r="AJ14" s="170">
        <f>AH14/AH10</f>
        <v>-5.5014326645429634E-7</v>
      </c>
      <c r="AK14" s="466">
        <f>IF(AK10-AK12&lt;0,0,AK10-AK12)</f>
        <v>2292891.94</v>
      </c>
      <c r="AL14" s="152" t="s">
        <v>315</v>
      </c>
      <c r="AM14" s="170">
        <f>AK14/AK10</f>
        <v>0.8045844667525679</v>
      </c>
      <c r="AN14" s="466">
        <f>IF(AN10-AN12&lt;0,0,AN10-AN12)</f>
        <v>10966936.99</v>
      </c>
      <c r="AO14" s="152"/>
      <c r="AP14" s="170">
        <f>AN14/AN10</f>
        <v>0.96787931807316507</v>
      </c>
      <c r="AQ14" s="152" t="s">
        <v>223</v>
      </c>
      <c r="AR14" s="466">
        <f>IF(AR10-AR12&lt;0,0,AR10-AR12)</f>
        <v>0</v>
      </c>
      <c r="AS14" s="478"/>
      <c r="AT14" s="170">
        <f>AR14/AR10</f>
        <v>0</v>
      </c>
      <c r="AU14" s="325">
        <f>AU10-AU12</f>
        <v>480317.03</v>
      </c>
      <c r="AV14" s="152"/>
      <c r="AW14" s="514">
        <f>AU14/AU10</f>
        <v>0.82951724602439936</v>
      </c>
      <c r="AX14" s="503"/>
      <c r="AY14" s="346"/>
      <c r="AZ14" s="506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486"/>
      <c r="AS15" s="472"/>
      <c r="AT15" s="476"/>
      <c r="AW15" s="513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486"/>
      <c r="AS16" s="472"/>
      <c r="AT16" s="476"/>
      <c r="AW16" s="513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51263910</v>
      </c>
      <c r="E17" s="163">
        <v>1</v>
      </c>
      <c r="F17" s="323">
        <v>379382</v>
      </c>
      <c r="H17" s="163">
        <v>1</v>
      </c>
      <c r="I17" s="323">
        <v>737203</v>
      </c>
      <c r="K17" s="163">
        <v>1</v>
      </c>
      <c r="L17" s="323">
        <v>8977</v>
      </c>
      <c r="M17" s="164"/>
      <c r="N17" s="163">
        <v>1</v>
      </c>
      <c r="O17" s="152" t="s">
        <v>224</v>
      </c>
      <c r="P17" s="145"/>
      <c r="Q17" s="323">
        <v>52414</v>
      </c>
      <c r="S17" s="163">
        <v>1</v>
      </c>
      <c r="T17" s="323">
        <v>46831</v>
      </c>
      <c r="V17" s="163">
        <v>1</v>
      </c>
      <c r="W17" s="323">
        <v>117290</v>
      </c>
      <c r="Y17" s="163">
        <v>1</v>
      </c>
      <c r="Z17" s="333">
        <v>0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243050</v>
      </c>
      <c r="AJ17" s="162">
        <v>1</v>
      </c>
      <c r="AK17" s="333">
        <v>2849784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486">
        <v>18180345</v>
      </c>
      <c r="AS17" s="472"/>
      <c r="AT17" s="476">
        <v>1</v>
      </c>
      <c r="AU17" s="323">
        <v>579032</v>
      </c>
      <c r="AW17" s="513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5025474.87</v>
      </c>
      <c r="E18" s="163"/>
      <c r="F18" s="323">
        <v>26276.93</v>
      </c>
      <c r="H18" s="163"/>
      <c r="I18" s="323">
        <v>87967.76</v>
      </c>
      <c r="K18" s="163"/>
      <c r="L18" s="323">
        <v>355</v>
      </c>
      <c r="M18" s="164"/>
      <c r="N18" s="163"/>
      <c r="O18" s="152" t="s">
        <v>225</v>
      </c>
      <c r="P18" s="145"/>
      <c r="Q18" s="323">
        <v>227.04</v>
      </c>
      <c r="S18" s="163"/>
      <c r="T18" s="323">
        <v>3555</v>
      </c>
      <c r="V18" s="163"/>
      <c r="W18" s="323">
        <v>13186.82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31206</v>
      </c>
      <c r="AJ18" s="162"/>
      <c r="AK18" s="333">
        <v>325633.27</v>
      </c>
      <c r="AM18" s="163"/>
      <c r="AN18" s="333">
        <v>0</v>
      </c>
      <c r="AO18" s="146"/>
      <c r="AP18" s="163"/>
      <c r="AQ18" s="152" t="s">
        <v>225</v>
      </c>
      <c r="AR18" s="486">
        <v>0</v>
      </c>
      <c r="AS18" s="472"/>
      <c r="AT18" s="476"/>
      <c r="AU18" s="323">
        <v>50838.73</v>
      </c>
      <c r="AW18" s="513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1705509.04+10224340.04</f>
        <v>11929849.079999998</v>
      </c>
      <c r="D19" s="148"/>
      <c r="E19" s="167">
        <f>C19/C17</f>
        <v>0.23271438093582791</v>
      </c>
      <c r="F19" s="327">
        <f>6246.95+45691.98</f>
        <v>51938.93</v>
      </c>
      <c r="G19" s="148"/>
      <c r="H19" s="167">
        <f>F19/F17</f>
        <v>0.1369040439451529</v>
      </c>
      <c r="I19" s="428">
        <f>23885.14+163021.79</f>
        <v>186906.93</v>
      </c>
      <c r="J19" s="327"/>
      <c r="K19" s="167">
        <f>I19/I17</f>
        <v>0.25353522706771403</v>
      </c>
      <c r="L19" s="327">
        <f>74.99+355</f>
        <v>429.99</v>
      </c>
      <c r="M19" s="166"/>
      <c r="N19" s="167">
        <f>L19/L17</f>
        <v>4.7899075414949317E-2</v>
      </c>
      <c r="O19" s="152" t="str">
        <f>A19</f>
        <v>Exp./Encumbrances to Date</v>
      </c>
      <c r="P19" s="145"/>
      <c r="Q19" s="327">
        <f>650+559.4</f>
        <v>1209.4000000000001</v>
      </c>
      <c r="R19" s="148"/>
      <c r="S19" s="167">
        <f>Q19/Q17</f>
        <v>2.3073987865837375E-2</v>
      </c>
      <c r="T19" s="327">
        <f>2689.41+5623.92</f>
        <v>8313.33</v>
      </c>
      <c r="U19" s="148"/>
      <c r="V19" s="167">
        <f>T19/T17</f>
        <v>0.17751766991949777</v>
      </c>
      <c r="W19" s="327">
        <f>13186.82+12749.12</f>
        <v>25935.940000000002</v>
      </c>
      <c r="X19" s="327"/>
      <c r="Y19" s="167">
        <f>W19/W17</f>
        <v>0.22112660925910138</v>
      </c>
      <c r="Z19" s="334">
        <v>0</v>
      </c>
      <c r="AA19" s="148"/>
      <c r="AB19" s="167" t="e">
        <f>Z19/Z17</f>
        <v>#DIV/0!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126680.26+31206</f>
        <v>157886.26</v>
      </c>
      <c r="AI19" s="148"/>
      <c r="AJ19" s="167">
        <f>AH19/AH17</f>
        <v>0.64960403209216211</v>
      </c>
      <c r="AK19" s="334">
        <f>9101.78+403390.11</f>
        <v>412491.89</v>
      </c>
      <c r="AL19" s="148"/>
      <c r="AM19" s="167">
        <f>AK19/AK17</f>
        <v>0.14474496663606787</v>
      </c>
      <c r="AN19" s="334">
        <v>2410</v>
      </c>
      <c r="AO19" s="148"/>
      <c r="AP19" s="167">
        <f>AN19/AN17</f>
        <v>2.1269285660009321E-4</v>
      </c>
      <c r="AQ19" s="152" t="str">
        <f>+A19</f>
        <v>Exp./Encumbrances to Date</v>
      </c>
      <c r="AR19" s="499">
        <v>16342304.99</v>
      </c>
      <c r="AS19" s="470"/>
      <c r="AT19" s="477">
        <f>AR19/AR17</f>
        <v>0.8988996077907212</v>
      </c>
      <c r="AU19" s="327">
        <f>21193.68+97944.6</f>
        <v>119138.28</v>
      </c>
      <c r="AV19" s="148"/>
      <c r="AW19" s="512">
        <f>AU19/AU17</f>
        <v>0.20575422429157628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486"/>
      <c r="AS20" s="472"/>
      <c r="AT20" s="476"/>
      <c r="AW20" s="513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39334060.920000002</v>
      </c>
      <c r="D21" s="152"/>
      <c r="E21" s="170">
        <f>C21/C17</f>
        <v>0.76728561906417203</v>
      </c>
      <c r="F21" s="325">
        <f>F17-F19</f>
        <v>327443.07</v>
      </c>
      <c r="G21" s="152"/>
      <c r="H21" s="170">
        <f>F21/F17</f>
        <v>0.86309595605484712</v>
      </c>
      <c r="I21" s="325">
        <f>I17-I19</f>
        <v>550296.07000000007</v>
      </c>
      <c r="J21" s="325"/>
      <c r="K21" s="170">
        <f>I21/I17</f>
        <v>0.74646477293228608</v>
      </c>
      <c r="L21" s="325">
        <f>L17-L19</f>
        <v>8547.01</v>
      </c>
      <c r="M21" s="169"/>
      <c r="N21" s="170">
        <f>L21/L17</f>
        <v>0.95210092458505069</v>
      </c>
      <c r="O21" s="152" t="s">
        <v>227</v>
      </c>
      <c r="P21" s="145"/>
      <c r="Q21" s="325">
        <f>Q17-Q19</f>
        <v>51204.6</v>
      </c>
      <c r="R21" s="152"/>
      <c r="S21" s="170">
        <f>Q21/Q17</f>
        <v>0.97692601213416264</v>
      </c>
      <c r="T21" s="325">
        <f>T17-T19</f>
        <v>38517.67</v>
      </c>
      <c r="U21" s="152"/>
      <c r="V21" s="170">
        <f>T21/T17</f>
        <v>0.8224823300805022</v>
      </c>
      <c r="W21" s="325">
        <f>W17-W19</f>
        <v>91354.06</v>
      </c>
      <c r="X21" s="325"/>
      <c r="Y21" s="170">
        <f>W21/W17</f>
        <v>0.77887339074089856</v>
      </c>
      <c r="Z21" s="332">
        <f>Z17-Z19</f>
        <v>0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85163.739999999991</v>
      </c>
      <c r="AI21" s="152"/>
      <c r="AJ21" s="168">
        <f>AH21/AH17</f>
        <v>0.35039596790783784</v>
      </c>
      <c r="AK21" s="332">
        <f>AK17-AK19</f>
        <v>2437292.11</v>
      </c>
      <c r="AL21" s="152"/>
      <c r="AM21" s="170">
        <f>AK21/AK17</f>
        <v>0.85525503336393205</v>
      </c>
      <c r="AN21" s="332">
        <f>AN17-AN19</f>
        <v>11328483</v>
      </c>
      <c r="AO21" s="152"/>
      <c r="AP21" s="170">
        <f>AN21/AN17</f>
        <v>0.99978730714339992</v>
      </c>
      <c r="AQ21" s="152" t="s">
        <v>227</v>
      </c>
      <c r="AR21" s="466">
        <f>AR17-AR19</f>
        <v>1838040.0099999998</v>
      </c>
      <c r="AS21" s="478"/>
      <c r="AT21" s="479">
        <f>AR21/AR17</f>
        <v>0.10110039220927874</v>
      </c>
      <c r="AU21" s="325">
        <f>AU17-AU19</f>
        <v>459893.72</v>
      </c>
      <c r="AV21" s="152"/>
      <c r="AW21" s="514">
        <f>AU21/AU17</f>
        <v>0.7942457757084237</v>
      </c>
      <c r="AX21" s="165"/>
      <c r="AY21" s="346"/>
      <c r="AZ21" s="506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486"/>
      <c r="AS22" s="472"/>
      <c r="AT22" s="476"/>
      <c r="AW22" s="513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486"/>
      <c r="AS23" s="472"/>
      <c r="AT23" s="473"/>
      <c r="AW23" s="509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83">
        <f>C12-C19</f>
        <v>34320.960000000894</v>
      </c>
      <c r="D24" s="173"/>
      <c r="E24" s="174"/>
      <c r="F24" s="325">
        <f>F12-F19</f>
        <v>-51938.93</v>
      </c>
      <c r="G24" s="173"/>
      <c r="H24" s="174"/>
      <c r="I24" s="271">
        <f>I12-I19</f>
        <v>-186906.93</v>
      </c>
      <c r="J24" s="271"/>
      <c r="K24" s="174"/>
      <c r="L24" s="271">
        <f>L12-L19</f>
        <v>-429.99</v>
      </c>
      <c r="M24" s="175"/>
      <c r="N24" s="176"/>
      <c r="O24" s="152" t="s">
        <v>230</v>
      </c>
      <c r="P24" s="145"/>
      <c r="Q24" s="271">
        <f>Q12-Q19</f>
        <v>-1209.4000000000001</v>
      </c>
      <c r="R24" s="173"/>
      <c r="S24" s="174"/>
      <c r="T24" s="271">
        <f>T12-T19</f>
        <v>-8313.33</v>
      </c>
      <c r="U24" s="173"/>
      <c r="V24" s="174"/>
      <c r="W24" s="271">
        <f>W12-W19</f>
        <v>-25935.940000000002</v>
      </c>
      <c r="X24" s="271"/>
      <c r="Y24" s="174"/>
      <c r="Z24" s="332">
        <f>Z12-Z19</f>
        <v>0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0</v>
      </c>
      <c r="AF24" s="173"/>
      <c r="AG24" s="174"/>
      <c r="AH24" s="332">
        <f>AH12-AH19</f>
        <v>60238.859999999986</v>
      </c>
      <c r="AI24" s="173"/>
      <c r="AJ24" s="173"/>
      <c r="AK24" s="332">
        <f>AK12-AK19</f>
        <v>144400.17000000004</v>
      </c>
      <c r="AL24" s="173"/>
      <c r="AM24" s="174"/>
      <c r="AN24" s="332">
        <f>AN12-AN19</f>
        <v>361546.01</v>
      </c>
      <c r="AO24" s="173"/>
      <c r="AP24" s="174"/>
      <c r="AQ24" s="172" t="str">
        <f>+A24</f>
        <v>Actual Expenditures &amp; Encumbrances:</v>
      </c>
      <c r="AR24" s="466">
        <f>AR12-AR19</f>
        <v>1850234.9399999995</v>
      </c>
      <c r="AS24" s="480"/>
      <c r="AT24" s="481"/>
      <c r="AU24" s="271">
        <f>AU12-AU19</f>
        <v>-20423.309999999998</v>
      </c>
      <c r="AV24" s="173"/>
      <c r="AW24" s="515"/>
      <c r="AX24" s="504"/>
      <c r="AY24" s="353"/>
      <c r="AZ24" s="504"/>
      <c r="BA24" s="504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486"/>
      <c r="AS25" s="472"/>
      <c r="AT25" s="473"/>
      <c r="AU25" s="270"/>
      <c r="AW25" s="509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486"/>
      <c r="AS26" s="472"/>
      <c r="AT26" s="473"/>
      <c r="AU26" s="270"/>
      <c r="AW26" s="509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486"/>
      <c r="AS27" s="468"/>
      <c r="AT27" s="473"/>
      <c r="AU27" s="270"/>
      <c r="AW27" s="509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486"/>
      <c r="AS28" s="468"/>
      <c r="AT28" s="473"/>
      <c r="AU28" s="270"/>
      <c r="AW28" s="509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486"/>
      <c r="AS29" s="468"/>
      <c r="AT29" s="473"/>
      <c r="AU29" s="270"/>
      <c r="AW29" s="509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G16" zoomScale="75" zoomScaleNormal="75" zoomScaleSheetLayoutView="75" workbookViewId="0">
      <selection activeCell="Q57" sqref="Q57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387">
        <v>41943</v>
      </c>
      <c r="C9" s="384"/>
      <c r="D9" s="385"/>
      <c r="E9" s="384"/>
      <c r="F9" s="384"/>
      <c r="G9" s="384"/>
      <c r="H9" s="384"/>
      <c r="I9" s="100"/>
      <c r="J9" s="98"/>
      <c r="K9" s="387">
        <v>41943</v>
      </c>
      <c r="L9" s="384"/>
      <c r="M9" s="384"/>
      <c r="N9" s="386"/>
      <c r="O9" s="387"/>
      <c r="P9" s="384"/>
      <c r="Q9" s="386"/>
      <c r="R9" s="384"/>
      <c r="S9" s="100"/>
      <c r="T9" s="98"/>
      <c r="U9" s="484">
        <v>41943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335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329</v>
      </c>
      <c r="E16" s="106" t="s">
        <v>85</v>
      </c>
      <c r="F16" s="451" t="s">
        <v>330</v>
      </c>
      <c r="G16" s="99"/>
      <c r="H16" s="105" t="s">
        <v>286</v>
      </c>
      <c r="I16" s="100"/>
      <c r="J16" s="98"/>
      <c r="K16" s="106"/>
      <c r="L16" s="106"/>
      <c r="M16" s="106"/>
      <c r="N16" s="485" t="s">
        <v>333</v>
      </c>
      <c r="O16" s="107" t="s">
        <v>286</v>
      </c>
      <c r="P16" s="106"/>
      <c r="Q16" s="449" t="s">
        <v>334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657767.82999999996</v>
      </c>
      <c r="E19" s="363"/>
      <c r="F19" s="363">
        <v>657767.82999999996</v>
      </c>
      <c r="G19" s="99" t="s">
        <v>85</v>
      </c>
      <c r="H19" s="113">
        <f>ROUND((+F19+F20)/F61,6)</f>
        <v>2.6808999999999999E-2</v>
      </c>
      <c r="I19" s="100"/>
      <c r="J19" s="98"/>
      <c r="K19" s="99" t="s">
        <v>189</v>
      </c>
      <c r="L19" s="99"/>
      <c r="M19" s="99"/>
      <c r="N19" s="363">
        <f>+F19+F20</f>
        <v>974002.34</v>
      </c>
      <c r="O19" s="113">
        <f>+N19/N61</f>
        <v>2.680947881340693E-2</v>
      </c>
      <c r="P19" s="99"/>
      <c r="Q19" s="489">
        <v>558205.21</v>
      </c>
      <c r="R19" s="113">
        <f>+Q19/Q57</f>
        <v>1.7840227347164318E-2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316234.51</v>
      </c>
      <c r="E20" s="363"/>
      <c r="F20" s="363">
        <v>316234.51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9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9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128.02-6.39</f>
        <v>121.63000000000001</v>
      </c>
      <c r="E22" s="363"/>
      <c r="F22" s="363">
        <f>128.02-6.39</f>
        <v>121.63000000000001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121.63000000000001</v>
      </c>
      <c r="O22" s="114"/>
      <c r="P22" s="99"/>
      <c r="Q22" s="489">
        <f>228.08-11.41</f>
        <v>216.67000000000002</v>
      </c>
      <c r="R22" s="105"/>
      <c r="S22" s="100"/>
      <c r="T22" s="98"/>
      <c r="U22" s="115" t="s">
        <v>337</v>
      </c>
      <c r="V22" s="99"/>
      <c r="W22" s="99"/>
      <c r="Y22" s="371">
        <v>35928565.780000001</v>
      </c>
      <c r="Z22" s="116"/>
      <c r="AA22" s="371">
        <f>36748462.97-35928565.78</f>
        <v>819897.18999999762</v>
      </c>
      <c r="AB22" s="100"/>
      <c r="AC22" s="96"/>
    </row>
    <row r="23" spans="1:29">
      <c r="A23" s="98"/>
      <c r="B23" s="99" t="s">
        <v>194</v>
      </c>
      <c r="C23" s="99"/>
      <c r="D23" s="363">
        <v>0</v>
      </c>
      <c r="E23" s="363"/>
      <c r="F23" s="363">
        <v>0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9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9"/>
      <c r="R24" s="114"/>
      <c r="S24" s="100"/>
      <c r="T24" s="98"/>
      <c r="U24" s="99" t="s">
        <v>198</v>
      </c>
      <c r="V24" s="99"/>
      <c r="W24" s="99"/>
      <c r="Y24" s="363">
        <v>974002.34</v>
      </c>
      <c r="Z24" s="126"/>
      <c r="AA24" s="363">
        <f>1067351.05-974002.34</f>
        <v>93348.710000000079</v>
      </c>
      <c r="AB24" s="100"/>
      <c r="AC24" s="96"/>
    </row>
    <row r="25" spans="1:29">
      <c r="A25" s="98"/>
      <c r="B25" s="99" t="s">
        <v>196</v>
      </c>
      <c r="C25" s="99"/>
      <c r="D25" s="363">
        <v>0</v>
      </c>
      <c r="E25" s="363"/>
      <c r="F25" s="363">
        <v>0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0</v>
      </c>
      <c r="O25" s="114"/>
      <c r="P25" s="99"/>
      <c r="Q25" s="489">
        <v>0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9" t="s">
        <v>199</v>
      </c>
      <c r="R26" s="105"/>
      <c r="S26" s="100"/>
      <c r="T26" s="98"/>
      <c r="U26" s="99" t="s">
        <v>201</v>
      </c>
      <c r="V26" s="99"/>
      <c r="W26" s="99"/>
      <c r="Y26" s="379">
        <v>401955.48</v>
      </c>
      <c r="Z26" s="97" t="s">
        <v>85</v>
      </c>
      <c r="AA26" s="363">
        <f>392845.67-401955.48</f>
        <v>-9109.8099999999977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974123.97</v>
      </c>
      <c r="E27" s="363" t="s">
        <v>85</v>
      </c>
      <c r="F27" s="364">
        <f>SUM(F19:F26)</f>
        <v>974123.97</v>
      </c>
      <c r="G27" s="99"/>
      <c r="H27" s="113">
        <f>ROUND(+F27/F61,6)</f>
        <v>2.6813E-2</v>
      </c>
      <c r="I27" s="100"/>
      <c r="J27" s="98"/>
      <c r="K27" s="99" t="s">
        <v>200</v>
      </c>
      <c r="L27" s="99"/>
      <c r="M27" s="99"/>
      <c r="N27" s="364">
        <f>SUM(N19:N26)</f>
        <v>974123.97</v>
      </c>
      <c r="O27" s="113">
        <f>+N27/N61</f>
        <v>2.681282668719959E-2</v>
      </c>
      <c r="P27" s="99"/>
      <c r="Q27" s="490">
        <f>SUM(Q19:Q26)</f>
        <v>558421.88</v>
      </c>
      <c r="R27" s="113">
        <f>+Q27/Q57</f>
        <v>1.7847152116030791E-2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9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9"/>
      <c r="R29" s="114"/>
      <c r="S29" s="100"/>
      <c r="T29" s="98"/>
      <c r="U29" s="115" t="s">
        <v>338</v>
      </c>
      <c r="V29" s="99"/>
      <c r="W29" s="99"/>
      <c r="X29" s="97" t="s">
        <v>85</v>
      </c>
      <c r="Y29" s="363">
        <f>+Y22-Y24+Y26</f>
        <v>35356518.919999994</v>
      </c>
      <c r="Z29" s="119"/>
      <c r="AA29" s="363">
        <f>+AA22-AA24+AA26</f>
        <v>717438.6699999976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9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9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f>12684.47+55631.93-5258.18</f>
        <v>63058.219999999994</v>
      </c>
      <c r="E32" s="366"/>
      <c r="F32" s="366">
        <v>63058.219999999994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93348.709999999992</v>
      </c>
      <c r="O32" s="114"/>
      <c r="P32" s="99"/>
      <c r="Q32" s="489">
        <f>22004.05-9093.17</f>
        <v>12910.88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f>6072.32+26746.14-2527.97</f>
        <v>30290.489999999998</v>
      </c>
      <c r="E33" s="363"/>
      <c r="F33" s="363">
        <v>30290.489999999998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9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91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10020.35+1261.76+1473.99+10.48+15.62-0.78</f>
        <v>12781.42</v>
      </c>
      <c r="E35" s="363"/>
      <c r="F35" s="363">
        <v>12781.42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18880.45</v>
      </c>
      <c r="O35" s="114"/>
      <c r="P35" s="99"/>
      <c r="Q35" s="489">
        <f>2335.76+2623.03+132.22-6.61</f>
        <v>5084.4000000000015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4817.49+576.95+704.59</f>
        <v>6099.03</v>
      </c>
      <c r="E36" s="363"/>
      <c r="F36" s="363">
        <v>6099.03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9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9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4403.6899999999996</v>
      </c>
      <c r="E38" s="363"/>
      <c r="F38" s="363">
        <v>4403.6899999999996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4403.6899999999996</v>
      </c>
      <c r="O38" s="114"/>
      <c r="P38" s="99"/>
      <c r="Q38" s="489">
        <v>5401.64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9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91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116632.84999999999</v>
      </c>
      <c r="E41" s="363"/>
      <c r="F41" s="364">
        <f>SUM(F32:F40)</f>
        <v>116632.84999999999</v>
      </c>
      <c r="G41" s="99"/>
      <c r="H41" s="374"/>
      <c r="I41" s="100"/>
      <c r="J41" s="98"/>
      <c r="K41" s="97" t="s">
        <v>200</v>
      </c>
      <c r="N41" s="367">
        <f>SUM(N32:N40)</f>
        <v>116632.84999999999</v>
      </c>
      <c r="O41" s="374"/>
      <c r="Q41" s="492">
        <f>SUM(Q32:Q40)</f>
        <v>23396.92</v>
      </c>
      <c r="R41" s="124"/>
      <c r="S41" s="100"/>
      <c r="T41" s="98"/>
      <c r="U41" s="99" t="s">
        <v>340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9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93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9" t="s">
        <v>85</v>
      </c>
      <c r="R44" s="114"/>
      <c r="S44" s="100"/>
      <c r="T44" s="98"/>
      <c r="U44" s="99" t="s">
        <v>339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9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1067351.05</v>
      </c>
      <c r="O46" s="377"/>
      <c r="P46" s="99"/>
      <c r="Q46" s="489">
        <f>+Q19+Q32</f>
        <v>571116.09</v>
      </c>
      <c r="R46" s="105"/>
      <c r="S46" s="100"/>
      <c r="T46" s="98"/>
      <c r="U46" s="99" t="s">
        <v>198</v>
      </c>
      <c r="V46" s="99"/>
      <c r="W46" s="99"/>
      <c r="Y46" s="363">
        <v>974002.34</v>
      </c>
      <c r="Z46" s="126"/>
      <c r="AA46" s="363">
        <v>93348.710000000079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720826.04999999993</v>
      </c>
      <c r="E47" s="363"/>
      <c r="F47" s="363">
        <f>+F19+F32</f>
        <v>720826.04999999993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9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346525</v>
      </c>
      <c r="E48" s="363"/>
      <c r="F48" s="363">
        <f>+F20+F33</f>
        <v>346525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19002.080000000002</v>
      </c>
      <c r="O48" s="378"/>
      <c r="P48" s="99"/>
      <c r="Q48" s="489">
        <f>+Q22+Q35</f>
        <v>5301.0700000000015</v>
      </c>
      <c r="R48" s="114"/>
      <c r="S48" s="100"/>
      <c r="T48" s="98"/>
      <c r="U48" s="99" t="s">
        <v>207</v>
      </c>
      <c r="V48" s="99"/>
      <c r="W48" s="99"/>
      <c r="Y48" s="379">
        <v>401955.48</v>
      </c>
      <c r="Z48" s="97" t="s">
        <v>85</v>
      </c>
      <c r="AA48" s="363">
        <v>-9109.8099999999977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9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12903.05</v>
      </c>
      <c r="E50" s="363"/>
      <c r="F50" s="363">
        <f>+F22+F35</f>
        <v>12903.05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9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6099.03</v>
      </c>
      <c r="E51" s="363"/>
      <c r="F51" s="363">
        <f>+F23+F36</f>
        <v>6099.03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4403.6899999999996</v>
      </c>
      <c r="O51" s="378"/>
      <c r="P51" s="99"/>
      <c r="Q51" s="489">
        <f>+Q25+Q38</f>
        <v>5401.64</v>
      </c>
      <c r="R51" s="114"/>
      <c r="S51" s="100"/>
      <c r="T51" s="98"/>
      <c r="U51" s="99" t="s">
        <v>341</v>
      </c>
      <c r="V51" s="99"/>
      <c r="W51" s="99"/>
      <c r="X51" s="97" t="s">
        <v>85</v>
      </c>
      <c r="Y51" s="363">
        <f>+Y44-Y46+Y48</f>
        <v>35356518.919999994</v>
      </c>
      <c r="Z51" s="119"/>
      <c r="AA51" s="363">
        <f>+AA44-AA46+AA48</f>
        <v>717438.6699999976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4403.6899999999996</v>
      </c>
      <c r="E52" s="363"/>
      <c r="F52" s="363">
        <f>+F25+F38</f>
        <v>4403.6899999999996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9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9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1090756.82</v>
      </c>
      <c r="O54" s="374"/>
      <c r="P54" s="99"/>
      <c r="Q54" s="490">
        <f>+Q27+Q41</f>
        <v>581818.80000000005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1090756.8199999998</v>
      </c>
      <c r="E55" s="366"/>
      <c r="F55" s="367">
        <f>SUM(F47:F54)</f>
        <v>1090756.8199999998</v>
      </c>
      <c r="H55" s="375"/>
      <c r="I55" s="100"/>
      <c r="J55" s="98"/>
      <c r="K55" s="99"/>
      <c r="L55" s="99"/>
      <c r="M55" s="99"/>
      <c r="N55" s="369"/>
      <c r="O55" s="377"/>
      <c r="P55" s="99"/>
      <c r="Q55" s="494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93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336</v>
      </c>
      <c r="L57" s="99"/>
      <c r="M57" s="99"/>
      <c r="N57" s="363"/>
      <c r="O57" s="378"/>
      <c r="P57" s="99"/>
      <c r="Q57" s="489">
        <v>31289130.969999999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331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331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332</v>
      </c>
      <c r="C61" s="99"/>
      <c r="D61" s="112"/>
      <c r="E61" s="99"/>
      <c r="F61" s="446">
        <v>36330521.259999998</v>
      </c>
      <c r="G61" s="99"/>
      <c r="H61" s="99"/>
      <c r="I61" s="100"/>
      <c r="J61" s="98" t="s">
        <v>85</v>
      </c>
      <c r="K61" s="97" t="s">
        <v>332</v>
      </c>
      <c r="L61" s="99"/>
      <c r="M61" s="112"/>
      <c r="N61" s="448">
        <f>+F61</f>
        <v>36330521.259999998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500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240-CN Budget Amds </vt:lpstr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2014-12-08T23:40:46Z</cp:lastPrinted>
  <dcterms:created xsi:type="dcterms:W3CDTF">2011-10-25T18:13:49Z</dcterms:created>
  <dcterms:modified xsi:type="dcterms:W3CDTF">2015-05-29T19:43:36Z</dcterms:modified>
</cp:coreProperties>
</file>