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55" windowWidth="15195" windowHeight="5100" activeTab="11"/>
  </bookViews>
  <sheets>
    <sheet name="GF Budget Amds" sheetId="12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" sheetId="5" r:id="rId7"/>
    <sheet name="Debt Srv Fund Inv" sheetId="10" r:id="rId8"/>
    <sheet name="Rev Exp all fds" sheetId="9" r:id="rId9"/>
    <sheet name="tax coll rep" sheetId="7" r:id="rId10"/>
    <sheet name="POs over $25k" sheetId="13" r:id="rId11"/>
    <sheet name="K-8 STEM" sheetId="14" r:id="rId12"/>
    <sheet name="Bus Barn" sheetId="15" r:id="rId13"/>
    <sheet name="Lakeside MS" sheetId="16" r:id="rId14"/>
    <sheet name="Zellars" sheetId="17" r:id="rId15"/>
  </sheets>
  <definedNames>
    <definedName name="_xlnm.Print_Area" localSheetId="8">'Rev Exp all fds'!$A$1:$BD$35</definedName>
    <definedName name="_xlnm.Print_Area" localSheetId="2">'Stat of Unaudited'!$A$1:$I$62</definedName>
    <definedName name="_xlnm.Print_Area" localSheetId="9">'tax coll rep'!$A$1:$AC$66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F58" i="12" l="1"/>
  <c r="D58" i="12"/>
  <c r="H58" i="12"/>
  <c r="AA26" i="7" l="1"/>
  <c r="AA24" i="7"/>
  <c r="Q35" i="7"/>
  <c r="Q32" i="7"/>
  <c r="AK14" i="9"/>
  <c r="AA46" i="7" l="1"/>
  <c r="AA48" i="7"/>
  <c r="Q22" i="7"/>
  <c r="Q19" i="7"/>
  <c r="F35" i="7" l="1"/>
  <c r="F36" i="7"/>
  <c r="F33" i="7"/>
  <c r="F32" i="7"/>
  <c r="F23" i="7"/>
  <c r="F22" i="7"/>
  <c r="F20" i="7"/>
  <c r="F19" i="7"/>
  <c r="D36" i="7"/>
  <c r="D35" i="7"/>
  <c r="D33" i="7"/>
  <c r="D32" i="7"/>
  <c r="D23" i="7"/>
  <c r="D22" i="7"/>
  <c r="D20" i="7"/>
  <c r="D19" i="7"/>
  <c r="C19" i="9"/>
  <c r="C18" i="9"/>
  <c r="C17" i="9"/>
  <c r="C12" i="9"/>
  <c r="C11" i="9"/>
  <c r="E14" i="4"/>
  <c r="E17" i="4"/>
  <c r="F39" i="2" l="1"/>
  <c r="I16" i="2" l="1"/>
  <c r="I10" i="2"/>
  <c r="E36" i="2"/>
  <c r="C10" i="9" l="1"/>
  <c r="AW12" i="9" l="1"/>
  <c r="AN14" i="9"/>
  <c r="AU14" i="9"/>
  <c r="AW14" i="9" s="1"/>
  <c r="J128" i="1" l="1"/>
  <c r="F128" i="1"/>
  <c r="F38" i="1" l="1"/>
  <c r="F41" i="1"/>
  <c r="F49" i="1"/>
  <c r="F50" i="1"/>
  <c r="F16" i="1"/>
  <c r="F17" i="1"/>
  <c r="F18" i="1"/>
  <c r="F36" i="2" l="1"/>
  <c r="Y29" i="7" l="1"/>
  <c r="AB22" i="11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M10" i="3" l="1"/>
  <c r="K32" i="3" l="1"/>
  <c r="K21" i="3"/>
  <c r="K10" i="3"/>
  <c r="H33" i="2" l="1"/>
  <c r="I10" i="3" l="1"/>
  <c r="J39" i="1" l="1"/>
  <c r="J38" i="1"/>
  <c r="G10" i="3" l="1"/>
  <c r="G52" i="11"/>
  <c r="G29" i="11" l="1"/>
  <c r="G12" i="11"/>
  <c r="AA44" i="7" l="1"/>
  <c r="E48" i="11" l="1"/>
  <c r="G48" i="11" s="1"/>
  <c r="I48" i="11" s="1"/>
  <c r="K48" i="11" s="1"/>
  <c r="M48" i="11" s="1"/>
  <c r="O48" i="11" s="1"/>
  <c r="Q48" i="11" s="1"/>
  <c r="S48" i="11" s="1"/>
  <c r="U48" i="11" s="1"/>
  <c r="W48" i="11" s="1"/>
  <c r="Y48" i="11" s="1"/>
  <c r="E47" i="11"/>
  <c r="G47" i="11" s="1"/>
  <c r="I47" i="11" s="1"/>
  <c r="K47" i="11" s="1"/>
  <c r="M47" i="11" s="1"/>
  <c r="O47" i="11" s="1"/>
  <c r="Q47" i="11" s="1"/>
  <c r="S47" i="11" s="1"/>
  <c r="U47" i="11" s="1"/>
  <c r="W47" i="11" s="1"/>
  <c r="Y47" i="11" s="1"/>
  <c r="E46" i="11"/>
  <c r="G46" i="11" s="1"/>
  <c r="I46" i="11" s="1"/>
  <c r="K46" i="11" s="1"/>
  <c r="M46" i="11" s="1"/>
  <c r="O46" i="11" s="1"/>
  <c r="Q46" i="11" s="1"/>
  <c r="S46" i="11" s="1"/>
  <c r="U46" i="11" s="1"/>
  <c r="W46" i="11" s="1"/>
  <c r="Y46" i="11" s="1"/>
  <c r="H10" i="2" l="1"/>
  <c r="N35" i="7" l="1"/>
  <c r="N61" i="7" l="1"/>
  <c r="N59" i="7"/>
  <c r="F53" i="7"/>
  <c r="D53" i="7"/>
  <c r="F52" i="7"/>
  <c r="D52" i="7"/>
  <c r="AA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Y44" i="7"/>
  <c r="Y51" i="7" s="1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BB24" i="9"/>
  <c r="AY24" i="9"/>
  <c r="AU24" i="9"/>
  <c r="AR24" i="9"/>
  <c r="AQ24" i="9"/>
  <c r="AN24" i="9"/>
  <c r="AK24" i="9"/>
  <c r="AH24" i="9"/>
  <c r="AE24" i="9"/>
  <c r="AC24" i="9"/>
  <c r="Z24" i="9"/>
  <c r="W24" i="9"/>
  <c r="T24" i="9"/>
  <c r="Q24" i="9"/>
  <c r="L24" i="9"/>
  <c r="I24" i="9"/>
  <c r="F24" i="9"/>
  <c r="C24" i="9"/>
  <c r="BB21" i="9"/>
  <c r="BD21" i="9" s="1"/>
  <c r="AY21" i="9"/>
  <c r="BA21" i="9" s="1"/>
  <c r="AU21" i="9"/>
  <c r="AW21" i="9" s="1"/>
  <c r="AR21" i="9"/>
  <c r="AT21" i="9" s="1"/>
  <c r="AN21" i="9"/>
  <c r="AP21" i="9" s="1"/>
  <c r="AK21" i="9"/>
  <c r="AM21" i="9" s="1"/>
  <c r="AH21" i="9"/>
  <c r="AJ21" i="9" s="1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BD19" i="9"/>
  <c r="BA19" i="9"/>
  <c r="AW19" i="9"/>
  <c r="AT19" i="9"/>
  <c r="AQ19" i="9"/>
  <c r="AP19" i="9"/>
  <c r="AM19" i="9"/>
  <c r="AJ19" i="9"/>
  <c r="AG19" i="9"/>
  <c r="AC19" i="9"/>
  <c r="AB19" i="9"/>
  <c r="Y19" i="9"/>
  <c r="V19" i="9"/>
  <c r="S19" i="9"/>
  <c r="O19" i="9"/>
  <c r="N19" i="9"/>
  <c r="K19" i="9"/>
  <c r="H19" i="9"/>
  <c r="E19" i="9"/>
  <c r="BB14" i="9"/>
  <c r="BD14" i="9" s="1"/>
  <c r="AY14" i="9"/>
  <c r="BA14" i="9" s="1"/>
  <c r="AT14" i="9"/>
  <c r="AP14" i="9"/>
  <c r="AM14" i="9"/>
  <c r="AJ14" i="9"/>
  <c r="AH14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BD12" i="9"/>
  <c r="BA12" i="9"/>
  <c r="AT12" i="9"/>
  <c r="AP12" i="9"/>
  <c r="AM12" i="9"/>
  <c r="AJ12" i="9"/>
  <c r="AG12" i="9"/>
  <c r="AB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E31" i="5"/>
  <c r="L29" i="5"/>
  <c r="L31" i="5" s="1"/>
  <c r="A29" i="5"/>
  <c r="M28" i="5"/>
  <c r="M31" i="5" s="1"/>
  <c r="I26" i="5"/>
  <c r="I27" i="5" s="1"/>
  <c r="I28" i="5" s="1"/>
  <c r="I29" i="5" s="1"/>
  <c r="I31" i="5" s="1"/>
  <c r="A26" i="5"/>
  <c r="E16" i="5"/>
  <c r="L14" i="5"/>
  <c r="L16" i="5" s="1"/>
  <c r="M13" i="5"/>
  <c r="M16" i="5" s="1"/>
  <c r="I11" i="5"/>
  <c r="I12" i="5" s="1"/>
  <c r="I13" i="5" s="1"/>
  <c r="I14" i="5" s="1"/>
  <c r="I16" i="5" s="1"/>
  <c r="C34" i="3"/>
  <c r="AB33" i="3"/>
  <c r="AB32" i="3"/>
  <c r="AB31" i="3"/>
  <c r="AB30" i="3"/>
  <c r="C30" i="3"/>
  <c r="E30" i="3" s="1"/>
  <c r="G30" i="3" s="1"/>
  <c r="I30" i="3" s="1"/>
  <c r="I34" i="3" s="1"/>
  <c r="K30" i="3" s="1"/>
  <c r="Y23" i="3"/>
  <c r="W23" i="3"/>
  <c r="Q23" i="3"/>
  <c r="I23" i="3"/>
  <c r="I25" i="3" s="1"/>
  <c r="AB22" i="3"/>
  <c r="AB21" i="3"/>
  <c r="U19" i="3"/>
  <c r="U23" i="3" s="1"/>
  <c r="S19" i="3"/>
  <c r="S23" i="3" s="1"/>
  <c r="Q19" i="3"/>
  <c r="O19" i="3"/>
  <c r="O23" i="3" s="1"/>
  <c r="M19" i="3"/>
  <c r="M23" i="3" s="1"/>
  <c r="K19" i="3"/>
  <c r="K23" i="3" s="1"/>
  <c r="I19" i="3"/>
  <c r="G19" i="3"/>
  <c r="G23" i="3" s="1"/>
  <c r="E19" i="3"/>
  <c r="E23" i="3" s="1"/>
  <c r="C19" i="3"/>
  <c r="AB19" i="3" s="1"/>
  <c r="AB18" i="3"/>
  <c r="Y15" i="3"/>
  <c r="W15" i="3"/>
  <c r="W25" i="3" s="1"/>
  <c r="U15" i="3"/>
  <c r="U25" i="3" s="1"/>
  <c r="S15" i="3"/>
  <c r="Q15" i="3"/>
  <c r="O15" i="3"/>
  <c r="M15" i="3"/>
  <c r="K15" i="3"/>
  <c r="I15" i="3"/>
  <c r="G15" i="3"/>
  <c r="G25" i="3" s="1"/>
  <c r="E15" i="3"/>
  <c r="C15" i="3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Q39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C41" i="11" s="1"/>
  <c r="C43" i="11" s="1"/>
  <c r="AB24" i="11"/>
  <c r="AB23" i="11"/>
  <c r="AB21" i="11"/>
  <c r="AB20" i="11"/>
  <c r="AB19" i="11"/>
  <c r="AB18" i="11"/>
  <c r="AB17" i="11"/>
  <c r="AB16" i="11"/>
  <c r="AB15" i="11"/>
  <c r="AB14" i="11"/>
  <c r="AB13" i="11"/>
  <c r="AB12" i="11"/>
  <c r="AB11" i="11"/>
  <c r="AB10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F13" i="2"/>
  <c r="F45" i="2" s="1"/>
  <c r="E13" i="2"/>
  <c r="D13" i="2"/>
  <c r="H12" i="2"/>
  <c r="G12" i="2"/>
  <c r="H11" i="2"/>
  <c r="G11" i="2"/>
  <c r="G10" i="2"/>
  <c r="D136" i="1"/>
  <c r="J133" i="1"/>
  <c r="F133" i="1"/>
  <c r="I131" i="1"/>
  <c r="H131" i="1"/>
  <c r="D131" i="1"/>
  <c r="F130" i="1"/>
  <c r="F129" i="1"/>
  <c r="J127" i="1"/>
  <c r="F127" i="1"/>
  <c r="J126" i="1"/>
  <c r="F126" i="1"/>
  <c r="J125" i="1"/>
  <c r="F125" i="1"/>
  <c r="J124" i="1"/>
  <c r="F124" i="1"/>
  <c r="J123" i="1"/>
  <c r="F123" i="1"/>
  <c r="J122" i="1"/>
  <c r="F122" i="1"/>
  <c r="J121" i="1"/>
  <c r="F121" i="1"/>
  <c r="J120" i="1"/>
  <c r="F120" i="1"/>
  <c r="J119" i="1"/>
  <c r="F119" i="1"/>
  <c r="J118" i="1"/>
  <c r="F118" i="1"/>
  <c r="J117" i="1"/>
  <c r="F117" i="1"/>
  <c r="J116" i="1"/>
  <c r="F116" i="1"/>
  <c r="J115" i="1"/>
  <c r="F115" i="1"/>
  <c r="J114" i="1"/>
  <c r="F114" i="1"/>
  <c r="J113" i="1"/>
  <c r="F113" i="1"/>
  <c r="J112" i="1"/>
  <c r="J131" i="1" s="1"/>
  <c r="J136" i="1" s="1"/>
  <c r="F112" i="1"/>
  <c r="J111" i="1"/>
  <c r="F111" i="1"/>
  <c r="J107" i="1"/>
  <c r="I107" i="1"/>
  <c r="H107" i="1"/>
  <c r="E107" i="1"/>
  <c r="D107" i="1"/>
  <c r="F106" i="1"/>
  <c r="J105" i="1"/>
  <c r="F105" i="1"/>
  <c r="J104" i="1"/>
  <c r="F104" i="1"/>
  <c r="F107" i="1" s="1"/>
  <c r="F95" i="1"/>
  <c r="A90" i="1"/>
  <c r="A136" i="1" s="1"/>
  <c r="D87" i="1"/>
  <c r="F87" i="1" s="1"/>
  <c r="A87" i="1"/>
  <c r="A133" i="1" s="1"/>
  <c r="D85" i="1"/>
  <c r="D90" i="1" s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61" i="1" s="1"/>
  <c r="F58" i="1"/>
  <c r="F96" i="1"/>
  <c r="H41" i="1"/>
  <c r="J41" i="1" s="1"/>
  <c r="I36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F19" i="1"/>
  <c r="J18" i="1"/>
  <c r="J17" i="1"/>
  <c r="J16" i="1"/>
  <c r="I13" i="1"/>
  <c r="I44" i="1" s="1"/>
  <c r="H13" i="1"/>
  <c r="H44" i="1" s="1"/>
  <c r="E13" i="1"/>
  <c r="D13" i="1"/>
  <c r="J12" i="1"/>
  <c r="F12" i="1"/>
  <c r="J11" i="1"/>
  <c r="F11" i="1"/>
  <c r="J10" i="1"/>
  <c r="J13" i="1" s="1"/>
  <c r="F10" i="1"/>
  <c r="E7" i="11" l="1"/>
  <c r="C56" i="11"/>
  <c r="I136" i="1"/>
  <c r="F131" i="1"/>
  <c r="S25" i="3"/>
  <c r="M25" i="3"/>
  <c r="J44" i="1"/>
  <c r="C23" i="3"/>
  <c r="C25" i="3" s="1"/>
  <c r="C27" i="3" s="1"/>
  <c r="E34" i="3"/>
  <c r="E25" i="3"/>
  <c r="F85" i="1"/>
  <c r="F90" i="1" s="1"/>
  <c r="H136" i="1"/>
  <c r="Y25" i="3"/>
  <c r="G34" i="3"/>
  <c r="Y41" i="11"/>
  <c r="W41" i="11"/>
  <c r="U41" i="11"/>
  <c r="D44" i="1"/>
  <c r="E131" i="1"/>
  <c r="F136" i="1"/>
  <c r="E136" i="1" s="1"/>
  <c r="S41" i="11"/>
  <c r="Q25" i="3"/>
  <c r="Q41" i="11"/>
  <c r="E85" i="1"/>
  <c r="E90" i="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E43" i="11" s="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C36" i="3" l="1"/>
  <c r="E7" i="3"/>
  <c r="E27" i="3" s="1"/>
  <c r="AB25" i="3"/>
  <c r="AB27" i="3" s="1"/>
  <c r="E26" i="4" s="1"/>
  <c r="E34" i="4" s="1"/>
  <c r="E56" i="11"/>
  <c r="G7" i="11"/>
  <c r="G43" i="11"/>
  <c r="F44" i="1"/>
  <c r="E44" i="1" s="1"/>
  <c r="AB39" i="11"/>
  <c r="K34" i="3"/>
  <c r="M30" i="3" s="1"/>
  <c r="O30" i="3" s="1"/>
  <c r="Q30" i="3" s="1"/>
  <c r="S30" i="3" s="1"/>
  <c r="U30" i="3" s="1"/>
  <c r="AB41" i="11"/>
  <c r="AB43" i="11" s="1"/>
  <c r="N54" i="7"/>
  <c r="O27" i="7"/>
  <c r="M34" i="3" l="1"/>
  <c r="O34" i="3" s="1"/>
  <c r="AB36" i="3"/>
  <c r="G56" i="11"/>
  <c r="I7" i="11"/>
  <c r="I43" i="11" s="1"/>
  <c r="E36" i="3"/>
  <c r="G7" i="3"/>
  <c r="G27" i="3" s="1"/>
  <c r="AB56" i="11"/>
  <c r="E8" i="4"/>
  <c r="E20" i="4" s="1"/>
  <c r="Q34" i="3"/>
  <c r="K7" i="11" l="1"/>
  <c r="K43" i="11" s="1"/>
  <c r="I56" i="11"/>
  <c r="I7" i="3"/>
  <c r="I27" i="3" s="1"/>
  <c r="G36" i="3"/>
  <c r="E38" i="4"/>
  <c r="S34" i="3"/>
  <c r="K7" i="3" l="1"/>
  <c r="K27" i="3" s="1"/>
  <c r="I36" i="3"/>
  <c r="M7" i="11"/>
  <c r="M43" i="11" s="1"/>
  <c r="K56" i="11"/>
  <c r="W30" i="3"/>
  <c r="Y30" i="3" s="1"/>
  <c r="U34" i="3"/>
  <c r="M56" i="11" l="1"/>
  <c r="O7" i="11"/>
  <c r="O43" i="11" s="1"/>
  <c r="M7" i="3"/>
  <c r="M27" i="3" s="1"/>
  <c r="K36" i="3"/>
  <c r="W34" i="3"/>
  <c r="Y34" i="3"/>
  <c r="O7" i="3" l="1"/>
  <c r="O27" i="3" s="1"/>
  <c r="M36" i="3"/>
  <c r="Q7" i="11"/>
  <c r="Q43" i="11" s="1"/>
  <c r="O56" i="11"/>
  <c r="S7" i="11" l="1"/>
  <c r="S43" i="11" s="1"/>
  <c r="Q56" i="11"/>
  <c r="Q7" i="3"/>
  <c r="Q27" i="3" s="1"/>
  <c r="O36" i="3"/>
  <c r="S7" i="3" l="1"/>
  <c r="S27" i="3" s="1"/>
  <c r="Q36" i="3"/>
  <c r="U7" i="11"/>
  <c r="U43" i="11" s="1"/>
  <c r="S56" i="11"/>
  <c r="W7" i="11" l="1"/>
  <c r="W43" i="11" s="1"/>
  <c r="U56" i="11"/>
  <c r="U7" i="3"/>
  <c r="U27" i="3" s="1"/>
  <c r="S36" i="3"/>
  <c r="W7" i="3" l="1"/>
  <c r="W27" i="3" s="1"/>
  <c r="U36" i="3"/>
  <c r="Y7" i="11"/>
  <c r="Y43" i="11" s="1"/>
  <c r="Y56" i="11" s="1"/>
  <c r="W56" i="11"/>
  <c r="Y7" i="3" l="1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E29" authorId="0">
      <text>
        <r>
          <rPr>
            <b/>
            <sz val="9"/>
            <color indexed="81"/>
            <rFont val="Tahoma"/>
            <family val="2"/>
          </rPr>
          <t>Reclass bus monitors annual expense to Function 11</t>
        </r>
      </text>
    </comment>
    <comment ref="F39" authorId="0">
      <text>
        <r>
          <rPr>
            <b/>
            <sz val="9"/>
            <color indexed="81"/>
            <rFont val="Tahoma"/>
            <family val="2"/>
          </rPr>
          <t>Proceeds from tax notes $4,786,484.95 and credit Durham settlement $341,448.81 recorded directly to fund bal as PY adj</t>
        </r>
      </text>
    </comment>
  </commentList>
</comments>
</file>

<file path=xl/comments2.xml><?xml version="1.0" encoding="utf-8"?>
<comments xmlns="http://schemas.openxmlformats.org/spreadsheetml/2006/main">
  <authors>
    <author>BETH EULER</author>
    <author>Beth Euler</author>
  </authors>
  <commentList>
    <comment ref="I12" authorId="0">
      <text>
        <r>
          <rPr>
            <b/>
            <sz val="9"/>
            <color indexed="81"/>
            <rFont val="Tahoma"/>
            <family val="2"/>
          </rPr>
          <t>$910K TASB Risk insur recovery for roofs</t>
        </r>
      </text>
    </comment>
    <comment ref="W12" authorId="0">
      <text>
        <r>
          <rPr>
            <b/>
            <sz val="9"/>
            <color indexed="81"/>
            <rFont val="Tahoma"/>
            <family val="2"/>
          </rPr>
          <t>$1.7M insurance recovery</t>
        </r>
      </text>
    </comment>
    <comment ref="S15" authorId="0">
      <text>
        <r>
          <rPr>
            <b/>
            <sz val="9"/>
            <color indexed="81"/>
            <rFont val="Tahoma"/>
            <family val="2"/>
          </rPr>
          <t>Instructional Facilities Allotment Adjustment</t>
        </r>
      </text>
    </comment>
    <comment ref="Q18" authorId="1">
      <text>
        <r>
          <rPr>
            <b/>
            <sz val="9"/>
            <color indexed="81"/>
            <rFont val="Tahoma"/>
            <family val="2"/>
          </rPr>
          <t xml:space="preserve">Impact Aid $429K
</t>
        </r>
      </text>
    </comment>
    <comment ref="U30" authorId="0">
      <text>
        <r>
          <rPr>
            <b/>
            <sz val="9"/>
            <color indexed="81"/>
            <rFont val="Tahoma"/>
            <family val="2"/>
          </rPr>
          <t>Timing - TRS pymt of $176K on 07-01-14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  <comment ref="C53" authorId="0">
      <text>
        <r>
          <rPr>
            <b/>
            <sz val="9"/>
            <color indexed="81"/>
            <rFont val="Tahoma"/>
            <family val="2"/>
          </rPr>
          <t>Bond Refunding</t>
        </r>
      </text>
    </comment>
  </commentList>
</comments>
</file>

<file path=xl/sharedStrings.xml><?xml version="1.0" encoding="utf-8"?>
<sst xmlns="http://schemas.openxmlformats.org/spreadsheetml/2006/main" count="1029" uniqueCount="478">
  <si>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</si>
  <si>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</si>
  <si>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</si>
  <si>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</si>
  <si>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</si>
  <si>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</si>
  <si>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</si>
  <si>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</si>
  <si>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</si>
  <si>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</si>
  <si>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</si>
  <si>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</si>
  <si>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</si>
  <si>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</si>
  <si>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</si>
  <si>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</si>
  <si>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</si>
  <si>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</si>
  <si>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</si>
  <si>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</si>
  <si>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</si>
  <si>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</si>
  <si>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</si>
  <si>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</si>
  <si>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</si>
  <si>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</si>
  <si>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</si>
  <si>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</si>
  <si>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</si>
  <si>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</si>
  <si>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</si>
  <si>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</si>
  <si>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</si>
  <si>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</si>
  <si>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</si>
  <si>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</si>
  <si>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</si>
  <si>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</si>
  <si>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</si>
  <si>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</si>
  <si>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</si>
  <si>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</si>
  <si>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</si>
  <si>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</si>
  <si>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</si>
  <si>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</si>
  <si>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</si>
  <si>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</si>
  <si>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</si>
  <si>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</si>
  <si>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</si>
  <si>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</si>
  <si>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</si>
  <si>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</si>
  <si>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</si>
  <si>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</si>
  <si>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</si>
  <si>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</si>
  <si>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</si>
  <si>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</si>
  <si>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</si>
  <si>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</si>
  <si>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</si>
  <si>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</si>
  <si>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</si>
  <si>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</si>
  <si>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</si>
  <si>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</si>
  <si>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</si>
  <si>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</si>
  <si>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</si>
  <si>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</si>
  <si>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</si>
  <si>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</si>
  <si>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</si>
  <si>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</si>
  <si>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</si>
  <si>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</si>
  <si>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</si>
  <si>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</si>
  <si>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</si>
  <si>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</si>
  <si>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</si>
  <si>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</si>
  <si>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</si>
  <si>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</si>
  <si>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</si>
  <si>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</si>
  <si>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</si>
  <si>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</si>
  <si>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</si>
  <si>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</si>
  <si>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</si>
  <si>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</si>
  <si>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</si>
  <si>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</si>
  <si>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</si>
  <si>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</si>
  <si>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</si>
  <si>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</si>
  <si>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</si>
  <si>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</si>
  <si>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</si>
  <si>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</si>
  <si>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</si>
  <si>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</si>
  <si>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</si>
  <si>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</si>
  <si>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</si>
  <si>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</si>
  <si>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</si>
  <si>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</si>
  <si>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</si>
  <si>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</si>
  <si>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</si>
  <si>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</si>
  <si>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</si>
  <si>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</si>
  <si>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</si>
  <si>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</si>
  <si>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</si>
  <si>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</si>
  <si>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</si>
  <si>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</si>
  <si>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</si>
  <si>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</si>
  <si>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</si>
  <si>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</si>
  <si>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</si>
  <si>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</si>
  <si>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</si>
  <si>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</si>
  <si>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</si>
  <si>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</si>
  <si>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</si>
  <si>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</si>
  <si>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</si>
  <si>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</si>
  <si>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</si>
  <si>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</si>
  <si>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</si>
  <si>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</si>
  <si>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</si>
  <si>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</si>
  <si>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</si>
  <si>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</si>
  <si>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</si>
  <si>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</si>
  <si>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</si>
  <si>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</si>
  <si>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</si>
  <si>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</si>
  <si>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</si>
  <si>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</si>
  <si>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</si>
  <si>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</si>
  <si>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</si>
  <si>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</si>
  <si>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</si>
  <si>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</si>
  <si>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</si>
  <si>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</si>
  <si>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</si>
  <si>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</si>
  <si>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</si>
  <si>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</si>
  <si>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</si>
  <si>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</si>
  <si>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</si>
  <si>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</si>
  <si>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</si>
  <si>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</si>
  <si>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</si>
  <si>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</si>
  <si>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</si>
  <si>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</si>
  <si>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</si>
  <si>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</si>
  <si>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</si>
  <si>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</si>
  <si>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</si>
  <si>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</si>
  <si>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</si>
  <si>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</si>
  <si>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</si>
  <si>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</si>
  <si>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</si>
  <si>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</si>
  <si>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</si>
  <si>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</si>
  <si>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</si>
  <si>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</si>
  <si>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</si>
  <si>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</si>
  <si>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</si>
  <si>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</si>
  <si>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</si>
  <si>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</si>
  <si>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</si>
  <si>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</si>
  <si>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</si>
  <si>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</si>
  <si>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</si>
  <si>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</si>
  <si>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</si>
  <si>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</si>
  <si>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</si>
  <si>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</si>
  <si>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</si>
  <si>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</si>
  <si>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</si>
  <si>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</si>
  <si>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</si>
  <si>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</si>
  <si>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</si>
  <si>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</si>
  <si>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</si>
  <si>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</si>
  <si>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</si>
  <si>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</si>
  <si>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Print Shop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</si>
  <si>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</si>
  <si>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</si>
  <si>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</si>
  <si>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</si>
  <si>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</si>
  <si>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</si>
  <si>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</si>
  <si>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</si>
  <si>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</si>
  <si>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</si>
  <si>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</si>
  <si>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</si>
  <si>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</si>
  <si>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</si>
  <si>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</si>
  <si>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</si>
  <si>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</si>
  <si>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</si>
  <si>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</si>
  <si>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</si>
  <si>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</si>
  <si>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</si>
  <si>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</si>
  <si>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</si>
  <si>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</si>
  <si>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</si>
  <si>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</si>
  <si>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</si>
  <si>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</si>
  <si>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</si>
  <si>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</si>
  <si>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</si>
  <si>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</si>
  <si>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</si>
  <si>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</si>
  <si>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</si>
  <si>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Page 1 of 3</t>
  </si>
  <si>
    <t>Page 2 of 3</t>
  </si>
  <si>
    <t>Page 3 of 3</t>
  </si>
  <si>
    <t>CHILD CARE</t>
  </si>
  <si>
    <t>PRINT SHOP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</si>
  <si>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</si>
  <si>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</si>
  <si>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</si>
  <si>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</si>
  <si>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</si>
  <si>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</si>
  <si>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</si>
  <si>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</si>
  <si>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</si>
  <si>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</si>
  <si>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</si>
  <si>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</si>
  <si>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</si>
  <si>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</si>
  <si>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</si>
  <si>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</si>
  <si>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</si>
  <si>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</si>
  <si>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Fund:  752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</si>
  <si>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</si>
  <si>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</si>
  <si>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</si>
  <si>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</si>
  <si>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</si>
  <si>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</si>
  <si>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</si>
  <si>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</si>
  <si>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</si>
  <si>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</si>
  <si>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</si>
  <si>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</si>
  <si>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</si>
  <si>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</si>
  <si>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</si>
  <si>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</si>
  <si>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</si>
  <si>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</si>
  <si>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</si>
  <si>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</si>
  <si>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</si>
  <si>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</si>
  <si>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</si>
  <si>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</si>
  <si>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</si>
  <si>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</si>
  <si>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</si>
  <si>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</si>
  <si>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</si>
  <si>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</si>
  <si>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</si>
  <si>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</si>
  <si>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</si>
  <si>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</si>
  <si>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Tax Year 2012</t>
  </si>
  <si>
    <t>Fund 404</t>
  </si>
  <si>
    <t>Accelerated Reading</t>
  </si>
  <si>
    <t>ORIGINAL</t>
  </si>
  <si>
    <r>
      <t xml:space="preserve">EST FUND BALANCE </t>
    </r>
    <r>
      <rPr>
        <b/>
        <sz val="10"/>
        <color rgb="FF0070C0"/>
        <rFont val="Geneva"/>
      </rPr>
      <t>08/31/14</t>
    </r>
  </si>
  <si>
    <t>FY 2013-2014</t>
  </si>
  <si>
    <t>2013-2014</t>
  </si>
  <si>
    <t>Original 2013 Tax Levy</t>
  </si>
  <si>
    <t>Current 2013 Tax Levy</t>
  </si>
  <si>
    <t>Tax Year 2013</t>
  </si>
  <si>
    <t>Adjusted 2012 Tax Levy</t>
  </si>
  <si>
    <t>2013-2014 Fund Balance Comparison</t>
  </si>
  <si>
    <t>00 Other Uses</t>
  </si>
  <si>
    <t>00 Other Resources</t>
  </si>
  <si>
    <t>FUND BALANCE 08/31/13</t>
  </si>
  <si>
    <t>Fund Balance 08/31/13</t>
  </si>
  <si>
    <t>Proceeds Maintenance Tax Notes</t>
  </si>
  <si>
    <t>2012-13 Bonds</t>
  </si>
  <si>
    <t>Original 2013 Tax Levy (as of 10-1-13)</t>
  </si>
  <si>
    <t>as of August 31, 2014</t>
  </si>
  <si>
    <t>As of August 31, 2014</t>
  </si>
  <si>
    <t>.</t>
  </si>
  <si>
    <t>MONTH ENDED:  August 31, 2014</t>
  </si>
  <si>
    <t>MONTH ENDED: August 31, 2014</t>
  </si>
  <si>
    <t>Summary of Revenue &amp; Expenditures As Of  08/31/14</t>
  </si>
  <si>
    <t>Accounting Period: 08</t>
  </si>
  <si>
    <t>Month of August</t>
  </si>
  <si>
    <t>10/1/13 thru 08/31/14</t>
  </si>
  <si>
    <t>August 2014</t>
  </si>
  <si>
    <t>August 2013</t>
  </si>
  <si>
    <r>
      <t>Tax Levy Remaining as of</t>
    </r>
    <r>
      <rPr>
        <sz val="12"/>
        <color theme="4"/>
        <rFont val="Arial"/>
        <family val="2"/>
      </rPr>
      <t xml:space="preserve"> 08/01/14</t>
    </r>
  </si>
  <si>
    <r>
      <t xml:space="preserve">Remaining Levy as of </t>
    </r>
    <r>
      <rPr>
        <sz val="12"/>
        <color theme="4"/>
        <rFont val="Arial"/>
        <family val="2"/>
      </rPr>
      <t xml:space="preserve"> 08/31/14</t>
    </r>
  </si>
  <si>
    <r>
      <t xml:space="preserve">Cumulative (From 10/01/13 thru </t>
    </r>
    <r>
      <rPr>
        <sz val="12"/>
        <color theme="4"/>
        <rFont val="Arial"/>
        <family val="2"/>
      </rPr>
      <t>08/31/14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</si>
  <si>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4"/>
        <rFont val="Arial"/>
        <family val="2"/>
      </rPr>
      <t>08/31/14</t>
    </r>
  </si>
  <si>
    <t>`</t>
  </si>
  <si>
    <t>Fund</t>
  </si>
  <si>
    <t>FX</t>
  </si>
  <si>
    <t>Decrease</t>
  </si>
  <si>
    <t>Increase</t>
  </si>
  <si>
    <t>Org</t>
  </si>
  <si>
    <t>Effect on Budget</t>
  </si>
  <si>
    <t>Reason</t>
  </si>
  <si>
    <t>To realocated funds to cover teacher travel and supplies.</t>
  </si>
  <si>
    <t>To reallocate funds to cover AVID membership dues.</t>
  </si>
  <si>
    <t>To increase the art Trenton League budget by the amount of art fees received.</t>
  </si>
  <si>
    <t>To increase the band budget by the amount of band fees received.</t>
  </si>
  <si>
    <t>To increase the student supply account by a gift amount.</t>
  </si>
  <si>
    <t>To reallocate funds to cover Region XI training.</t>
  </si>
  <si>
    <t>To reallocate funds to cover additional staff development.</t>
  </si>
  <si>
    <t>To reallocate funds to cover professional dues.</t>
  </si>
  <si>
    <t>To increase supplies by the amount of Target gift.</t>
  </si>
  <si>
    <t>To increase the student travel account by the amount of the Target gift.</t>
  </si>
  <si>
    <t>To reallocate funds to the appropriate account for staff development.</t>
  </si>
  <si>
    <t>To reallocate funds to cover additional COGAT expense.</t>
  </si>
  <si>
    <t>To increase the budget to include donation from Target.</t>
  </si>
  <si>
    <t>To increase the budget by the amount of art fees received.</t>
  </si>
  <si>
    <t>To reallocate funds to cover purchase of STEMscopes and Sumdog.</t>
  </si>
  <si>
    <t>To reallocate funds to cover supplies and misc costs for tuition based Pre-K.</t>
  </si>
  <si>
    <t>To increase the budget by art fees collected.</t>
  </si>
  <si>
    <t>To reallocate funds to cover additional supplies and travel expenses.</t>
  </si>
  <si>
    <t>To increase the budget by the amount of art fees collected to student art supplies.</t>
  </si>
  <si>
    <t>To reallocate funds to cover additional staff development expenses.</t>
  </si>
  <si>
    <t>To increase the band budget by the amount of band fees collected.</t>
  </si>
  <si>
    <t>To reallocate funds to cover additional instructional services.</t>
  </si>
  <si>
    <t>To reallocate funds to cover additional contracted services expenses.</t>
  </si>
  <si>
    <t>To increase the athletic stadium budget rental fees collected.</t>
  </si>
  <si>
    <t>To reallocated funds to cover dual credit expenses.</t>
  </si>
  <si>
    <t>To reallocate funds to the appropriate campus org code for CIS.</t>
  </si>
  <si>
    <t>To increase the budget for roof repairs and HVAC repairs.</t>
  </si>
  <si>
    <t>To reallocate funds to cover student band travel.</t>
  </si>
  <si>
    <t>To reallocate funds to cover GT travel</t>
  </si>
  <si>
    <t>Total</t>
  </si>
  <si>
    <t>Board Approval: ___________________________________</t>
  </si>
  <si>
    <t>To increase the payroll budget to cover the 4 additional ftes approval in September.</t>
  </si>
  <si>
    <t xml:space="preserve">   October 2014</t>
  </si>
  <si>
    <t>Purchase Orders &gt;$25,000</t>
  </si>
  <si>
    <t>09/01/2014-09/30/2014</t>
  </si>
  <si>
    <t>PO Nbr</t>
  </si>
  <si>
    <t>Date</t>
  </si>
  <si>
    <t>Vendor Name</t>
  </si>
  <si>
    <t>Vendor#</t>
  </si>
  <si>
    <t>Descripton</t>
  </si>
  <si>
    <t>Fnd-Fnc-Obj.So-Org-Prg</t>
  </si>
  <si>
    <t>Amount</t>
  </si>
  <si>
    <t>technology for Education, LLC</t>
  </si>
  <si>
    <t>Equipment</t>
  </si>
  <si>
    <t>199-52-6639.04-851-599</t>
  </si>
  <si>
    <t>Swagit Productions, LLC</t>
  </si>
  <si>
    <t>Renaissance Learning, Inc.</t>
  </si>
  <si>
    <t>STARR 360 Subscription</t>
  </si>
  <si>
    <t>410-11-6299.00-821-511</t>
  </si>
  <si>
    <t>Edgenuity Inc.</t>
  </si>
  <si>
    <t>Site Licenses/On-site assistance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</si>
  <si>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</si>
  <si>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</si>
  <si>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</si>
  <si>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</si>
  <si>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</si>
  <si>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as of 10/07/14</t>
  </si>
  <si>
    <t>Expenditures to Date</t>
  </si>
  <si>
    <t>FY 12-13</t>
  </si>
  <si>
    <t>FY 13-14</t>
  </si>
  <si>
    <t>Project Codes</t>
  </si>
  <si>
    <t>Project</t>
  </si>
  <si>
    <t>Fund 647</t>
  </si>
  <si>
    <t>Fund 199</t>
  </si>
  <si>
    <t>Total  Project Cost</t>
  </si>
  <si>
    <t>Less Retainage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</si>
  <si>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</si>
  <si>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</si>
  <si>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</si>
  <si>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</si>
  <si>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</si>
  <si>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</si>
  <si>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</si>
  <si>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</si>
  <si>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</si>
  <si>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</si>
  <si>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</si>
  <si>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</si>
  <si>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</si>
  <si>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</si>
  <si>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</si>
  <si>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</si>
  <si>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</si>
  <si>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</si>
  <si>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</si>
  <si>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</si>
  <si>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</si>
  <si>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</si>
  <si>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</si>
  <si>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</si>
  <si>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Bus Barn / Maintenance Facility</t>
  </si>
  <si>
    <t>General Fund</t>
  </si>
  <si>
    <t>Total Project Cost</t>
  </si>
  <si>
    <t>81-6629-10-999-X99000</t>
  </si>
  <si>
    <t>81-6629-11-999-X99000</t>
  </si>
  <si>
    <t>81-6629-12-999-X99000</t>
  </si>
  <si>
    <t>Propane Fueling Station</t>
  </si>
  <si>
    <t>81-6629-13-999-X99000</t>
  </si>
  <si>
    <t>Wash Bay</t>
  </si>
  <si>
    <t>81-6629-14-999-X99000</t>
  </si>
  <si>
    <t>81-6629-15-999-X99000</t>
  </si>
  <si>
    <t>CM Contingency</t>
  </si>
  <si>
    <t>LAKESIDE MIDDLE SCHOOL RENOVATION PROJECT</t>
  </si>
  <si>
    <t>Preliminary</t>
  </si>
  <si>
    <t>Savings</t>
  </si>
  <si>
    <t>Project Budget</t>
  </si>
  <si>
    <t>Current Year Expenditures to Date</t>
  </si>
  <si>
    <t>199-81-6629-00-041-499000</t>
  </si>
  <si>
    <t>199-81-6629-02-041-499000</t>
  </si>
  <si>
    <t>199-81-6629-03-041-499000</t>
  </si>
  <si>
    <t>Flooring</t>
  </si>
  <si>
    <t>199-81-6629-04-041-499000</t>
  </si>
  <si>
    <t>ZELLARS RENOVATION PROJECT</t>
  </si>
  <si>
    <t>Renovations</t>
  </si>
  <si>
    <t>Carpet</t>
  </si>
  <si>
    <t>Child Care Doors &amp; Windows</t>
  </si>
  <si>
    <t>199-81-6629-01-102-499000</t>
  </si>
  <si>
    <t>Zellars Renovations</t>
  </si>
  <si>
    <t>720-81-6629-01-102-499000</t>
  </si>
  <si>
    <t>To reallocate funds to cover additional travel expense.</t>
  </si>
  <si>
    <t>To increase the STEM Academy budget by the amount of dollars from start up ordered but not received until September.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</si>
</sst>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</numFmts>
  <fonts count="57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2"/>
      <color indexed="10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0"/>
      <color rgb="FFFF0000"/>
      <name val="Arial"/>
      <family val="2"/>
    </font>
    <font>
      <sz val="10"/>
      <color rgb="FFFF0000"/>
      <name val="Geneva"/>
    </font>
    <font>
      <b/>
      <sz val="9"/>
      <color rgb="FFFF0000"/>
      <name val="Arial"/>
      <family val="2"/>
    </font>
    <font>
      <sz val="12"/>
      <color rgb="FF0070C0"/>
      <name val="Arial"/>
      <family val="2"/>
    </font>
    <font>
      <b/>
      <sz val="10"/>
      <color rgb="FF0070C0"/>
      <name val="Geneva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20"/>
      <color rgb="FFC0000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40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8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8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7" fontId="5" fillId="0" borderId="0"/>
    <xf numFmtId="0" fontId="10" fillId="0" borderId="0"/>
    <xf numFmtId="0" fontId="31" fillId="0" borderId="0"/>
    <xf numFmtId="0" fontId="10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0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97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horizontal="centerContinuous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Continuous"/>
    </xf>
    <xf numFmtId="0" fontId="4" fillId="0" borderId="0" xfId="0" quotePrefix="1" applyFont="1" applyFill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Continuous"/>
    </xf>
    <xf numFmtId="164" fontId="4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4" fillId="0" borderId="1" xfId="0" applyFont="1" applyBorder="1"/>
    <xf numFmtId="0" fontId="4" fillId="0" borderId="0" xfId="0" applyFont="1"/>
    <xf numFmtId="5" fontId="7" fillId="0" borderId="0" xfId="0" applyNumberFormat="1" applyFont="1" applyFill="1" applyAlignment="1">
      <alignment horizontal="center"/>
    </xf>
    <xf numFmtId="5" fontId="9" fillId="0" borderId="0" xfId="0" applyNumberFormat="1" applyFont="1" applyFill="1" applyAlignment="1">
      <alignment horizontal="center"/>
    </xf>
    <xf numFmtId="5" fontId="4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4" fontId="4" fillId="0" borderId="0" xfId="0" applyNumberFormat="1" applyFont="1"/>
    <xf numFmtId="0" fontId="11" fillId="0" borderId="0" xfId="12" applyFont="1" applyAlignment="1">
      <alignment horizontal="center"/>
    </xf>
    <xf numFmtId="0" fontId="10" fillId="0" borderId="0" xfId="12"/>
    <xf numFmtId="0" fontId="12" fillId="0" borderId="0" xfId="12" applyFont="1"/>
    <xf numFmtId="0" fontId="13" fillId="0" borderId="3" xfId="12" applyFont="1" applyBorder="1" applyAlignment="1">
      <alignment horizontal="center"/>
    </xf>
    <xf numFmtId="0" fontId="11" fillId="0" borderId="3" xfId="12" applyFont="1" applyBorder="1" applyAlignment="1">
      <alignment horizontal="center"/>
    </xf>
    <xf numFmtId="0" fontId="11" fillId="0" borderId="4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11" fillId="0" borderId="5" xfId="12" applyFont="1" applyBorder="1" applyAlignment="1">
      <alignment horizontal="center"/>
    </xf>
    <xf numFmtId="0" fontId="11" fillId="0" borderId="0" xfId="12" applyFont="1"/>
    <xf numFmtId="0" fontId="13" fillId="0" borderId="6" xfId="12" applyFont="1" applyBorder="1" applyAlignment="1">
      <alignment horizontal="center"/>
    </xf>
    <xf numFmtId="0" fontId="11" fillId="0" borderId="6" xfId="12" applyFont="1" applyBorder="1" applyAlignment="1">
      <alignment horizontal="center"/>
    </xf>
    <xf numFmtId="0" fontId="14" fillId="0" borderId="6" xfId="12" applyFont="1" applyBorder="1" applyAlignment="1">
      <alignment horizontal="center"/>
    </xf>
    <xf numFmtId="0" fontId="11" fillId="0" borderId="7" xfId="12" applyFont="1" applyBorder="1" applyAlignment="1">
      <alignment horizontal="center"/>
    </xf>
    <xf numFmtId="10" fontId="10" fillId="0" borderId="5" xfId="12" applyNumberFormat="1" applyFont="1" applyBorder="1"/>
    <xf numFmtId="9" fontId="10" fillId="0" borderId="0" xfId="12" applyNumberFormat="1" applyAlignment="1">
      <alignment horizontal="center"/>
    </xf>
    <xf numFmtId="9" fontId="13" fillId="0" borderId="0" xfId="12" applyNumberFormat="1" applyFont="1" applyAlignment="1">
      <alignment horizontal="center"/>
    </xf>
    <xf numFmtId="49" fontId="11" fillId="0" borderId="0" xfId="12" applyNumberFormat="1" applyFont="1" applyAlignment="1">
      <alignment horizontal="center"/>
    </xf>
    <xf numFmtId="10" fontId="15" fillId="0" borderId="5" xfId="12" applyNumberFormat="1" applyFont="1" applyBorder="1"/>
    <xf numFmtId="10" fontId="13" fillId="0" borderId="5" xfId="12" applyNumberFormat="1" applyFont="1" applyBorder="1"/>
    <xf numFmtId="0" fontId="10" fillId="0" borderId="0" xfId="12" applyAlignment="1">
      <alignment horizontal="center"/>
    </xf>
    <xf numFmtId="10" fontId="10" fillId="0" borderId="0" xfId="12" applyNumberFormat="1"/>
    <xf numFmtId="0" fontId="18" fillId="0" borderId="0" xfId="12" applyFont="1"/>
    <xf numFmtId="0" fontId="13" fillId="0" borderId="0" xfId="12" applyFont="1"/>
    <xf numFmtId="0" fontId="10" fillId="0" borderId="0" xfId="9" applyAlignment="1">
      <alignment horizontal="right"/>
    </xf>
    <xf numFmtId="0" fontId="10" fillId="0" borderId="0" xfId="9"/>
    <xf numFmtId="0" fontId="19" fillId="0" borderId="0" xfId="9" applyFont="1"/>
    <xf numFmtId="0" fontId="11" fillId="0" borderId="0" xfId="9" applyFont="1"/>
    <xf numFmtId="0" fontId="11" fillId="0" borderId="0" xfId="9" applyFont="1" applyAlignment="1">
      <alignment horizontal="right"/>
    </xf>
    <xf numFmtId="0" fontId="10" fillId="0" borderId="1" xfId="9" applyBorder="1" applyAlignment="1">
      <alignment horizontal="right"/>
    </xf>
    <xf numFmtId="0" fontId="10" fillId="0" borderId="0" xfId="9" applyAlignment="1">
      <alignment horizontal="left" indent="2"/>
    </xf>
    <xf numFmtId="0" fontId="10" fillId="0" borderId="0" xfId="9" applyBorder="1"/>
    <xf numFmtId="0" fontId="20" fillId="0" borderId="0" xfId="9" applyFont="1"/>
    <xf numFmtId="167" fontId="4" fillId="0" borderId="0" xfId="11" applyFont="1" applyBorder="1"/>
    <xf numFmtId="167" fontId="5" fillId="0" borderId="0" xfId="11" applyBorder="1"/>
    <xf numFmtId="0" fontId="10" fillId="0" borderId="0" xfId="7"/>
    <xf numFmtId="167" fontId="7" fillId="0" borderId="0" xfId="11" applyFont="1" applyBorder="1" applyAlignment="1">
      <alignment horizontal="center"/>
    </xf>
    <xf numFmtId="167" fontId="21" fillId="0" borderId="0" xfId="11" applyFont="1" applyAlignment="1">
      <alignment horizontal="center"/>
    </xf>
    <xf numFmtId="167" fontId="5" fillId="0" borderId="0" xfId="11" applyNumberFormat="1" applyFont="1" applyFill="1" applyBorder="1" applyAlignment="1" applyProtection="1"/>
    <xf numFmtId="167" fontId="22" fillId="0" borderId="6" xfId="11" applyFont="1" applyBorder="1"/>
    <xf numFmtId="167" fontId="23" fillId="0" borderId="6" xfId="11" applyFont="1" applyBorder="1"/>
    <xf numFmtId="7" fontId="4" fillId="0" borderId="0" xfId="11" applyNumberFormat="1" applyFont="1" applyBorder="1"/>
    <xf numFmtId="167" fontId="5" fillId="0" borderId="0" xfId="11" applyFont="1"/>
    <xf numFmtId="8" fontId="5" fillId="0" borderId="0" xfId="6" applyFont="1" applyBorder="1"/>
    <xf numFmtId="167" fontId="4" fillId="0" borderId="0" xfId="11" applyFont="1" applyFill="1" applyBorder="1"/>
    <xf numFmtId="8" fontId="5" fillId="0" borderId="0" xfId="6" applyFont="1" applyFill="1" applyBorder="1"/>
    <xf numFmtId="167" fontId="5" fillId="0" borderId="0" xfId="11" applyFont="1" applyBorder="1"/>
    <xf numFmtId="39" fontId="4" fillId="0" borderId="0" xfId="11" applyNumberFormat="1" applyFont="1" applyBorder="1" applyAlignment="1">
      <alignment horizontal="center"/>
    </xf>
    <xf numFmtId="167" fontId="4" fillId="0" borderId="0" xfId="11" applyFont="1" applyFill="1" applyBorder="1" applyAlignment="1">
      <alignment horizontal="center"/>
    </xf>
    <xf numFmtId="3" fontId="5" fillId="0" borderId="0" xfId="11" applyNumberFormat="1" applyFill="1" applyBorder="1"/>
    <xf numFmtId="167" fontId="4" fillId="0" borderId="8" xfId="11" applyFont="1" applyBorder="1" applyAlignment="1">
      <alignment horizontal="center"/>
    </xf>
    <xf numFmtId="167" fontId="4" fillId="0" borderId="0" xfId="11" applyFont="1" applyBorder="1" applyAlignment="1">
      <alignment horizontal="center"/>
    </xf>
    <xf numFmtId="0" fontId="26" fillId="0" borderId="0" xfId="8" applyFont="1" applyAlignment="1">
      <alignment horizontal="left"/>
    </xf>
    <xf numFmtId="0" fontId="10" fillId="0" borderId="0" xfId="8" applyAlignment="1">
      <alignment horizontal="center"/>
    </xf>
    <xf numFmtId="168" fontId="10" fillId="0" borderId="0" xfId="8" applyNumberFormat="1" applyAlignment="1">
      <alignment horizontal="center"/>
    </xf>
    <xf numFmtId="0" fontId="10" fillId="0" borderId="0" xfId="8"/>
    <xf numFmtId="0" fontId="26" fillId="0" borderId="9" xfId="8" applyFont="1" applyBorder="1" applyAlignment="1">
      <alignment horizontal="center"/>
    </xf>
    <xf numFmtId="0" fontId="26" fillId="0" borderId="3" xfId="8" applyFont="1" applyBorder="1" applyAlignment="1">
      <alignment horizontal="center"/>
    </xf>
    <xf numFmtId="168" fontId="26" fillId="0" borderId="3" xfId="8" applyNumberFormat="1" applyFont="1" applyBorder="1" applyAlignment="1">
      <alignment horizontal="center"/>
    </xf>
    <xf numFmtId="0" fontId="27" fillId="0" borderId="10" xfId="8" applyFont="1" applyBorder="1" applyAlignment="1">
      <alignment horizontal="center"/>
    </xf>
    <xf numFmtId="0" fontId="11" fillId="0" borderId="0" xfId="8" applyFont="1" applyBorder="1" applyAlignment="1">
      <alignment horizontal="center"/>
    </xf>
    <xf numFmtId="0" fontId="26" fillId="0" borderId="0" xfId="8" applyFont="1" applyBorder="1" applyAlignment="1">
      <alignment horizontal="center"/>
    </xf>
    <xf numFmtId="168" fontId="26" fillId="0" borderId="0" xfId="8" applyNumberFormat="1" applyFont="1" applyBorder="1" applyAlignment="1">
      <alignment horizontal="center"/>
    </xf>
    <xf numFmtId="0" fontId="26" fillId="0" borderId="11" xfId="8" applyFont="1" applyBorder="1" applyAlignment="1">
      <alignment horizontal="center"/>
    </xf>
    <xf numFmtId="0" fontId="26" fillId="0" borderId="6" xfId="8" applyFont="1" applyBorder="1" applyAlignment="1">
      <alignment horizontal="center"/>
    </xf>
    <xf numFmtId="168" fontId="26" fillId="0" borderId="6" xfId="8" applyNumberFormat="1" applyFont="1" applyBorder="1" applyAlignment="1">
      <alignment horizontal="center"/>
    </xf>
    <xf numFmtId="8" fontId="10" fillId="0" borderId="0" xfId="8" applyNumberFormat="1" applyAlignment="1">
      <alignment horizontal="right"/>
    </xf>
    <xf numFmtId="0" fontId="32" fillId="0" borderId="12" xfId="13" applyNumberFormat="1" applyFont="1" applyBorder="1" applyAlignment="1"/>
    <xf numFmtId="0" fontId="32" fillId="0" borderId="13" xfId="13" applyNumberFormat="1" applyFont="1" applyBorder="1" applyAlignment="1"/>
    <xf numFmtId="0" fontId="32" fillId="0" borderId="14" xfId="13" applyNumberFormat="1" applyFont="1" applyBorder="1" applyAlignment="1"/>
    <xf numFmtId="0" fontId="31" fillId="0" borderId="13" xfId="13" applyNumberFormat="1" applyFont="1" applyBorder="1" applyAlignment="1"/>
    <xf numFmtId="0" fontId="31" fillId="0" borderId="15" xfId="13" applyNumberFormat="1" applyFont="1" applyBorder="1"/>
    <xf numFmtId="0" fontId="31" fillId="0" borderId="0" xfId="13" applyNumberFormat="1" applyFont="1" applyAlignment="1"/>
    <xf numFmtId="0" fontId="32" fillId="0" borderId="15" xfId="13" applyNumberFormat="1" applyFont="1" applyBorder="1" applyAlignment="1"/>
    <xf numFmtId="0" fontId="32" fillId="0" borderId="0" xfId="13" applyNumberFormat="1" applyFont="1" applyAlignment="1"/>
    <xf numFmtId="0" fontId="32" fillId="0" borderId="16" xfId="13" applyNumberFormat="1" applyFont="1" applyBorder="1" applyAlignment="1"/>
    <xf numFmtId="0" fontId="32" fillId="0" borderId="17" xfId="13" applyNumberFormat="1" applyFont="1" applyBorder="1" applyAlignment="1"/>
    <xf numFmtId="0" fontId="32" fillId="0" borderId="18" xfId="13" applyNumberFormat="1" applyFont="1" applyBorder="1" applyAlignment="1"/>
    <xf numFmtId="0" fontId="32" fillId="0" borderId="19" xfId="13" applyNumberFormat="1" applyFont="1" applyBorder="1" applyAlignment="1"/>
    <xf numFmtId="0" fontId="31" fillId="0" borderId="18" xfId="13" applyNumberFormat="1" applyFont="1" applyBorder="1" applyAlignment="1"/>
    <xf numFmtId="0" fontId="32" fillId="0" borderId="0" xfId="13" applyNumberFormat="1" applyFont="1" applyAlignment="1">
      <alignment horizontal="center"/>
    </xf>
    <xf numFmtId="0" fontId="32" fillId="0" borderId="0" xfId="13" applyNumberFormat="1" applyFont="1" applyAlignment="1">
      <alignment horizontal="fill"/>
    </xf>
    <xf numFmtId="0" fontId="31" fillId="0" borderId="0" xfId="13" applyNumberFormat="1" applyFont="1" applyAlignment="1">
      <alignment horizontal="center"/>
    </xf>
    <xf numFmtId="0" fontId="32" fillId="0" borderId="16" xfId="13" applyNumberFormat="1" applyFont="1" applyBorder="1" applyAlignment="1">
      <alignment horizontal="fill"/>
    </xf>
    <xf numFmtId="0" fontId="33" fillId="0" borderId="15" xfId="13" applyNumberFormat="1" applyFont="1" applyBorder="1" applyAlignment="1">
      <alignment horizontal="right"/>
    </xf>
    <xf numFmtId="0" fontId="32" fillId="0" borderId="15" xfId="13" applyNumberFormat="1" applyFont="1" applyBorder="1" applyAlignment="1">
      <alignment horizontal="right"/>
    </xf>
    <xf numFmtId="170" fontId="32" fillId="0" borderId="0" xfId="13" applyNumberFormat="1" applyFont="1" applyAlignment="1"/>
    <xf numFmtId="4" fontId="32" fillId="0" borderId="0" xfId="13" applyNumberFormat="1" applyFont="1" applyAlignment="1"/>
    <xf numFmtId="10" fontId="32" fillId="0" borderId="0" xfId="13" applyNumberFormat="1" applyFont="1" applyAlignment="1"/>
    <xf numFmtId="10" fontId="32" fillId="0" borderId="0" xfId="13" applyNumberFormat="1" applyFont="1" applyAlignment="1">
      <alignment horizontal="center"/>
    </xf>
    <xf numFmtId="0" fontId="32" fillId="0" borderId="0" xfId="13" applyNumberFormat="1" applyFont="1" applyAlignment="1">
      <alignment horizontal="left"/>
    </xf>
    <xf numFmtId="170" fontId="31" fillId="0" borderId="0" xfId="13" applyNumberFormat="1" applyFont="1" applyFill="1" applyAlignment="1"/>
    <xf numFmtId="4" fontId="32" fillId="0" borderId="16" xfId="13" applyNumberFormat="1" applyFont="1" applyBorder="1" applyAlignment="1"/>
    <xf numFmtId="0" fontId="31" fillId="0" borderId="16" xfId="13" applyNumberFormat="1" applyFont="1" applyBorder="1" applyAlignment="1"/>
    <xf numFmtId="170" fontId="31" fillId="0" borderId="0" xfId="13" applyNumberFormat="1" applyFont="1" applyAlignment="1"/>
    <xf numFmtId="0" fontId="34" fillId="0" borderId="0" xfId="13" applyNumberFormat="1" applyFont="1" applyAlignment="1"/>
    <xf numFmtId="4" fontId="34" fillId="0" borderId="0" xfId="13" applyNumberFormat="1" applyFont="1" applyAlignment="1"/>
    <xf numFmtId="171" fontId="32" fillId="0" borderId="0" xfId="13" applyNumberFormat="1" applyFont="1" applyAlignment="1" applyProtection="1">
      <protection hidden="1"/>
    </xf>
    <xf numFmtId="4" fontId="34" fillId="0" borderId="16" xfId="13" applyNumberFormat="1" applyFont="1" applyBorder="1" applyAlignment="1"/>
    <xf numFmtId="10" fontId="31" fillId="0" borderId="0" xfId="13" applyNumberFormat="1" applyFont="1" applyAlignment="1"/>
    <xf numFmtId="10" fontId="32" fillId="0" borderId="16" xfId="13" applyNumberFormat="1" applyFont="1" applyBorder="1" applyAlignment="1"/>
    <xf numFmtId="4" fontId="31" fillId="0" borderId="0" xfId="13" applyNumberFormat="1" applyFont="1" applyAlignment="1"/>
    <xf numFmtId="170" fontId="32" fillId="0" borderId="18" xfId="13" applyNumberFormat="1" applyFont="1" applyBorder="1" applyAlignment="1"/>
    <xf numFmtId="10" fontId="31" fillId="0" borderId="0" xfId="13" applyNumberFormat="1" applyFont="1"/>
    <xf numFmtId="0" fontId="35" fillId="0" borderId="15" xfId="13" applyNumberFormat="1" applyFont="1" applyBorder="1" applyAlignment="1">
      <alignment horizontal="right"/>
    </xf>
    <xf numFmtId="0" fontId="31" fillId="0" borderId="15" xfId="13" applyNumberFormat="1" applyFont="1" applyBorder="1" applyAlignment="1"/>
    <xf numFmtId="0" fontId="31" fillId="0" borderId="20" xfId="13" applyNumberFormat="1" applyFont="1" applyBorder="1" applyAlignment="1"/>
    <xf numFmtId="0" fontId="31" fillId="0" borderId="6" xfId="13" applyNumberFormat="1" applyFont="1" applyBorder="1" applyAlignment="1"/>
    <xf numFmtId="0" fontId="32" fillId="0" borderId="6" xfId="13" applyNumberFormat="1" applyFont="1" applyBorder="1" applyAlignment="1"/>
    <xf numFmtId="4" fontId="32" fillId="0" borderId="6" xfId="13" applyNumberFormat="1" applyFont="1" applyBorder="1" applyAlignment="1"/>
    <xf numFmtId="10" fontId="32" fillId="0" borderId="6" xfId="13" applyNumberFormat="1" applyFont="1" applyBorder="1" applyAlignment="1"/>
    <xf numFmtId="0" fontId="32" fillId="0" borderId="21" xfId="13" applyNumberFormat="1" applyFont="1" applyBorder="1" applyAlignment="1"/>
    <xf numFmtId="0" fontId="32" fillId="0" borderId="20" xfId="13" applyNumberFormat="1" applyFont="1" applyBorder="1" applyAlignment="1"/>
    <xf numFmtId="4" fontId="32" fillId="0" borderId="21" xfId="13" applyNumberFormat="1" applyFont="1" applyBorder="1" applyAlignment="1"/>
    <xf numFmtId="0" fontId="31" fillId="0" borderId="0" xfId="13" applyNumberFormat="1" applyFont="1" applyBorder="1" applyAlignment="1"/>
    <xf numFmtId="0" fontId="31" fillId="0" borderId="0" xfId="13" applyNumberFormat="1" applyFont="1" applyBorder="1"/>
    <xf numFmtId="0" fontId="31" fillId="0" borderId="0" xfId="13" applyNumberFormat="1" applyFont="1"/>
    <xf numFmtId="5" fontId="7" fillId="0" borderId="0" xfId="0" applyNumberFormat="1" applyFont="1" applyFill="1" applyBorder="1" applyAlignment="1">
      <alignment horizontal="center"/>
    </xf>
    <xf numFmtId="5" fontId="4" fillId="0" borderId="0" xfId="0" applyNumberFormat="1" applyFont="1" applyFill="1" applyBorder="1" applyAlignment="1">
      <alignment horizontal="center"/>
    </xf>
    <xf numFmtId="0" fontId="10" fillId="0" borderId="0" xfId="10" applyBorder="1"/>
    <xf numFmtId="0" fontId="10" fillId="0" borderId="22" xfId="10" applyBorder="1"/>
    <xf numFmtId="0" fontId="10" fillId="0" borderId="0" xfId="10"/>
    <xf numFmtId="0" fontId="10" fillId="0" borderId="23" xfId="10" applyBorder="1"/>
    <xf numFmtId="0" fontId="10" fillId="0" borderId="6" xfId="10" applyBorder="1"/>
    <xf numFmtId="0" fontId="11" fillId="0" borderId="6" xfId="10" applyFont="1" applyBorder="1" applyAlignment="1">
      <alignment horizontal="center"/>
    </xf>
    <xf numFmtId="0" fontId="29" fillId="0" borderId="6" xfId="10" applyFont="1" applyFill="1" applyBorder="1"/>
    <xf numFmtId="0" fontId="11" fillId="0" borderId="24" xfId="10" applyFont="1" applyBorder="1" applyAlignment="1">
      <alignment horizontal="center"/>
    </xf>
    <xf numFmtId="0" fontId="11" fillId="0" borderId="0" xfId="10" applyFont="1"/>
    <xf numFmtId="0" fontId="29" fillId="0" borderId="0" xfId="10" applyFont="1" applyFill="1"/>
    <xf numFmtId="0" fontId="10" fillId="0" borderId="22" xfId="10" applyBorder="1" applyAlignment="1">
      <alignment horizontal="center"/>
    </xf>
    <xf numFmtId="0" fontId="38" fillId="0" borderId="0" xfId="10" applyFont="1" applyFill="1"/>
    <xf numFmtId="0" fontId="39" fillId="0" borderId="22" xfId="10" applyFont="1" applyFill="1" applyBorder="1" applyAlignment="1">
      <alignment horizontal="center"/>
    </xf>
    <xf numFmtId="44" fontId="39" fillId="0" borderId="0" xfId="10" applyNumberFormat="1" applyFont="1" applyFill="1"/>
    <xf numFmtId="0" fontId="39" fillId="0" borderId="0" xfId="10" applyFont="1" applyFill="1"/>
    <xf numFmtId="10" fontId="39" fillId="0" borderId="0" xfId="10" applyNumberFormat="1" applyFont="1" applyFill="1"/>
    <xf numFmtId="10" fontId="39" fillId="0" borderId="22" xfId="10" applyNumberFormat="1" applyFont="1" applyFill="1" applyBorder="1"/>
    <xf numFmtId="10" fontId="39" fillId="0" borderId="0" xfId="10" applyNumberFormat="1" applyFont="1" applyFill="1" applyBorder="1"/>
    <xf numFmtId="10" fontId="10" fillId="0" borderId="0" xfId="10" applyNumberFormat="1"/>
    <xf numFmtId="10" fontId="10" fillId="0" borderId="22" xfId="10" applyNumberFormat="1" applyBorder="1"/>
    <xf numFmtId="44" fontId="29" fillId="0" borderId="0" xfId="10" applyNumberFormat="1" applyFont="1" applyFill="1"/>
    <xf numFmtId="10" fontId="10" fillId="0" borderId="0" xfId="10" applyNumberFormat="1" applyBorder="1"/>
    <xf numFmtId="44" fontId="29" fillId="0" borderId="6" xfId="10" applyNumberFormat="1" applyFont="1" applyFill="1" applyBorder="1"/>
    <xf numFmtId="10" fontId="10" fillId="0" borderId="24" xfId="10" applyNumberFormat="1" applyBorder="1"/>
    <xf numFmtId="10" fontId="11" fillId="0" borderId="0" xfId="10" applyNumberFormat="1" applyFont="1"/>
    <xf numFmtId="44" fontId="27" fillId="0" borderId="0" xfId="10" applyNumberFormat="1" applyFont="1" applyFill="1"/>
    <xf numFmtId="10" fontId="11" fillId="0" borderId="22" xfId="10" applyNumberFormat="1" applyFont="1" applyBorder="1"/>
    <xf numFmtId="10" fontId="11" fillId="0" borderId="0" xfId="10" applyNumberFormat="1" applyFont="1" applyBorder="1"/>
    <xf numFmtId="0" fontId="40" fillId="0" borderId="0" xfId="10" applyFont="1"/>
    <xf numFmtId="8" fontId="10" fillId="0" borderId="0" xfId="10" applyNumberFormat="1"/>
    <xf numFmtId="8" fontId="10" fillId="0" borderId="22" xfId="10" applyNumberFormat="1" applyBorder="1"/>
    <xf numFmtId="173" fontId="29" fillId="0" borderId="0" xfId="10" applyNumberFormat="1" applyFont="1" applyFill="1"/>
    <xf numFmtId="173" fontId="10" fillId="0" borderId="22" xfId="10" applyNumberFormat="1" applyBorder="1"/>
    <xf numFmtId="173" fontId="10" fillId="0" borderId="0" xfId="10" applyNumberFormat="1" applyBorder="1"/>
    <xf numFmtId="0" fontId="27" fillId="0" borderId="0" xfId="10" applyFont="1" applyAlignment="1">
      <alignment horizontal="center"/>
    </xf>
    <xf numFmtId="0" fontId="36" fillId="0" borderId="0" xfId="10" applyFont="1"/>
    <xf numFmtId="0" fontId="13" fillId="0" borderId="0" xfId="10" applyFont="1" applyFill="1"/>
    <xf numFmtId="167" fontId="6" fillId="0" borderId="0" xfId="11" applyFont="1" applyFill="1" applyAlignment="1">
      <alignment horizontal="center"/>
    </xf>
    <xf numFmtId="43" fontId="10" fillId="0" borderId="0" xfId="9" applyNumberFormat="1"/>
    <xf numFmtId="43" fontId="10" fillId="0" borderId="0" xfId="9" applyNumberFormat="1" applyAlignment="1">
      <alignment horizontal="right"/>
    </xf>
    <xf numFmtId="0" fontId="5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5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4" fillId="0" borderId="26" xfId="0" applyNumberFormat="1" applyFont="1" applyFill="1" applyBorder="1"/>
    <xf numFmtId="165" fontId="4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5" fontId="4" fillId="0" borderId="25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center"/>
    </xf>
    <xf numFmtId="41" fontId="5" fillId="0" borderId="0" xfId="1" applyNumberFormat="1" applyFill="1"/>
    <xf numFmtId="41" fontId="5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25" xfId="0" applyNumberFormat="1" applyFill="1" applyBorder="1" applyAlignment="1">
      <alignment horizontal="centerContinuous"/>
    </xf>
    <xf numFmtId="41" fontId="0" fillId="0" borderId="1" xfId="0" applyNumberFormat="1" applyFill="1" applyBorder="1"/>
    <xf numFmtId="41" fontId="4" fillId="0" borderId="0" xfId="0" applyNumberFormat="1" applyFont="1" applyFill="1"/>
    <xf numFmtId="41" fontId="4" fillId="0" borderId="27" xfId="0" applyNumberFormat="1" applyFont="1" applyFill="1" applyBorder="1" applyAlignment="1">
      <alignment horizontal="center"/>
    </xf>
    <xf numFmtId="41" fontId="4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4" fillId="0" borderId="26" xfId="0" applyNumberFormat="1" applyFont="1" applyFill="1" applyBorder="1"/>
    <xf numFmtId="41" fontId="4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4" fillId="0" borderId="0" xfId="0" applyNumberFormat="1" applyFont="1" applyFill="1" applyAlignment="1">
      <alignment horizontal="center"/>
    </xf>
    <xf numFmtId="41" fontId="4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5" fillId="0" borderId="1" xfId="0" applyNumberFormat="1" applyFont="1" applyFill="1" applyBorder="1"/>
    <xf numFmtId="41" fontId="5" fillId="2" borderId="2" xfId="0" applyNumberFormat="1" applyFont="1" applyFill="1" applyBorder="1"/>
    <xf numFmtId="41" fontId="5" fillId="0" borderId="0" xfId="0" applyNumberFormat="1" applyFont="1" applyFill="1"/>
    <xf numFmtId="41" fontId="5" fillId="0" borderId="25" xfId="0" applyNumberFormat="1" applyFont="1" applyFill="1" applyBorder="1"/>
    <xf numFmtId="41" fontId="5" fillId="0" borderId="25" xfId="3" applyNumberFormat="1" applyFont="1" applyFill="1" applyBorder="1" applyAlignment="1">
      <alignment horizontal="centerContinuous"/>
    </xf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5" fillId="0" borderId="0" xfId="0" applyNumberFormat="1" applyFont="1" applyFill="1" applyAlignment="1">
      <alignment horizontal="center"/>
    </xf>
    <xf numFmtId="41" fontId="41" fillId="0" borderId="0" xfId="0" applyNumberFormat="1" applyFont="1" applyFill="1"/>
    <xf numFmtId="37" fontId="0" fillId="0" borderId="0" xfId="0" applyNumberFormat="1" applyFill="1"/>
    <xf numFmtId="37" fontId="41" fillId="0" borderId="0" xfId="0" applyNumberFormat="1" applyFont="1" applyFill="1"/>
    <xf numFmtId="43" fontId="11" fillId="0" borderId="0" xfId="12" applyNumberFormat="1" applyFont="1"/>
    <xf numFmtId="43" fontId="10" fillId="0" borderId="0" xfId="12" applyNumberFormat="1"/>
    <xf numFmtId="43" fontId="10" fillId="0" borderId="1" xfId="12" applyNumberFormat="1" applyBorder="1"/>
    <xf numFmtId="43" fontId="13" fillId="0" borderId="0" xfId="12" applyNumberFormat="1" applyFont="1"/>
    <xf numFmtId="0" fontId="10" fillId="0" borderId="0" xfId="12" applyFont="1"/>
    <xf numFmtId="0" fontId="10" fillId="0" borderId="5" xfId="12" applyFont="1" applyBorder="1"/>
    <xf numFmtId="9" fontId="10" fillId="0" borderId="0" xfId="12" applyNumberFormat="1" applyFont="1" applyAlignment="1">
      <alignment horizontal="center"/>
    </xf>
    <xf numFmtId="10" fontId="10" fillId="0" borderId="5" xfId="12" applyNumberFormat="1" applyFont="1" applyFill="1" applyBorder="1"/>
    <xf numFmtId="0" fontId="11" fillId="0" borderId="1" xfId="12" applyFont="1" applyBorder="1"/>
    <xf numFmtId="0" fontId="10" fillId="0" borderId="0" xfId="9" applyFont="1"/>
    <xf numFmtId="43" fontId="10" fillId="0" borderId="0" xfId="9" applyNumberFormat="1" applyAlignment="1">
      <alignment horizontal="center"/>
    </xf>
    <xf numFmtId="43" fontId="11" fillId="0" borderId="0" xfId="9" applyNumberFormat="1" applyFont="1"/>
    <xf numFmtId="43" fontId="11" fillId="0" borderId="0" xfId="9" applyNumberFormat="1" applyFont="1" applyAlignment="1">
      <alignment horizontal="center"/>
    </xf>
    <xf numFmtId="43" fontId="36" fillId="0" borderId="0" xfId="9" applyNumberFormat="1" applyFont="1" applyAlignment="1">
      <alignment horizontal="center"/>
    </xf>
    <xf numFmtId="43" fontId="10" fillId="0" borderId="1" xfId="9" applyNumberFormat="1" applyBorder="1" applyAlignment="1">
      <alignment horizontal="center"/>
    </xf>
    <xf numFmtId="43" fontId="10" fillId="0" borderId="1" xfId="9" applyNumberFormat="1" applyBorder="1"/>
    <xf numFmtId="43" fontId="10" fillId="0" borderId="0" xfId="5" applyNumberFormat="1"/>
    <xf numFmtId="43" fontId="10" fillId="0" borderId="0" xfId="2" applyNumberFormat="1"/>
    <xf numFmtId="43" fontId="11" fillId="0" borderId="0" xfId="9" applyNumberFormat="1" applyFont="1" applyAlignment="1">
      <alignment horizontal="right"/>
    </xf>
    <xf numFmtId="43" fontId="10" fillId="0" borderId="0" xfId="9" applyNumberFormat="1" applyBorder="1"/>
    <xf numFmtId="43" fontId="10" fillId="0" borderId="0" xfId="9" applyNumberFormat="1" applyFont="1"/>
    <xf numFmtId="43" fontId="10" fillId="0" borderId="0" xfId="9" applyNumberFormat="1" applyFill="1"/>
    <xf numFmtId="43" fontId="10" fillId="0" borderId="0" xfId="9" applyNumberFormat="1" applyFill="1" applyBorder="1"/>
    <xf numFmtId="43" fontId="10" fillId="0" borderId="1" xfId="2" applyNumberFormat="1" applyBorder="1"/>
    <xf numFmtId="43" fontId="10" fillId="0" borderId="0" xfId="9" applyNumberFormat="1" applyFont="1" applyBorder="1"/>
    <xf numFmtId="43" fontId="10" fillId="0" borderId="1" xfId="9" applyNumberFormat="1" applyFont="1" applyBorder="1"/>
    <xf numFmtId="43" fontId="10" fillId="0" borderId="0" xfId="9" applyNumberFormat="1" applyBorder="1" applyAlignment="1">
      <alignment horizontal="right"/>
    </xf>
    <xf numFmtId="43" fontId="10" fillId="0" borderId="0" xfId="9" applyNumberFormat="1" applyFont="1" applyFill="1"/>
    <xf numFmtId="43" fontId="10" fillId="3" borderId="29" xfId="5" applyNumberFormat="1" applyFill="1" applyBorder="1"/>
    <xf numFmtId="14" fontId="11" fillId="0" borderId="0" xfId="9" applyNumberFormat="1" applyFont="1"/>
    <xf numFmtId="43" fontId="10" fillId="0" borderId="0" xfId="9" applyNumberFormat="1" applyFill="1" applyBorder="1" applyAlignment="1">
      <alignment horizontal="right"/>
    </xf>
    <xf numFmtId="43" fontId="10" fillId="0" borderId="0" xfId="9" applyNumberFormat="1" applyFont="1" applyFill="1" applyBorder="1" applyAlignment="1">
      <alignment horizontal="right"/>
    </xf>
    <xf numFmtId="43" fontId="11" fillId="0" borderId="0" xfId="9" applyNumberFormat="1" applyFont="1" applyFill="1" applyBorder="1"/>
    <xf numFmtId="43" fontId="10" fillId="0" borderId="0" xfId="9" applyNumberFormat="1" applyFill="1" applyBorder="1" applyAlignment="1">
      <alignment horizontal="center"/>
    </xf>
    <xf numFmtId="43" fontId="10" fillId="0" borderId="0" xfId="5" applyNumberFormat="1" applyFill="1" applyBorder="1"/>
    <xf numFmtId="43" fontId="11" fillId="0" borderId="0" xfId="9" applyNumberFormat="1" applyFont="1" applyFill="1" applyBorder="1" applyAlignment="1">
      <alignment horizontal="right"/>
    </xf>
    <xf numFmtId="43" fontId="11" fillId="0" borderId="0" xfId="9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9" fillId="0" borderId="0" xfId="10" applyNumberFormat="1" applyFont="1" applyFill="1"/>
    <xf numFmtId="43" fontId="11" fillId="0" borderId="0" xfId="10" applyNumberFormat="1" applyFont="1" applyFill="1"/>
    <xf numFmtId="41" fontId="0" fillId="2" borderId="2" xfId="0" applyNumberFormat="1" applyFill="1" applyBorder="1" applyAlignment="1"/>
    <xf numFmtId="41" fontId="5" fillId="2" borderId="2" xfId="0" applyNumberFormat="1" applyFont="1" applyFill="1" applyBorder="1" applyAlignment="1">
      <alignment horizontal="centerContinuous"/>
    </xf>
    <xf numFmtId="0" fontId="0" fillId="0" borderId="0" xfId="0" applyFill="1" applyBorder="1"/>
    <xf numFmtId="0" fontId="8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Continuous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41" fontId="5" fillId="0" borderId="0" xfId="1" applyNumberFormat="1" applyFill="1" applyBorder="1"/>
    <xf numFmtId="41" fontId="5" fillId="0" borderId="0" xfId="0" applyNumberFormat="1" applyFont="1" applyFill="1" applyBorder="1"/>
    <xf numFmtId="41" fontId="5" fillId="0" borderId="0" xfId="3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Continuous"/>
    </xf>
    <xf numFmtId="41" fontId="4" fillId="0" borderId="0" xfId="0" applyNumberFormat="1" applyFont="1" applyFill="1" applyBorder="1"/>
    <xf numFmtId="41" fontId="4" fillId="0" borderId="0" xfId="0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center"/>
    </xf>
    <xf numFmtId="41" fontId="5" fillId="0" borderId="0" xfId="0" applyNumberFormat="1" applyFont="1" applyFill="1" applyBorder="1" applyAlignment="1">
      <alignment horizontal="centerContinuous"/>
    </xf>
    <xf numFmtId="43" fontId="10" fillId="0" borderId="0" xfId="8" applyNumberFormat="1" applyAlignment="1">
      <alignment horizontal="center"/>
    </xf>
    <xf numFmtId="43" fontId="26" fillId="0" borderId="3" xfId="8" applyNumberFormat="1" applyFont="1" applyBorder="1" applyAlignment="1">
      <alignment horizontal="center"/>
    </xf>
    <xf numFmtId="43" fontId="26" fillId="0" borderId="0" xfId="8" applyNumberFormat="1" applyFont="1" applyBorder="1" applyAlignment="1">
      <alignment horizontal="center"/>
    </xf>
    <xf numFmtId="43" fontId="26" fillId="0" borderId="6" xfId="8" applyNumberFormat="1" applyFont="1" applyBorder="1" applyAlignment="1">
      <alignment horizontal="center"/>
    </xf>
    <xf numFmtId="43" fontId="28" fillId="0" borderId="0" xfId="8" applyNumberFormat="1" applyFont="1" applyBorder="1" applyAlignment="1">
      <alignment horizontal="right"/>
    </xf>
    <xf numFmtId="43" fontId="10" fillId="0" borderId="0" xfId="8" applyNumberFormat="1" applyBorder="1" applyAlignment="1">
      <alignment horizontal="right"/>
    </xf>
    <xf numFmtId="43" fontId="10" fillId="0" borderId="1" xfId="8" applyNumberFormat="1" applyBorder="1" applyAlignment="1">
      <alignment horizontal="right"/>
    </xf>
    <xf numFmtId="43" fontId="10" fillId="0" borderId="0" xfId="8" applyNumberFormat="1"/>
    <xf numFmtId="43" fontId="26" fillId="0" borderId="0" xfId="8" applyNumberFormat="1" applyFont="1" applyAlignment="1">
      <alignment horizontal="right"/>
    </xf>
    <xf numFmtId="43" fontId="26" fillId="0" borderId="31" xfId="8" applyNumberFormat="1" applyFont="1" applyBorder="1" applyAlignment="1">
      <alignment horizontal="center"/>
    </xf>
    <xf numFmtId="43" fontId="26" fillId="0" borderId="32" xfId="8" applyNumberFormat="1" applyFont="1" applyBorder="1" applyAlignment="1">
      <alignment horizontal="center"/>
    </xf>
    <xf numFmtId="43" fontId="26" fillId="0" borderId="33" xfId="8" applyNumberFormat="1" applyFont="1" applyBorder="1" applyAlignment="1">
      <alignment horizontal="center"/>
    </xf>
    <xf numFmtId="0" fontId="26" fillId="0" borderId="10" xfId="8" applyFont="1" applyBorder="1" applyAlignment="1">
      <alignment horizontal="center"/>
    </xf>
    <xf numFmtId="169" fontId="10" fillId="0" borderId="10" xfId="8" applyNumberFormat="1" applyBorder="1" applyAlignment="1">
      <alignment horizontal="center"/>
    </xf>
    <xf numFmtId="0" fontId="10" fillId="0" borderId="0" xfId="8" applyBorder="1" applyAlignment="1">
      <alignment horizontal="center"/>
    </xf>
    <xf numFmtId="169" fontId="10" fillId="0" borderId="0" xfId="8" applyNumberFormat="1" applyFont="1" applyBorder="1" applyAlignment="1">
      <alignment horizontal="center"/>
    </xf>
    <xf numFmtId="168" fontId="10" fillId="0" borderId="0" xfId="8" applyNumberFormat="1" applyBorder="1" applyAlignment="1">
      <alignment horizontal="center"/>
    </xf>
    <xf numFmtId="43" fontId="10" fillId="0" borderId="0" xfId="8" applyNumberFormat="1" applyBorder="1" applyAlignment="1">
      <alignment horizontal="center"/>
    </xf>
    <xf numFmtId="43" fontId="10" fillId="0" borderId="32" xfId="8" applyNumberFormat="1" applyBorder="1" applyAlignment="1">
      <alignment horizontal="center"/>
    </xf>
    <xf numFmtId="169" fontId="28" fillId="0" borderId="10" xfId="8" applyNumberFormat="1" applyFont="1" applyBorder="1" applyAlignment="1">
      <alignment horizontal="center"/>
    </xf>
    <xf numFmtId="169" fontId="28" fillId="0" borderId="0" xfId="8" applyNumberFormat="1" applyFont="1" applyBorder="1" applyAlignment="1">
      <alignment horizontal="center"/>
    </xf>
    <xf numFmtId="43" fontId="29" fillId="0" borderId="32" xfId="8" applyNumberFormat="1" applyFont="1" applyBorder="1" applyAlignment="1">
      <alignment horizontal="center"/>
    </xf>
    <xf numFmtId="169" fontId="29" fillId="0" borderId="0" xfId="8" applyNumberFormat="1" applyFont="1" applyBorder="1" applyAlignment="1">
      <alignment horizontal="center"/>
    </xf>
    <xf numFmtId="43" fontId="10" fillId="0" borderId="0" xfId="8" applyNumberFormat="1" applyBorder="1"/>
    <xf numFmtId="43" fontId="29" fillId="0" borderId="34" xfId="8" applyNumberFormat="1" applyFont="1" applyBorder="1" applyAlignment="1">
      <alignment horizontal="center"/>
    </xf>
    <xf numFmtId="0" fontId="26" fillId="0" borderId="10" xfId="8" applyFont="1" applyBorder="1" applyAlignment="1">
      <alignment horizontal="left"/>
    </xf>
    <xf numFmtId="0" fontId="26" fillId="0" borderId="0" xfId="8" applyFont="1" applyBorder="1" applyAlignment="1">
      <alignment horizontal="left"/>
    </xf>
    <xf numFmtId="43" fontId="10" fillId="0" borderId="32" xfId="8" applyNumberFormat="1" applyBorder="1"/>
    <xf numFmtId="0" fontId="10" fillId="0" borderId="11" xfId="8" applyBorder="1"/>
    <xf numFmtId="0" fontId="10" fillId="0" borderId="6" xfId="8" applyBorder="1"/>
    <xf numFmtId="43" fontId="10" fillId="0" borderId="6" xfId="8" applyNumberFormat="1" applyBorder="1"/>
    <xf numFmtId="43" fontId="10" fillId="0" borderId="33" xfId="8" applyNumberFormat="1" applyBorder="1"/>
    <xf numFmtId="169" fontId="10" fillId="0" borderId="0" xfId="8" applyNumberFormat="1" applyBorder="1" applyAlignment="1">
      <alignment horizontal="center"/>
    </xf>
    <xf numFmtId="43" fontId="30" fillId="0" borderId="32" xfId="4" applyNumberFormat="1" applyFont="1" applyBorder="1" applyAlignment="1">
      <alignment horizontal="center"/>
    </xf>
    <xf numFmtId="43" fontId="29" fillId="0" borderId="34" xfId="8" applyNumberFormat="1" applyFont="1" applyBorder="1" applyAlignment="1">
      <alignment horizontal="right"/>
    </xf>
    <xf numFmtId="0" fontId="17" fillId="0" borderId="0" xfId="8" applyFont="1" applyFill="1" applyAlignment="1">
      <alignment horizontal="left"/>
    </xf>
    <xf numFmtId="0" fontId="10" fillId="0" borderId="0" xfId="8" applyFill="1" applyAlignment="1">
      <alignment horizontal="center"/>
    </xf>
    <xf numFmtId="43" fontId="10" fillId="0" borderId="0" xfId="8" applyNumberFormat="1" applyFill="1" applyAlignment="1">
      <alignment horizontal="center"/>
    </xf>
    <xf numFmtId="168" fontId="10" fillId="0" borderId="0" xfId="8" applyNumberFormat="1" applyFill="1" applyAlignment="1">
      <alignment horizontal="center"/>
    </xf>
    <xf numFmtId="43" fontId="10" fillId="0" borderId="0" xfId="8" applyNumberFormat="1" applyFill="1"/>
    <xf numFmtId="0" fontId="10" fillId="0" borderId="0" xfId="8" applyFill="1"/>
    <xf numFmtId="169" fontId="10" fillId="0" borderId="10" xfId="8" applyNumberFormat="1" applyFill="1" applyBorder="1" applyAlignment="1">
      <alignment horizontal="center"/>
    </xf>
    <xf numFmtId="169" fontId="10" fillId="0" borderId="0" xfId="8" applyNumberFormat="1" applyFill="1" applyBorder="1" applyAlignment="1">
      <alignment horizontal="center"/>
    </xf>
    <xf numFmtId="0" fontId="10" fillId="0" borderId="0" xfId="8" applyFill="1" applyBorder="1" applyAlignment="1">
      <alignment horizontal="center"/>
    </xf>
    <xf numFmtId="43" fontId="10" fillId="0" borderId="35" xfId="8" applyNumberFormat="1" applyFill="1" applyBorder="1" applyAlignment="1">
      <alignment horizontal="right"/>
    </xf>
    <xf numFmtId="168" fontId="10" fillId="0" borderId="0" xfId="8" applyNumberFormat="1" applyFill="1" applyBorder="1" applyAlignment="1">
      <alignment horizontal="center"/>
    </xf>
    <xf numFmtId="38" fontId="10" fillId="0" borderId="0" xfId="8" applyNumberFormat="1" applyFill="1" applyBorder="1" applyAlignment="1">
      <alignment horizontal="center"/>
    </xf>
    <xf numFmtId="43" fontId="10" fillId="0" borderId="36" xfId="8" applyNumberFormat="1" applyFill="1" applyBorder="1" applyAlignment="1">
      <alignment horizontal="center"/>
    </xf>
    <xf numFmtId="43" fontId="10" fillId="0" borderId="36" xfId="8" applyNumberFormat="1" applyFill="1" applyBorder="1" applyAlignment="1">
      <alignment horizontal="right"/>
    </xf>
    <xf numFmtId="43" fontId="10" fillId="0" borderId="0" xfId="10" applyNumberFormat="1"/>
    <xf numFmtId="43" fontId="11" fillId="0" borderId="6" xfId="10" applyNumberFormat="1" applyFont="1" applyBorder="1" applyAlignment="1">
      <alignment horizontal="left"/>
    </xf>
    <xf numFmtId="43" fontId="11" fillId="0" borderId="0" xfId="10" applyNumberFormat="1" applyFont="1"/>
    <xf numFmtId="43" fontId="39" fillId="0" borderId="0" xfId="10" applyNumberFormat="1" applyFont="1" applyFill="1"/>
    <xf numFmtId="43" fontId="10" fillId="0" borderId="6" xfId="10" applyNumberFormat="1" applyBorder="1"/>
    <xf numFmtId="43" fontId="10" fillId="0" borderId="0" xfId="10" applyNumberFormat="1" applyAlignment="1">
      <alignment horizontal="center"/>
    </xf>
    <xf numFmtId="43" fontId="11" fillId="0" borderId="6" xfId="10" applyNumberFormat="1" applyFont="1" applyBorder="1"/>
    <xf numFmtId="43" fontId="10" fillId="0" borderId="4" xfId="10" applyNumberFormat="1" applyBorder="1"/>
    <xf numFmtId="43" fontId="11" fillId="0" borderId="7" xfId="10" applyNumberFormat="1" applyFont="1" applyBorder="1"/>
    <xf numFmtId="43" fontId="11" fillId="0" borderId="5" xfId="10" applyNumberFormat="1" applyFont="1" applyBorder="1"/>
    <xf numFmtId="43" fontId="10" fillId="0" borderId="5" xfId="10" applyNumberFormat="1" applyBorder="1"/>
    <xf numFmtId="43" fontId="10" fillId="0" borderId="7" xfId="10" applyNumberFormat="1" applyBorder="1"/>
    <xf numFmtId="43" fontId="39" fillId="0" borderId="5" xfId="10" applyNumberFormat="1" applyFont="1" applyFill="1" applyBorder="1"/>
    <xf numFmtId="173" fontId="29" fillId="0" borderId="0" xfId="10" applyNumberFormat="1" applyFont="1" applyFill="1" applyBorder="1"/>
    <xf numFmtId="43" fontId="13" fillId="0" borderId="0" xfId="10" applyNumberFormat="1" applyFont="1"/>
    <xf numFmtId="43" fontId="10" fillId="0" borderId="0" xfId="10" applyNumberFormat="1" applyAlignment="1">
      <alignment horizontal="centerContinuous"/>
    </xf>
    <xf numFmtId="0" fontId="10" fillId="0" borderId="0" xfId="10" applyAlignment="1">
      <alignment horizontal="centerContinuous"/>
    </xf>
    <xf numFmtId="43" fontId="10" fillId="0" borderId="0" xfId="10" applyNumberFormat="1" applyFill="1"/>
    <xf numFmtId="43" fontId="10" fillId="0" borderId="0" xfId="10" applyNumberFormat="1" applyFont="1" applyAlignment="1">
      <alignment horizontal="center"/>
    </xf>
    <xf numFmtId="43" fontId="10" fillId="0" borderId="0" xfId="10" applyNumberFormat="1" applyBorder="1" applyAlignment="1">
      <alignment horizontal="centerContinuous"/>
    </xf>
    <xf numFmtId="0" fontId="10" fillId="0" borderId="0" xfId="10" applyBorder="1" applyAlignment="1">
      <alignment horizontal="centerContinuous"/>
    </xf>
    <xf numFmtId="43" fontId="10" fillId="0" borderId="0" xfId="10" applyNumberFormat="1" applyBorder="1"/>
    <xf numFmtId="0" fontId="11" fillId="0" borderId="0" xfId="10" applyFont="1" applyBorder="1" applyAlignment="1">
      <alignment horizontal="center"/>
    </xf>
    <xf numFmtId="43" fontId="11" fillId="0" borderId="0" xfId="10" applyNumberFormat="1" applyFont="1" applyBorder="1"/>
    <xf numFmtId="0" fontId="29" fillId="0" borderId="0" xfId="10" applyFont="1" applyFill="1" applyBorder="1"/>
    <xf numFmtId="43" fontId="39" fillId="0" borderId="0" xfId="10" applyNumberFormat="1" applyFont="1" applyFill="1" applyBorder="1"/>
    <xf numFmtId="44" fontId="39" fillId="0" borderId="0" xfId="10" applyNumberFormat="1" applyFont="1" applyFill="1" applyBorder="1"/>
    <xf numFmtId="44" fontId="29" fillId="0" borderId="0" xfId="10" applyNumberFormat="1" applyFont="1" applyFill="1" applyBorder="1"/>
    <xf numFmtId="44" fontId="27" fillId="0" borderId="0" xfId="10" applyNumberFormat="1" applyFont="1" applyFill="1" applyBorder="1"/>
    <xf numFmtId="43" fontId="29" fillId="0" borderId="0" xfId="10" applyNumberFormat="1" applyFont="1" applyFill="1" applyBorder="1"/>
    <xf numFmtId="43" fontId="11" fillId="0" borderId="0" xfId="10" applyNumberFormat="1" applyFont="1" applyFill="1" applyBorder="1"/>
    <xf numFmtId="43" fontId="11" fillId="0" borderId="0" xfId="12" applyNumberFormat="1" applyFont="1" applyFill="1"/>
    <xf numFmtId="43" fontId="13" fillId="0" borderId="0" xfId="12" applyNumberFormat="1" applyFont="1" applyFill="1"/>
    <xf numFmtId="43" fontId="28" fillId="0" borderId="0" xfId="12" applyNumberFormat="1" applyFont="1" applyFill="1"/>
    <xf numFmtId="43" fontId="28" fillId="0" borderId="0" xfId="12" applyNumberFormat="1" applyFont="1"/>
    <xf numFmtId="43" fontId="28" fillId="0" borderId="1" xfId="12" applyNumberFormat="1" applyFont="1" applyFill="1" applyBorder="1"/>
    <xf numFmtId="43" fontId="28" fillId="0" borderId="1" xfId="12" applyNumberFormat="1" applyFont="1" applyBorder="1"/>
    <xf numFmtId="0" fontId="16" fillId="0" borderId="0" xfId="12" applyFont="1" applyFill="1"/>
    <xf numFmtId="0" fontId="11" fillId="0" borderId="0" xfId="12" applyFont="1" applyFill="1"/>
    <xf numFmtId="0" fontId="13" fillId="0" borderId="0" xfId="12" applyFont="1" applyFill="1"/>
    <xf numFmtId="43" fontId="32" fillId="0" borderId="0" xfId="13" applyNumberFormat="1" applyFont="1" applyAlignment="1"/>
    <xf numFmtId="43" fontId="32" fillId="0" borderId="37" xfId="13" applyNumberFormat="1" applyFont="1" applyBorder="1" applyAlignment="1"/>
    <xf numFmtId="43" fontId="32" fillId="0" borderId="0" xfId="13" applyNumberFormat="1" applyFont="1" applyAlignment="1">
      <alignment horizontal="fill"/>
    </xf>
    <xf numFmtId="43" fontId="31" fillId="0" borderId="0" xfId="13" applyNumberFormat="1" applyFont="1" applyAlignment="1"/>
    <xf numFmtId="43" fontId="31" fillId="0" borderId="37" xfId="13" applyNumberFormat="1" applyFont="1" applyBorder="1" applyAlignment="1"/>
    <xf numFmtId="43" fontId="32" fillId="0" borderId="13" xfId="13" applyNumberFormat="1" applyFont="1" applyBorder="1" applyAlignment="1"/>
    <xf numFmtId="43" fontId="32" fillId="0" borderId="18" xfId="13" applyNumberFormat="1" applyFont="1" applyBorder="1" applyAlignment="1"/>
    <xf numFmtId="43" fontId="32" fillId="0" borderId="0" xfId="13" applyNumberFormat="1" applyFont="1" applyAlignment="1">
      <alignment horizontal="center"/>
    </xf>
    <xf numFmtId="43" fontId="32" fillId="0" borderId="0" xfId="13" applyNumberFormat="1" applyFont="1" applyFill="1" applyAlignment="1"/>
    <xf numFmtId="43" fontId="32" fillId="0" borderId="6" xfId="13" applyNumberFormat="1" applyFont="1" applyBorder="1" applyAlignment="1"/>
    <xf numFmtId="43" fontId="31" fillId="0" borderId="0" xfId="13" applyNumberFormat="1" applyFont="1" applyBorder="1"/>
    <xf numFmtId="10" fontId="32" fillId="0" borderId="0" xfId="13" applyNumberFormat="1" applyFont="1" applyFill="1" applyAlignment="1"/>
    <xf numFmtId="10" fontId="31" fillId="0" borderId="0" xfId="13" applyNumberFormat="1" applyFont="1" applyFill="1" applyAlignment="1"/>
    <xf numFmtId="0" fontId="31" fillId="0" borderId="0" xfId="13" applyNumberFormat="1" applyFont="1" applyFill="1" applyAlignment="1"/>
    <xf numFmtId="0" fontId="32" fillId="0" borderId="0" xfId="13" applyNumberFormat="1" applyFont="1" applyFill="1" applyAlignment="1">
      <alignment horizontal="center"/>
    </xf>
    <xf numFmtId="10" fontId="32" fillId="0" borderId="0" xfId="13" applyNumberFormat="1" applyFont="1" applyFill="1" applyAlignment="1">
      <alignment horizontal="center"/>
    </xf>
    <xf numFmtId="43" fontId="31" fillId="0" borderId="0" xfId="13" applyNumberFormat="1" applyFont="1"/>
    <xf numFmtId="43" fontId="34" fillId="0" borderId="0" xfId="13" applyNumberFormat="1" applyFont="1" applyAlignment="1"/>
    <xf numFmtId="43" fontId="32" fillId="0" borderId="0" xfId="13" applyNumberFormat="1" applyFont="1" applyAlignment="1" applyProtection="1">
      <protection hidden="1"/>
    </xf>
    <xf numFmtId="43" fontId="32" fillId="0" borderId="1" xfId="13" applyNumberFormat="1" applyFont="1" applyBorder="1" applyAlignment="1"/>
    <xf numFmtId="43" fontId="31" fillId="0" borderId="1" xfId="13" applyNumberFormat="1" applyFont="1" applyBorder="1" applyAlignment="1"/>
    <xf numFmtId="0" fontId="32" fillId="0" borderId="0" xfId="13" applyNumberFormat="1" applyFont="1" applyAlignment="1">
      <alignment horizontal="centerContinuous"/>
    </xf>
    <xf numFmtId="0" fontId="31" fillId="0" borderId="0" xfId="13" applyNumberFormat="1" applyFont="1" applyAlignment="1">
      <alignment horizontal="centerContinuous"/>
    </xf>
    <xf numFmtId="43" fontId="32" fillId="0" borderId="0" xfId="13" applyNumberFormat="1" applyFont="1" applyAlignment="1">
      <alignment horizontal="centerContinuous"/>
    </xf>
    <xf numFmtId="172" fontId="32" fillId="0" borderId="0" xfId="13" applyNumberFormat="1" applyFont="1" applyAlignment="1">
      <alignment horizontal="centerContinuous"/>
    </xf>
    <xf numFmtId="167" fontId="5" fillId="0" borderId="0" xfId="11" applyFont="1" applyFill="1"/>
    <xf numFmtId="43" fontId="4" fillId="0" borderId="0" xfId="6" applyNumberFormat="1" applyFont="1" applyBorder="1" applyAlignment="1">
      <alignment horizontal="center"/>
    </xf>
    <xf numFmtId="43" fontId="5" fillId="0" borderId="0" xfId="6" applyNumberFormat="1" applyFont="1" applyBorder="1"/>
    <xf numFmtId="43" fontId="5" fillId="0" borderId="0" xfId="6" applyNumberFormat="1" applyFont="1" applyFill="1" applyBorder="1"/>
    <xf numFmtId="43" fontId="5" fillId="0" borderId="0" xfId="11" applyNumberFormat="1" applyFont="1" applyFill="1" applyBorder="1"/>
    <xf numFmtId="43" fontId="5" fillId="0" borderId="0" xfId="11" applyNumberFormat="1" applyFont="1" applyBorder="1"/>
    <xf numFmtId="43" fontId="5" fillId="0" borderId="1" xfId="6" applyNumberFormat="1" applyFont="1" applyBorder="1" applyAlignment="1">
      <alignment horizontal="centerContinuous"/>
    </xf>
    <xf numFmtId="43" fontId="5" fillId="0" borderId="0" xfId="6" applyNumberFormat="1" applyFont="1" applyBorder="1" applyAlignment="1">
      <alignment horizontal="centerContinuous"/>
    </xf>
    <xf numFmtId="43" fontId="5" fillId="0" borderId="0" xfId="11" applyNumberFormat="1" applyFont="1" applyFill="1" applyBorder="1" applyAlignment="1" applyProtection="1"/>
    <xf numFmtId="43" fontId="4" fillId="0" borderId="0" xfId="11" applyNumberFormat="1" applyFont="1" applyBorder="1" applyAlignment="1">
      <alignment horizontal="center"/>
    </xf>
    <xf numFmtId="43" fontId="4" fillId="0" borderId="8" xfId="11" applyNumberFormat="1" applyFont="1" applyBorder="1"/>
    <xf numFmtId="43" fontId="4" fillId="0" borderId="0" xfId="11" applyNumberFormat="1" applyFont="1" applyBorder="1"/>
    <xf numFmtId="43" fontId="10" fillId="0" borderId="0" xfId="7" applyNumberFormat="1" applyFont="1"/>
    <xf numFmtId="0" fontId="10" fillId="0" borderId="0" xfId="7" applyFont="1"/>
    <xf numFmtId="3" fontId="5" fillId="0" borderId="0" xfId="11" applyNumberFormat="1" applyFont="1" applyFill="1" applyBorder="1"/>
    <xf numFmtId="167" fontId="42" fillId="0" borderId="0" xfId="11" applyNumberFormat="1" applyFont="1" applyFill="1" applyBorder="1" applyAlignment="1" applyProtection="1"/>
    <xf numFmtId="167" fontId="42" fillId="0" borderId="0" xfId="11" applyFont="1"/>
    <xf numFmtId="167" fontId="42" fillId="0" borderId="0" xfId="11" applyFont="1" applyFill="1"/>
    <xf numFmtId="167" fontId="42" fillId="0" borderId="0" xfId="11" applyFont="1" applyBorder="1"/>
    <xf numFmtId="39" fontId="42" fillId="0" borderId="0" xfId="11" applyNumberFormat="1" applyFont="1" applyBorder="1"/>
    <xf numFmtId="43" fontId="42" fillId="0" borderId="1" xfId="6" applyNumberFormat="1" applyFont="1" applyBorder="1" applyAlignment="1">
      <alignment horizontal="center"/>
    </xf>
    <xf numFmtId="167" fontId="4" fillId="0" borderId="0" xfId="11" applyFont="1"/>
    <xf numFmtId="167" fontId="4" fillId="0" borderId="8" xfId="11" applyFont="1" applyBorder="1"/>
    <xf numFmtId="3" fontId="5" fillId="0" borderId="8" xfId="11" applyNumberFormat="1" applyFont="1" applyBorder="1"/>
    <xf numFmtId="3" fontId="5" fillId="0" borderId="0" xfId="11" applyNumberFormat="1" applyFont="1" applyBorder="1"/>
    <xf numFmtId="167" fontId="22" fillId="0" borderId="0" xfId="11" applyFont="1" applyBorder="1"/>
    <xf numFmtId="167" fontId="23" fillId="0" borderId="0" xfId="11" applyFont="1" applyBorder="1"/>
    <xf numFmtId="167" fontId="21" fillId="0" borderId="0" xfId="11" applyFont="1" applyBorder="1" applyAlignment="1">
      <alignment horizontal="centerContinuous"/>
    </xf>
    <xf numFmtId="167" fontId="4" fillId="0" borderId="0" xfId="11" applyFont="1" applyBorder="1" applyAlignment="1">
      <alignment horizontal="centerContinuous"/>
    </xf>
    <xf numFmtId="0" fontId="10" fillId="0" borderId="0" xfId="7" applyAlignment="1">
      <alignment horizontal="centerContinuous"/>
    </xf>
    <xf numFmtId="43" fontId="5" fillId="0" borderId="0" xfId="11" applyNumberFormat="1" applyFont="1" applyBorder="1" applyAlignment="1">
      <alignment horizontal="centerContinuous"/>
    </xf>
    <xf numFmtId="167" fontId="7" fillId="0" borderId="0" xfId="11" applyFont="1" applyBorder="1" applyAlignment="1">
      <alignment horizontal="centerContinuous"/>
    </xf>
    <xf numFmtId="167" fontId="9" fillId="0" borderId="0" xfId="11" applyFont="1" applyBorder="1" applyAlignment="1">
      <alignment horizontal="centerContinuous"/>
    </xf>
    <xf numFmtId="0" fontId="32" fillId="0" borderId="0" xfId="13" applyNumberFormat="1" applyFont="1" applyBorder="1" applyAlignment="1"/>
    <xf numFmtId="43" fontId="32" fillId="0" borderId="0" xfId="13" applyNumberFormat="1" applyFont="1" applyBorder="1" applyAlignment="1"/>
    <xf numFmtId="43" fontId="32" fillId="0" borderId="0" xfId="13" applyNumberFormat="1" applyFont="1" applyBorder="1" applyAlignment="1">
      <alignment horizontal="center"/>
    </xf>
    <xf numFmtId="166" fontId="10" fillId="0" borderId="0" xfId="1" applyNumberFormat="1" applyFont="1"/>
    <xf numFmtId="166" fontId="10" fillId="0" borderId="0" xfId="7" applyNumberFormat="1"/>
    <xf numFmtId="166" fontId="10" fillId="0" borderId="0" xfId="7" applyNumberFormat="1" applyFont="1"/>
    <xf numFmtId="43" fontId="10" fillId="0" borderId="0" xfId="8" applyNumberFormat="1" applyFont="1" applyBorder="1" applyAlignment="1">
      <alignment horizontal="center"/>
    </xf>
    <xf numFmtId="43" fontId="10" fillId="0" borderId="6" xfId="10" applyNumberFormat="1" applyFont="1" applyBorder="1"/>
    <xf numFmtId="0" fontId="11" fillId="0" borderId="5" xfId="10" applyFont="1" applyBorder="1"/>
    <xf numFmtId="0" fontId="28" fillId="0" borderId="22" xfId="10" applyFont="1" applyBorder="1"/>
    <xf numFmtId="44" fontId="11" fillId="0" borderId="0" xfId="10" applyNumberFormat="1" applyFont="1" applyFill="1"/>
    <xf numFmtId="10" fontId="28" fillId="0" borderId="22" xfId="10" applyNumberFormat="1" applyFont="1" applyBorder="1"/>
    <xf numFmtId="44" fontId="11" fillId="0" borderId="0" xfId="10" applyNumberFormat="1" applyFont="1" applyFill="1" applyBorder="1"/>
    <xf numFmtId="0" fontId="28" fillId="0" borderId="0" xfId="10" applyFont="1"/>
    <xf numFmtId="43" fontId="10" fillId="0" borderId="0" xfId="1" applyNumberFormat="1" applyFont="1"/>
    <xf numFmtId="43" fontId="10" fillId="0" borderId="1" xfId="8" applyNumberFormat="1" applyFont="1" applyBorder="1" applyAlignment="1">
      <alignment horizontal="right"/>
    </xf>
    <xf numFmtId="10" fontId="10" fillId="0" borderId="38" xfId="12" applyNumberFormat="1" applyFont="1" applyBorder="1"/>
    <xf numFmtId="9" fontId="10" fillId="0" borderId="1" xfId="12" applyNumberFormat="1" applyBorder="1" applyAlignment="1">
      <alignment horizontal="center"/>
    </xf>
    <xf numFmtId="43" fontId="28" fillId="0" borderId="39" xfId="12" applyNumberFormat="1" applyFont="1" applyBorder="1"/>
    <xf numFmtId="10" fontId="15" fillId="0" borderId="38" xfId="12" applyNumberFormat="1" applyFont="1" applyBorder="1"/>
    <xf numFmtId="43" fontId="32" fillId="4" borderId="0" xfId="13" applyNumberFormat="1" applyFont="1" applyFill="1" applyAlignment="1"/>
    <xf numFmtId="0" fontId="13" fillId="0" borderId="0" xfId="8" applyFont="1" applyAlignment="1">
      <alignment horizontal="left"/>
    </xf>
    <xf numFmtId="43" fontId="10" fillId="0" borderId="0" xfId="12" applyNumberFormat="1" applyFont="1"/>
    <xf numFmtId="165" fontId="43" fillId="0" borderId="1" xfId="12" applyNumberFormat="1" applyFont="1" applyFill="1" applyBorder="1"/>
    <xf numFmtId="41" fontId="44" fillId="0" borderId="1" xfId="0" applyNumberFormat="1" applyFont="1" applyFill="1" applyBorder="1"/>
    <xf numFmtId="41" fontId="44" fillId="0" borderId="1" xfId="0" applyNumberFormat="1" applyFont="1" applyFill="1" applyBorder="1" applyAlignment="1">
      <alignment horizontal="center"/>
    </xf>
    <xf numFmtId="40" fontId="0" fillId="0" borderId="0" xfId="1" applyFont="1"/>
    <xf numFmtId="0" fontId="45" fillId="0" borderId="0" xfId="12" applyFont="1"/>
    <xf numFmtId="0" fontId="43" fillId="0" borderId="0" xfId="12" applyFont="1"/>
    <xf numFmtId="43" fontId="43" fillId="0" borderId="1" xfId="12" applyNumberFormat="1" applyFont="1" applyFill="1" applyBorder="1"/>
    <xf numFmtId="0" fontId="35" fillId="0" borderId="0" xfId="9" applyFont="1"/>
    <xf numFmtId="40" fontId="32" fillId="0" borderId="0" xfId="1" applyFont="1" applyFill="1" applyAlignment="1"/>
    <xf numFmtId="40" fontId="32" fillId="0" borderId="18" xfId="1" applyFont="1" applyBorder="1" applyAlignment="1"/>
    <xf numFmtId="40" fontId="32" fillId="0" borderId="35" xfId="1" applyFont="1" applyFill="1" applyBorder="1" applyAlignment="1"/>
    <xf numFmtId="43" fontId="0" fillId="0" borderId="0" xfId="11" applyNumberFormat="1" applyFont="1" applyFill="1" applyBorder="1"/>
    <xf numFmtId="40" fontId="31" fillId="0" borderId="35" xfId="1" applyFont="1" applyBorder="1" applyAlignment="1"/>
    <xf numFmtId="17" fontId="46" fillId="0" borderId="0" xfId="13" quotePrefix="1" applyNumberFormat="1" applyFont="1" applyAlignment="1">
      <alignment horizontal="center"/>
    </xf>
    <xf numFmtId="0" fontId="46" fillId="0" borderId="0" xfId="13" applyNumberFormat="1" applyFont="1" applyAlignment="1">
      <alignment horizontal="center"/>
    </xf>
    <xf numFmtId="0" fontId="46" fillId="0" borderId="0" xfId="13" applyNumberFormat="1" applyFont="1" applyBorder="1" applyAlignment="1">
      <alignment horizontal="center"/>
    </xf>
    <xf numFmtId="165" fontId="24" fillId="0" borderId="27" xfId="0" applyNumberFormat="1" applyFont="1" applyFill="1" applyBorder="1"/>
    <xf numFmtId="167" fontId="5" fillId="0" borderId="8" xfId="11" applyFont="1" applyBorder="1"/>
    <xf numFmtId="43" fontId="4" fillId="0" borderId="8" xfId="11" applyNumberFormat="1" applyFont="1" applyBorder="1" applyAlignment="1">
      <alignment horizontal="center"/>
    </xf>
    <xf numFmtId="43" fontId="42" fillId="0" borderId="0" xfId="6" applyNumberFormat="1" applyFont="1" applyBorder="1" applyAlignment="1">
      <alignment horizontal="center"/>
    </xf>
    <xf numFmtId="43" fontId="10" fillId="5" borderId="30" xfId="5" applyNumberFormat="1" applyFill="1" applyBorder="1"/>
    <xf numFmtId="43" fontId="10" fillId="4" borderId="0" xfId="9" applyNumberFormat="1" applyFill="1"/>
    <xf numFmtId="0" fontId="11" fillId="0" borderId="10" xfId="8" applyFont="1" applyBorder="1" applyAlignment="1">
      <alignment horizontal="left"/>
    </xf>
    <xf numFmtId="169" fontId="10" fillId="0" borderId="10" xfId="8" applyNumberFormat="1" applyFont="1" applyBorder="1" applyAlignment="1">
      <alignment horizontal="center"/>
    </xf>
    <xf numFmtId="40" fontId="0" fillId="0" borderId="0" xfId="0" applyNumberFormat="1"/>
    <xf numFmtId="43" fontId="10" fillId="0" borderId="0" xfId="7" applyNumberFormat="1"/>
    <xf numFmtId="41" fontId="0" fillId="0" borderId="0" xfId="1" applyNumberFormat="1" applyFont="1" applyFill="1"/>
    <xf numFmtId="40" fontId="31" fillId="0" borderId="0" xfId="1" applyFont="1"/>
    <xf numFmtId="43" fontId="10" fillId="4" borderId="4" xfId="10" applyNumberFormat="1" applyFill="1" applyBorder="1"/>
    <xf numFmtId="43" fontId="11" fillId="4" borderId="7" xfId="10" applyNumberFormat="1" applyFont="1" applyFill="1" applyBorder="1"/>
    <xf numFmtId="43" fontId="11" fillId="4" borderId="5" xfId="10" applyNumberFormat="1" applyFont="1" applyFill="1" applyBorder="1"/>
    <xf numFmtId="43" fontId="15" fillId="0" borderId="0" xfId="10" applyNumberFormat="1" applyFont="1" applyFill="1"/>
    <xf numFmtId="43" fontId="10" fillId="4" borderId="0" xfId="10" applyNumberFormat="1" applyFill="1"/>
    <xf numFmtId="0" fontId="10" fillId="4" borderId="23" xfId="10" applyFill="1" applyBorder="1"/>
    <xf numFmtId="0" fontId="10" fillId="4" borderId="6" xfId="10" applyFill="1" applyBorder="1"/>
    <xf numFmtId="0" fontId="11" fillId="4" borderId="24" xfId="10" applyFont="1" applyFill="1" applyBorder="1" applyAlignment="1">
      <alignment horizontal="center"/>
    </xf>
    <xf numFmtId="0" fontId="10" fillId="4" borderId="0" xfId="10" applyFill="1"/>
    <xf numFmtId="0" fontId="10" fillId="4" borderId="22" xfId="10" applyFill="1" applyBorder="1"/>
    <xf numFmtId="0" fontId="39" fillId="4" borderId="0" xfId="10" applyFont="1" applyFill="1"/>
    <xf numFmtId="10" fontId="39" fillId="4" borderId="22" xfId="10" applyNumberFormat="1" applyFont="1" applyFill="1" applyBorder="1"/>
    <xf numFmtId="10" fontId="10" fillId="4" borderId="22" xfId="10" applyNumberFormat="1" applyFill="1" applyBorder="1"/>
    <xf numFmtId="10" fontId="10" fillId="4" borderId="24" xfId="10" applyNumberFormat="1" applyFill="1" applyBorder="1"/>
    <xf numFmtId="0" fontId="11" fillId="4" borderId="0" xfId="10" applyFont="1" applyFill="1"/>
    <xf numFmtId="10" fontId="11" fillId="4" borderId="22" xfId="10" applyNumberFormat="1" applyFont="1" applyFill="1" applyBorder="1"/>
    <xf numFmtId="8" fontId="10" fillId="4" borderId="0" xfId="10" applyNumberFormat="1" applyFill="1"/>
    <xf numFmtId="8" fontId="10" fillId="4" borderId="22" xfId="10" applyNumberFormat="1" applyFill="1" applyBorder="1"/>
    <xf numFmtId="165" fontId="9" fillId="0" borderId="0" xfId="0" applyNumberFormat="1" applyFont="1" applyFill="1" applyAlignment="1">
      <alignment horizontal="center"/>
    </xf>
    <xf numFmtId="43" fontId="11" fillId="4" borderId="0" xfId="10" applyNumberFormat="1" applyFont="1" applyFill="1"/>
    <xf numFmtId="172" fontId="31" fillId="0" borderId="0" xfId="13" applyNumberFormat="1" applyFont="1" applyAlignment="1" applyProtection="1">
      <alignment horizontal="centerContinuous"/>
      <protection locked="0"/>
    </xf>
    <xf numFmtId="17" fontId="46" fillId="4" borderId="0" xfId="13" quotePrefix="1" applyNumberFormat="1" applyFont="1" applyFill="1" applyAlignment="1">
      <alignment horizontal="center"/>
    </xf>
    <xf numFmtId="43" fontId="10" fillId="4" borderId="5" xfId="10" applyNumberFormat="1" applyFill="1" applyBorder="1"/>
    <xf numFmtId="43" fontId="39" fillId="4" borderId="5" xfId="10" applyNumberFormat="1" applyFont="1" applyFill="1" applyBorder="1"/>
    <xf numFmtId="43" fontId="10" fillId="4" borderId="7" xfId="10" applyNumberFormat="1" applyFill="1" applyBorder="1"/>
    <xf numFmtId="0" fontId="10" fillId="0" borderId="40" xfId="14" applyFont="1" applyBorder="1" applyAlignment="1">
      <alignment horizontal="center"/>
    </xf>
    <xf numFmtId="3" fontId="10" fillId="0" borderId="40" xfId="14" applyNumberFormat="1" applyFont="1" applyBorder="1" applyAlignment="1">
      <alignment horizontal="center"/>
    </xf>
    <xf numFmtId="3" fontId="10" fillId="0" borderId="40" xfId="14" applyNumberFormat="1" applyFont="1" applyBorder="1" applyAlignment="1">
      <alignment horizontal="center" wrapText="1"/>
    </xf>
    <xf numFmtId="0" fontId="11" fillId="0" borderId="40" xfId="14" applyFont="1" applyBorder="1" applyAlignment="1">
      <alignment horizontal="center"/>
    </xf>
    <xf numFmtId="3" fontId="11" fillId="0" borderId="40" xfId="14" applyNumberFormat="1" applyFont="1" applyBorder="1" applyAlignment="1"/>
    <xf numFmtId="3" fontId="11" fillId="0" borderId="40" xfId="14" applyNumberFormat="1" applyFont="1" applyBorder="1" applyAlignment="1">
      <alignment horizontal="center"/>
    </xf>
    <xf numFmtId="0" fontId="11" fillId="0" borderId="40" xfId="14" applyFont="1" applyBorder="1" applyAlignment="1">
      <alignment horizontal="left"/>
    </xf>
    <xf numFmtId="3" fontId="10" fillId="0" borderId="40" xfId="14" applyNumberFormat="1" applyFont="1" applyBorder="1" applyAlignment="1">
      <alignment horizontal="right"/>
    </xf>
    <xf numFmtId="0" fontId="10" fillId="0" borderId="40" xfId="14" applyFont="1" applyBorder="1" applyAlignment="1">
      <alignment wrapText="1"/>
    </xf>
    <xf numFmtId="3" fontId="10" fillId="0" borderId="40" xfId="14" applyNumberFormat="1" applyFont="1" applyBorder="1"/>
    <xf numFmtId="3" fontId="10" fillId="0" borderId="40" xfId="14" applyNumberFormat="1" applyFont="1" applyBorder="1" applyAlignment="1"/>
    <xf numFmtId="0" fontId="10" fillId="0" borderId="40" xfId="14" applyFont="1" applyBorder="1"/>
    <xf numFmtId="3" fontId="10" fillId="0" borderId="40" xfId="14" applyNumberFormat="1" applyFont="1" applyBorder="1" applyAlignment="1">
      <alignment wrapText="1"/>
    </xf>
    <xf numFmtId="0" fontId="50" fillId="0" borderId="40" xfId="14" applyFont="1" applyBorder="1"/>
    <xf numFmtId="0" fontId="35" fillId="0" borderId="0" xfId="14" applyFont="1" applyAlignment="1">
      <alignment horizontal="center"/>
    </xf>
    <xf numFmtId="3" fontId="31" fillId="0" borderId="0" xfId="14" applyNumberFormat="1" applyFont="1" applyAlignment="1">
      <alignment horizontal="center"/>
    </xf>
    <xf numFmtId="3" fontId="31" fillId="0" borderId="0" xfId="14" applyNumberFormat="1" applyFont="1" applyAlignment="1">
      <alignment horizontal="right"/>
    </xf>
    <xf numFmtId="3" fontId="31" fillId="0" borderId="0" xfId="14" applyNumberFormat="1" applyFont="1" applyAlignment="1"/>
    <xf numFmtId="3" fontId="35" fillId="0" borderId="0" xfId="14" applyNumberFormat="1" applyFont="1" applyAlignment="1"/>
    <xf numFmtId="0" fontId="35" fillId="0" borderId="0" xfId="14" applyFont="1" applyAlignment="1">
      <alignment horizontal="left"/>
    </xf>
    <xf numFmtId="0" fontId="51" fillId="0" borderId="0" xfId="14" applyFont="1"/>
    <xf numFmtId="0" fontId="51" fillId="0" borderId="0" xfId="14" applyFont="1" applyAlignment="1">
      <alignment horizontal="center"/>
    </xf>
    <xf numFmtId="3" fontId="51" fillId="0" borderId="0" xfId="14" applyNumberFormat="1" applyFont="1"/>
    <xf numFmtId="3" fontId="51" fillId="0" borderId="0" xfId="14" applyNumberFormat="1" applyFont="1" applyAlignment="1">
      <alignment horizontal="center"/>
    </xf>
    <xf numFmtId="3" fontId="51" fillId="0" borderId="0" xfId="14" applyNumberFormat="1" applyFont="1" applyAlignment="1"/>
    <xf numFmtId="0" fontId="51" fillId="0" borderId="0" xfId="14" applyFont="1" applyAlignment="1">
      <alignment horizontal="left"/>
    </xf>
    <xf numFmtId="49" fontId="31" fillId="0" borderId="0" xfId="14" applyNumberFormat="1" applyFont="1" applyAlignment="1">
      <alignment horizontal="center"/>
    </xf>
    <xf numFmtId="0" fontId="31" fillId="0" borderId="0" xfId="14" applyFont="1" applyAlignment="1">
      <alignment horizontal="left"/>
    </xf>
    <xf numFmtId="17" fontId="0" fillId="0" borderId="0" xfId="0" applyNumberFormat="1"/>
    <xf numFmtId="0" fontId="2" fillId="0" borderId="0" xfId="39"/>
    <xf numFmtId="0" fontId="2" fillId="6" borderId="40" xfId="39" applyFill="1" applyBorder="1"/>
    <xf numFmtId="0" fontId="2" fillId="6" borderId="40" xfId="39" applyFill="1" applyBorder="1" applyAlignment="1">
      <alignment horizontal="center"/>
    </xf>
    <xf numFmtId="0" fontId="2" fillId="0" borderId="40" xfId="39" applyBorder="1"/>
    <xf numFmtId="14" fontId="2" fillId="0" borderId="40" xfId="39" applyNumberFormat="1" applyBorder="1"/>
    <xf numFmtId="44" fontId="2" fillId="0" borderId="40" xfId="40" applyFont="1" applyBorder="1"/>
    <xf numFmtId="0" fontId="2" fillId="0" borderId="42" xfId="39" applyBorder="1"/>
    <xf numFmtId="44" fontId="2" fillId="0" borderId="27" xfId="40" applyFont="1" applyBorder="1"/>
    <xf numFmtId="44" fontId="2" fillId="0" borderId="27" xfId="40" applyNumberFormat="1" applyFont="1" applyBorder="1"/>
    <xf numFmtId="44" fontId="2" fillId="0" borderId="41" xfId="40" applyFont="1" applyBorder="1"/>
    <xf numFmtId="0" fontId="0" fillId="0" borderId="0" xfId="0"/>
    <xf numFmtId="44" fontId="53" fillId="0" borderId="0" xfId="18" applyFont="1" applyBorder="1"/>
    <xf numFmtId="9" fontId="53" fillId="0" borderId="40" xfId="38" applyFont="1" applyBorder="1"/>
    <xf numFmtId="9" fontId="53" fillId="7" borderId="40" xfId="38" applyFont="1" applyFill="1" applyBorder="1"/>
    <xf numFmtId="0" fontId="54" fillId="0" borderId="0" xfId="26" applyFont="1"/>
    <xf numFmtId="0" fontId="52" fillId="0" borderId="0" xfId="26" applyFont="1"/>
    <xf numFmtId="0" fontId="10" fillId="0" borderId="0" xfId="26"/>
    <xf numFmtId="0" fontId="10" fillId="0" borderId="0" xfId="26" applyFont="1"/>
    <xf numFmtId="0" fontId="53" fillId="7" borderId="40" xfId="26" applyFont="1" applyFill="1" applyBorder="1" applyAlignment="1">
      <alignment horizontal="center" wrapText="1"/>
    </xf>
    <xf numFmtId="0" fontId="53" fillId="7" borderId="40" xfId="26" applyFont="1" applyFill="1" applyBorder="1" applyAlignment="1">
      <alignment horizontal="center"/>
    </xf>
    <xf numFmtId="0" fontId="53" fillId="0" borderId="40" xfId="26" applyFont="1" applyBorder="1"/>
    <xf numFmtId="6" fontId="53" fillId="0" borderId="40" xfId="26" applyNumberFormat="1" applyFont="1" applyBorder="1"/>
    <xf numFmtId="1" fontId="53" fillId="0" borderId="40" xfId="26" applyNumberFormat="1" applyFont="1" applyBorder="1" applyAlignment="1">
      <alignment horizontal="center"/>
    </xf>
    <xf numFmtId="0" fontId="53" fillId="0" borderId="40" xfId="26" applyFont="1" applyBorder="1" applyAlignment="1">
      <alignment wrapText="1"/>
    </xf>
    <xf numFmtId="1" fontId="53" fillId="0" borderId="40" xfId="26" applyNumberFormat="1" applyFont="1" applyBorder="1"/>
    <xf numFmtId="0" fontId="53" fillId="7" borderId="40" xfId="26" applyFont="1" applyFill="1" applyBorder="1"/>
    <xf numFmtId="0" fontId="56" fillId="0" borderId="0" xfId="26" applyFont="1"/>
    <xf numFmtId="43" fontId="52" fillId="0" borderId="0" xfId="16" applyFont="1"/>
    <xf numFmtId="43" fontId="53" fillId="0" borderId="0" xfId="16" applyFont="1" applyBorder="1"/>
    <xf numFmtId="43" fontId="53" fillId="0" borderId="26" xfId="16" applyFont="1" applyBorder="1"/>
    <xf numFmtId="43" fontId="10" fillId="9" borderId="42" xfId="16" applyFont="1" applyFill="1" applyBorder="1" applyAlignment="1">
      <alignment horizontal="centerContinuous"/>
    </xf>
    <xf numFmtId="43" fontId="10" fillId="9" borderId="44" xfId="16" applyFont="1" applyFill="1" applyBorder="1" applyAlignment="1">
      <alignment horizontal="centerContinuous"/>
    </xf>
    <xf numFmtId="43" fontId="10" fillId="9" borderId="43" xfId="16" applyFont="1" applyFill="1" applyBorder="1" applyAlignment="1">
      <alignment horizontal="centerContinuous"/>
    </xf>
    <xf numFmtId="0" fontId="10" fillId="8" borderId="42" xfId="26" applyFont="1" applyFill="1" applyBorder="1" applyAlignment="1">
      <alignment horizontal="centerContinuous"/>
    </xf>
    <xf numFmtId="0" fontId="10" fillId="8" borderId="44" xfId="26" applyFont="1" applyFill="1" applyBorder="1" applyAlignment="1">
      <alignment horizontal="centerContinuous"/>
    </xf>
    <xf numFmtId="0" fontId="10" fillId="8" borderId="44" xfId="26" applyFill="1" applyBorder="1" applyAlignment="1">
      <alignment horizontal="centerContinuous"/>
    </xf>
    <xf numFmtId="0" fontId="10" fillId="8" borderId="45" xfId="26" applyFont="1" applyFill="1" applyBorder="1" applyAlignment="1">
      <alignment horizontal="centerContinuous"/>
    </xf>
    <xf numFmtId="0" fontId="10" fillId="8" borderId="42" xfId="26" applyFont="1" applyFill="1" applyBorder="1" applyAlignment="1">
      <alignment horizontal="center"/>
    </xf>
    <xf numFmtId="0" fontId="10" fillId="8" borderId="27" xfId="26" applyFont="1" applyFill="1" applyBorder="1" applyAlignment="1"/>
    <xf numFmtId="43" fontId="53" fillId="9" borderId="40" xfId="16" applyFont="1" applyFill="1" applyBorder="1" applyAlignment="1">
      <alignment horizontal="center"/>
    </xf>
    <xf numFmtId="43" fontId="53" fillId="9" borderId="43" xfId="16" applyFont="1" applyFill="1" applyBorder="1" applyAlignment="1">
      <alignment horizontal="center"/>
    </xf>
    <xf numFmtId="43" fontId="53" fillId="9" borderId="40" xfId="16" applyFont="1" applyFill="1" applyBorder="1" applyAlignment="1">
      <alignment horizontal="center" wrapText="1"/>
    </xf>
    <xf numFmtId="0" fontId="53" fillId="8" borderId="40" xfId="26" applyFont="1" applyFill="1" applyBorder="1" applyAlignment="1">
      <alignment horizontal="center" wrapText="1"/>
    </xf>
    <xf numFmtId="0" fontId="53" fillId="8" borderId="42" xfId="26" applyFont="1" applyFill="1" applyBorder="1" applyAlignment="1">
      <alignment horizontal="center" wrapText="1"/>
    </xf>
    <xf numFmtId="0" fontId="53" fillId="8" borderId="2" xfId="26" applyFont="1" applyFill="1" applyBorder="1" applyAlignment="1">
      <alignment horizontal="center" wrapText="1"/>
    </xf>
    <xf numFmtId="0" fontId="53" fillId="7" borderId="43" xfId="26" applyFont="1" applyFill="1" applyBorder="1" applyAlignment="1">
      <alignment horizontal="center" wrapText="1"/>
    </xf>
    <xf numFmtId="43" fontId="53" fillId="7" borderId="40" xfId="16" applyFont="1" applyFill="1" applyBorder="1" applyAlignment="1">
      <alignment horizontal="center" wrapText="1"/>
    </xf>
    <xf numFmtId="43" fontId="53" fillId="0" borderId="40" xfId="16" applyFont="1" applyBorder="1"/>
    <xf numFmtId="43" fontId="53" fillId="0" borderId="43" xfId="16" applyFont="1" applyBorder="1"/>
    <xf numFmtId="43" fontId="53" fillId="0" borderId="40" xfId="17" applyFont="1" applyBorder="1"/>
    <xf numFmtId="43" fontId="53" fillId="0" borderId="25" xfId="16" applyFont="1" applyBorder="1"/>
    <xf numFmtId="43" fontId="17" fillId="0" borderId="40" xfId="17" applyFont="1" applyBorder="1"/>
    <xf numFmtId="43" fontId="53" fillId="9" borderId="40" xfId="16" applyFont="1" applyFill="1" applyBorder="1"/>
    <xf numFmtId="43" fontId="53" fillId="8" borderId="40" xfId="16" applyFont="1" applyFill="1" applyBorder="1"/>
    <xf numFmtId="43" fontId="53" fillId="7" borderId="40" xfId="17" applyFont="1" applyFill="1" applyBorder="1"/>
    <xf numFmtId="43" fontId="53" fillId="7" borderId="40" xfId="16" applyFont="1" applyFill="1" applyBorder="1"/>
    <xf numFmtId="0" fontId="0" fillId="0" borderId="0" xfId="0"/>
    <xf numFmtId="0" fontId="10" fillId="0" borderId="0" xfId="25"/>
    <xf numFmtId="0" fontId="54" fillId="0" borderId="0" xfId="25" applyFont="1"/>
    <xf numFmtId="0" fontId="52" fillId="0" borderId="0" xfId="25" applyFont="1"/>
    <xf numFmtId="44" fontId="53" fillId="0" borderId="0" xfId="18" applyFont="1" applyBorder="1"/>
    <xf numFmtId="0" fontId="53" fillId="7" borderId="40" xfId="25" applyFont="1" applyFill="1" applyBorder="1" applyAlignment="1">
      <alignment horizontal="center" wrapText="1"/>
    </xf>
    <xf numFmtId="0" fontId="53" fillId="7" borderId="40" xfId="25" applyFont="1" applyFill="1" applyBorder="1" applyAlignment="1">
      <alignment horizontal="center"/>
    </xf>
    <xf numFmtId="0" fontId="53" fillId="0" borderId="40" xfId="25" applyFont="1" applyBorder="1"/>
    <xf numFmtId="6" fontId="53" fillId="0" borderId="40" xfId="25" applyNumberFormat="1" applyFont="1" applyBorder="1"/>
    <xf numFmtId="1" fontId="53" fillId="0" borderId="40" xfId="25" applyNumberFormat="1" applyFont="1" applyBorder="1" applyAlignment="1">
      <alignment horizontal="center"/>
    </xf>
    <xf numFmtId="43" fontId="53" fillId="0" borderId="40" xfId="15" applyFont="1" applyBorder="1"/>
    <xf numFmtId="9" fontId="53" fillId="0" borderId="40" xfId="38" applyFont="1" applyBorder="1"/>
    <xf numFmtId="0" fontId="53" fillId="0" borderId="40" xfId="25" applyFont="1" applyBorder="1" applyAlignment="1">
      <alignment wrapText="1"/>
    </xf>
    <xf numFmtId="1" fontId="53" fillId="0" borderId="40" xfId="25" applyNumberFormat="1" applyFont="1" applyBorder="1"/>
    <xf numFmtId="43" fontId="17" fillId="0" borderId="40" xfId="15" applyFont="1" applyBorder="1"/>
    <xf numFmtId="0" fontId="53" fillId="7" borderId="40" xfId="25" applyFont="1" applyFill="1" applyBorder="1"/>
    <xf numFmtId="43" fontId="53" fillId="7" borderId="40" xfId="15" applyFont="1" applyFill="1" applyBorder="1"/>
    <xf numFmtId="9" fontId="53" fillId="7" borderId="40" xfId="38" applyFont="1" applyFill="1" applyBorder="1"/>
    <xf numFmtId="0" fontId="10" fillId="0" borderId="0" xfId="25" applyFont="1"/>
    <xf numFmtId="43" fontId="52" fillId="0" borderId="0" xfId="16" applyFont="1"/>
    <xf numFmtId="43" fontId="53" fillId="0" borderId="40" xfId="16" applyFont="1" applyBorder="1"/>
    <xf numFmtId="43" fontId="53" fillId="0" borderId="0" xfId="16" applyFont="1" applyBorder="1"/>
    <xf numFmtId="43" fontId="53" fillId="7" borderId="40" xfId="16" applyFont="1" applyFill="1" applyBorder="1"/>
    <xf numFmtId="43" fontId="53" fillId="0" borderId="25" xfId="16" applyFont="1" applyBorder="1"/>
    <xf numFmtId="43" fontId="53" fillId="0" borderId="26" xfId="16" applyFont="1" applyBorder="1"/>
    <xf numFmtId="43" fontId="53" fillId="0" borderId="43" xfId="16" applyFont="1" applyBorder="1"/>
    <xf numFmtId="43" fontId="53" fillId="0" borderId="43" xfId="16" applyFont="1" applyBorder="1" applyAlignment="1">
      <alignment wrapText="1"/>
    </xf>
    <xf numFmtId="43" fontId="53" fillId="7" borderId="40" xfId="16" applyFont="1" applyFill="1" applyBorder="1" applyAlignment="1">
      <alignment horizontal="center" wrapText="1"/>
    </xf>
    <xf numFmtId="0" fontId="10" fillId="8" borderId="42" xfId="25" applyFont="1" applyFill="1" applyBorder="1" applyAlignment="1">
      <alignment horizontal="centerContinuous"/>
    </xf>
    <xf numFmtId="43" fontId="10" fillId="9" borderId="42" xfId="16" applyFont="1" applyFill="1" applyBorder="1" applyAlignment="1">
      <alignment horizontal="centerContinuous"/>
    </xf>
    <xf numFmtId="43" fontId="10" fillId="9" borderId="44" xfId="16" applyFont="1" applyFill="1" applyBorder="1" applyAlignment="1">
      <alignment horizontal="centerContinuous"/>
    </xf>
    <xf numFmtId="43" fontId="10" fillId="9" borderId="43" xfId="16" applyFont="1" applyFill="1" applyBorder="1" applyAlignment="1">
      <alignment horizontal="centerContinuous"/>
    </xf>
    <xf numFmtId="43" fontId="53" fillId="9" borderId="40" xfId="16" applyFont="1" applyFill="1" applyBorder="1" applyAlignment="1">
      <alignment horizontal="center"/>
    </xf>
    <xf numFmtId="43" fontId="53" fillId="9" borderId="43" xfId="16" applyFont="1" applyFill="1" applyBorder="1" applyAlignment="1">
      <alignment horizontal="center"/>
    </xf>
    <xf numFmtId="43" fontId="53" fillId="9" borderId="40" xfId="16" applyFont="1" applyFill="1" applyBorder="1" applyAlignment="1">
      <alignment horizontal="center" wrapText="1"/>
    </xf>
    <xf numFmtId="0" fontId="53" fillId="8" borderId="40" xfId="25" applyFont="1" applyFill="1" applyBorder="1" applyAlignment="1">
      <alignment horizontal="center" wrapText="1"/>
    </xf>
    <xf numFmtId="43" fontId="53" fillId="9" borderId="40" xfId="16" applyFont="1" applyFill="1" applyBorder="1"/>
    <xf numFmtId="43" fontId="53" fillId="8" borderId="40" xfId="16" applyFont="1" applyFill="1" applyBorder="1"/>
    <xf numFmtId="0" fontId="10" fillId="8" borderId="44" xfId="25" applyFont="1" applyFill="1" applyBorder="1" applyAlignment="1">
      <alignment horizontal="centerContinuous"/>
    </xf>
    <xf numFmtId="0" fontId="10" fillId="8" borderId="45" xfId="25" applyFont="1" applyFill="1" applyBorder="1" applyAlignment="1">
      <alignment horizontal="centerContinuous"/>
    </xf>
    <xf numFmtId="0" fontId="53" fillId="7" borderId="43" xfId="25" applyFont="1" applyFill="1" applyBorder="1" applyAlignment="1">
      <alignment horizontal="center" wrapText="1"/>
    </xf>
    <xf numFmtId="0" fontId="56" fillId="0" borderId="0" xfId="25" applyFont="1"/>
    <xf numFmtId="0" fontId="0" fillId="0" borderId="0" xfId="0"/>
    <xf numFmtId="44" fontId="53" fillId="0" borderId="40" xfId="18" applyFont="1" applyBorder="1"/>
    <xf numFmtId="9" fontId="53" fillId="0" borderId="40" xfId="38" applyFont="1" applyBorder="1"/>
    <xf numFmtId="9" fontId="53" fillId="7" borderId="40" xfId="38" applyFont="1" applyFill="1" applyBorder="1"/>
    <xf numFmtId="43" fontId="53" fillId="0" borderId="40" xfId="16" applyFont="1" applyBorder="1"/>
    <xf numFmtId="43" fontId="53" fillId="0" borderId="0" xfId="16" applyFont="1" applyBorder="1"/>
    <xf numFmtId="43" fontId="53" fillId="7" borderId="40" xfId="16" applyFont="1" applyFill="1" applyBorder="1"/>
    <xf numFmtId="43" fontId="53" fillId="0" borderId="26" xfId="16" applyFont="1" applyBorder="1"/>
    <xf numFmtId="0" fontId="54" fillId="0" borderId="0" xfId="26" applyFont="1"/>
    <xf numFmtId="0" fontId="52" fillId="0" borderId="0" xfId="26" applyFont="1"/>
    <xf numFmtId="0" fontId="10" fillId="0" borderId="0" xfId="26"/>
    <xf numFmtId="0" fontId="10" fillId="0" borderId="0" xfId="26" applyFont="1"/>
    <xf numFmtId="0" fontId="53" fillId="7" borderId="40" xfId="26" applyFont="1" applyFill="1" applyBorder="1" applyAlignment="1">
      <alignment horizontal="center" wrapText="1"/>
    </xf>
    <xf numFmtId="0" fontId="53" fillId="7" borderId="40" xfId="26" applyFont="1" applyFill="1" applyBorder="1" applyAlignment="1">
      <alignment horizontal="center"/>
    </xf>
    <xf numFmtId="0" fontId="53" fillId="0" borderId="40" xfId="26" applyFont="1" applyBorder="1"/>
    <xf numFmtId="6" fontId="53" fillId="0" borderId="40" xfId="26" applyNumberFormat="1" applyFont="1" applyBorder="1"/>
    <xf numFmtId="1" fontId="53" fillId="0" borderId="40" xfId="26" applyNumberFormat="1" applyFont="1" applyBorder="1" applyAlignment="1">
      <alignment horizontal="center"/>
    </xf>
    <xf numFmtId="0" fontId="53" fillId="0" borderId="40" xfId="26" applyFont="1" applyBorder="1" applyAlignment="1">
      <alignment wrapText="1"/>
    </xf>
    <xf numFmtId="1" fontId="53" fillId="0" borderId="40" xfId="26" applyNumberFormat="1" applyFont="1" applyBorder="1"/>
    <xf numFmtId="0" fontId="53" fillId="7" borderId="40" xfId="26" applyFont="1" applyFill="1" applyBorder="1"/>
    <xf numFmtId="0" fontId="56" fillId="0" borderId="0" xfId="26" applyFont="1"/>
    <xf numFmtId="43" fontId="17" fillId="0" borderId="40" xfId="16" applyFont="1" applyBorder="1"/>
    <xf numFmtId="0" fontId="0" fillId="0" borderId="0" xfId="0"/>
    <xf numFmtId="44" fontId="53" fillId="0" borderId="40" xfId="18" applyFont="1" applyBorder="1"/>
    <xf numFmtId="9" fontId="53" fillId="0" borderId="40" xfId="38" applyFont="1" applyBorder="1"/>
    <xf numFmtId="9" fontId="53" fillId="7" borderId="40" xfId="38" applyFont="1" applyFill="1" applyBorder="1"/>
    <xf numFmtId="43" fontId="53" fillId="0" borderId="40" xfId="16" applyFont="1" applyBorder="1"/>
    <xf numFmtId="43" fontId="53" fillId="0" borderId="0" xfId="16" applyFont="1" applyBorder="1"/>
    <xf numFmtId="43" fontId="53" fillId="7" borderId="40" xfId="16" applyFont="1" applyFill="1" applyBorder="1"/>
    <xf numFmtId="0" fontId="54" fillId="0" borderId="0" xfId="26" applyFont="1"/>
    <xf numFmtId="0" fontId="52" fillId="0" borderId="0" xfId="26" applyFont="1"/>
    <xf numFmtId="0" fontId="10" fillId="0" borderId="0" xfId="26"/>
    <xf numFmtId="0" fontId="55" fillId="0" borderId="0" xfId="26" applyFont="1"/>
    <xf numFmtId="0" fontId="53" fillId="7" borderId="40" xfId="26" applyFont="1" applyFill="1" applyBorder="1" applyAlignment="1">
      <alignment horizontal="center" wrapText="1"/>
    </xf>
    <xf numFmtId="0" fontId="53" fillId="7" borderId="40" xfId="26" applyFont="1" applyFill="1" applyBorder="1" applyAlignment="1">
      <alignment horizontal="center"/>
    </xf>
    <xf numFmtId="0" fontId="53" fillId="0" borderId="40" xfId="26" applyFont="1" applyBorder="1"/>
    <xf numFmtId="6" fontId="53" fillId="0" borderId="40" xfId="26" applyNumberFormat="1" applyFont="1" applyBorder="1"/>
    <xf numFmtId="1" fontId="53" fillId="0" borderId="40" xfId="26" applyNumberFormat="1" applyFont="1" applyBorder="1" applyAlignment="1">
      <alignment horizontal="center"/>
    </xf>
    <xf numFmtId="0" fontId="53" fillId="0" borderId="40" xfId="26" applyFont="1" applyBorder="1" applyAlignment="1">
      <alignment wrapText="1"/>
    </xf>
    <xf numFmtId="1" fontId="53" fillId="0" borderId="40" xfId="26" applyNumberFormat="1" applyFont="1" applyBorder="1"/>
    <xf numFmtId="0" fontId="53" fillId="7" borderId="40" xfId="26" applyFont="1" applyFill="1" applyBorder="1"/>
    <xf numFmtId="43" fontId="17" fillId="0" borderId="40" xfId="16" applyFont="1" applyBorder="1"/>
    <xf numFmtId="43" fontId="53" fillId="0" borderId="0" xfId="16" applyFont="1"/>
    <xf numFmtId="7" fontId="53" fillId="0" borderId="0" xfId="18" applyNumberFormat="1" applyFont="1" applyBorder="1"/>
    <xf numFmtId="7" fontId="53" fillId="0" borderId="26" xfId="18" applyNumberFormat="1" applyFont="1" applyBorder="1"/>
    <xf numFmtId="43" fontId="53" fillId="9" borderId="40" xfId="16" applyNumberFormat="1" applyFont="1" applyFill="1" applyBorder="1"/>
    <xf numFmtId="43" fontId="53" fillId="0" borderId="43" xfId="16" applyNumberFormat="1" applyFont="1" applyBorder="1" applyAlignment="1">
      <alignment wrapText="1"/>
    </xf>
    <xf numFmtId="0" fontId="11" fillId="0" borderId="0" xfId="12" applyFont="1" applyAlignment="1">
      <alignment horizontal="center"/>
    </xf>
    <xf numFmtId="0" fontId="10" fillId="0" borderId="0" xfId="8" applyBorder="1" applyAlignment="1">
      <alignment horizontal="center"/>
    </xf>
    <xf numFmtId="0" fontId="10" fillId="0" borderId="0" xfId="8" applyFont="1" applyBorder="1" applyAlignment="1">
      <alignment horizontal="center"/>
    </xf>
    <xf numFmtId="169" fontId="28" fillId="0" borderId="0" xfId="8" applyNumberFormat="1" applyFont="1" applyBorder="1" applyAlignment="1">
      <alignment horizontal="center"/>
    </xf>
    <xf numFmtId="0" fontId="37" fillId="0" borderId="0" xfId="10" applyFont="1" applyAlignment="1">
      <alignment horizontal="center"/>
    </xf>
    <xf numFmtId="0" fontId="37" fillId="0" borderId="6" xfId="10" applyFont="1" applyBorder="1" applyAlignment="1">
      <alignment horizontal="center"/>
    </xf>
    <xf numFmtId="0" fontId="37" fillId="0" borderId="0" xfId="10" applyFont="1" applyBorder="1" applyAlignment="1">
      <alignment horizontal="center"/>
    </xf>
    <xf numFmtId="0" fontId="2" fillId="0" borderId="0" xfId="39" applyAlignment="1">
      <alignment horizontal="left"/>
    </xf>
    <xf numFmtId="17" fontId="2" fillId="0" borderId="0" xfId="39" applyNumberFormat="1" applyAlignment="1">
      <alignment horizontal="left"/>
    </xf>
  </cellXfs>
  <cellStyles count="46">
    <cellStyle name="Comma" xfId="1" builtinId="3"/>
    <cellStyle name="Comma 2" xfId="15"/>
    <cellStyle name="Comma 2 2" xfId="16"/>
    <cellStyle name="Comma 2 2 2" xfId="17"/>
    <cellStyle name="Comma_NISH Cash Flow Statement" xfId="2"/>
    <cellStyle name="Currency" xfId="3" builtinId="4"/>
    <cellStyle name="Currency 2" xfId="18"/>
    <cellStyle name="Currency 3" xfId="19"/>
    <cellStyle name="Currency 3 2" xfId="20"/>
    <cellStyle name="Currency 3 3" xfId="41"/>
    <cellStyle name="Currency 4" xfId="21"/>
    <cellStyle name="Currency 5" xfId="22"/>
    <cellStyle name="Currency 6" xfId="23"/>
    <cellStyle name="Currency 7" xfId="40"/>
    <cellStyle name="Currency_Investment Report" xfId="4"/>
    <cellStyle name="Currency_NISH Cash Flow Statement" xfId="5"/>
    <cellStyle name="Currency_Sheet1" xfId="6"/>
    <cellStyle name="Normal" xfId="0" builtinId="0"/>
    <cellStyle name="Normal 10" xfId="24"/>
    <cellStyle name="Normal 11" xfId="39"/>
    <cellStyle name="Normal 2" xfId="25"/>
    <cellStyle name="Normal 2 2" xfId="26"/>
    <cellStyle name="Normal 3" xfId="27"/>
    <cellStyle name="Normal 4" xfId="28"/>
    <cellStyle name="Normal 4 2" xfId="29"/>
    <cellStyle name="Normal 4 3" xfId="42"/>
    <cellStyle name="Normal 5" xfId="30"/>
    <cellStyle name="Normal 5 2" xfId="31"/>
    <cellStyle name="Normal 5 3" xfId="43"/>
    <cellStyle name="Normal 6" xfId="32"/>
    <cellStyle name="Normal 6 2" xfId="33"/>
    <cellStyle name="Normal 6 3" xfId="44"/>
    <cellStyle name="Normal 7" xfId="34"/>
    <cellStyle name="Normal 7 2" xfId="35"/>
    <cellStyle name="Normal 7 3" xfId="45"/>
    <cellStyle name="Normal 8" xfId="36"/>
    <cellStyle name="Normal 9" xfId="37"/>
    <cellStyle name="Normal_BankRec" xfId="7"/>
    <cellStyle name="Normal_Budget Amendments" xfId="14"/>
    <cellStyle name="Normal_Investment Report" xfId="8"/>
    <cellStyle name="Normal_NISH Cash Flow Statement" xfId="9"/>
    <cellStyle name="Normal_Rev - Exp 2007 Report for Board" xfId="10"/>
    <cellStyle name="Normal_Sheet1" xfId="11"/>
    <cellStyle name="Normal_Stat of Rev &amp; Exp" xfId="12"/>
    <cellStyle name="Normal_tax collection sample monthly status report" xfId="13"/>
    <cellStyle name="Percent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6"/>
  <sheetViews>
    <sheetView workbookViewId="0">
      <selection activeCell="A64" sqref="A64"/>
    </sheetView>
  </sheetViews>
  <sheetFormatPr defaultRowHeight="12.75"/>
  <cols>
    <col min="1" max="1" width="4" customWidth="1"/>
    <col min="2" max="2" width="6.28515625" customWidth="1"/>
    <col min="3" max="3" width="4.85546875" customWidth="1"/>
    <col min="4" max="4" width="14" customWidth="1"/>
    <col min="5" max="5" width="5" customWidth="1"/>
    <col min="6" max="6" width="11.42578125" bestFit="1" customWidth="1"/>
    <col min="7" max="7" width="5.85546875" customWidth="1"/>
    <col min="8" max="8" width="11.42578125" bestFit="1" customWidth="1"/>
    <col min="9" max="9" width="21.28515625" customWidth="1"/>
    <col min="257" max="257" width="4" customWidth="1"/>
    <col min="258" max="258" width="6.28515625" customWidth="1"/>
    <col min="259" max="259" width="3.7109375" customWidth="1"/>
    <col min="260" max="260" width="14" customWidth="1"/>
    <col min="261" max="261" width="5" customWidth="1"/>
    <col min="262" max="262" width="11.42578125" bestFit="1" customWidth="1"/>
    <col min="263" max="263" width="5.85546875" customWidth="1"/>
    <col min="264" max="264" width="11.42578125" bestFit="1" customWidth="1"/>
    <col min="265" max="265" width="21.28515625" customWidth="1"/>
    <col min="513" max="513" width="4" customWidth="1"/>
    <col min="514" max="514" width="6.28515625" customWidth="1"/>
    <col min="515" max="515" width="3.7109375" customWidth="1"/>
    <col min="516" max="516" width="14" customWidth="1"/>
    <col min="517" max="517" width="5" customWidth="1"/>
    <col min="518" max="518" width="11.42578125" bestFit="1" customWidth="1"/>
    <col min="519" max="519" width="5.85546875" customWidth="1"/>
    <col min="520" max="520" width="11.42578125" bestFit="1" customWidth="1"/>
    <col min="521" max="521" width="21.28515625" customWidth="1"/>
    <col min="769" max="769" width="4" customWidth="1"/>
    <col min="770" max="770" width="6.28515625" customWidth="1"/>
    <col min="771" max="771" width="3.7109375" customWidth="1"/>
    <col min="772" max="772" width="14" customWidth="1"/>
    <col min="773" max="773" width="5" customWidth="1"/>
    <col min="774" max="774" width="11.42578125" bestFit="1" customWidth="1"/>
    <col min="775" max="775" width="5.85546875" customWidth="1"/>
    <col min="776" max="776" width="11.42578125" bestFit="1" customWidth="1"/>
    <col min="777" max="777" width="21.28515625" customWidth="1"/>
    <col min="1025" max="1025" width="4" customWidth="1"/>
    <col min="1026" max="1026" width="6.28515625" customWidth="1"/>
    <col min="1027" max="1027" width="3.7109375" customWidth="1"/>
    <col min="1028" max="1028" width="14" customWidth="1"/>
    <col min="1029" max="1029" width="5" customWidth="1"/>
    <col min="1030" max="1030" width="11.42578125" bestFit="1" customWidth="1"/>
    <col min="1031" max="1031" width="5.85546875" customWidth="1"/>
    <col min="1032" max="1032" width="11.42578125" bestFit="1" customWidth="1"/>
    <col min="1033" max="1033" width="21.28515625" customWidth="1"/>
    <col min="1281" max="1281" width="4" customWidth="1"/>
    <col min="1282" max="1282" width="6.28515625" customWidth="1"/>
    <col min="1283" max="1283" width="3.7109375" customWidth="1"/>
    <col min="1284" max="1284" width="14" customWidth="1"/>
    <col min="1285" max="1285" width="5" customWidth="1"/>
    <col min="1286" max="1286" width="11.42578125" bestFit="1" customWidth="1"/>
    <col min="1287" max="1287" width="5.85546875" customWidth="1"/>
    <col min="1288" max="1288" width="11.42578125" bestFit="1" customWidth="1"/>
    <col min="1289" max="1289" width="21.28515625" customWidth="1"/>
    <col min="1537" max="1537" width="4" customWidth="1"/>
    <col min="1538" max="1538" width="6.28515625" customWidth="1"/>
    <col min="1539" max="1539" width="3.7109375" customWidth="1"/>
    <col min="1540" max="1540" width="14" customWidth="1"/>
    <col min="1541" max="1541" width="5" customWidth="1"/>
    <col min="1542" max="1542" width="11.42578125" bestFit="1" customWidth="1"/>
    <col min="1543" max="1543" width="5.85546875" customWidth="1"/>
    <col min="1544" max="1544" width="11.42578125" bestFit="1" customWidth="1"/>
    <col min="1545" max="1545" width="21.28515625" customWidth="1"/>
    <col min="1793" max="1793" width="4" customWidth="1"/>
    <col min="1794" max="1794" width="6.28515625" customWidth="1"/>
    <col min="1795" max="1795" width="3.7109375" customWidth="1"/>
    <col min="1796" max="1796" width="14" customWidth="1"/>
    <col min="1797" max="1797" width="5" customWidth="1"/>
    <col min="1798" max="1798" width="11.42578125" bestFit="1" customWidth="1"/>
    <col min="1799" max="1799" width="5.85546875" customWidth="1"/>
    <col min="1800" max="1800" width="11.42578125" bestFit="1" customWidth="1"/>
    <col min="1801" max="1801" width="21.28515625" customWidth="1"/>
    <col min="2049" max="2049" width="4" customWidth="1"/>
    <col min="2050" max="2050" width="6.28515625" customWidth="1"/>
    <col min="2051" max="2051" width="3.7109375" customWidth="1"/>
    <col min="2052" max="2052" width="14" customWidth="1"/>
    <col min="2053" max="2053" width="5" customWidth="1"/>
    <col min="2054" max="2054" width="11.42578125" bestFit="1" customWidth="1"/>
    <col min="2055" max="2055" width="5.85546875" customWidth="1"/>
    <col min="2056" max="2056" width="11.42578125" bestFit="1" customWidth="1"/>
    <col min="2057" max="2057" width="21.28515625" customWidth="1"/>
    <col min="2305" max="2305" width="4" customWidth="1"/>
    <col min="2306" max="2306" width="6.28515625" customWidth="1"/>
    <col min="2307" max="2307" width="3.7109375" customWidth="1"/>
    <col min="2308" max="2308" width="14" customWidth="1"/>
    <col min="2309" max="2309" width="5" customWidth="1"/>
    <col min="2310" max="2310" width="11.42578125" bestFit="1" customWidth="1"/>
    <col min="2311" max="2311" width="5.85546875" customWidth="1"/>
    <col min="2312" max="2312" width="11.42578125" bestFit="1" customWidth="1"/>
    <col min="2313" max="2313" width="21.28515625" customWidth="1"/>
    <col min="2561" max="2561" width="4" customWidth="1"/>
    <col min="2562" max="2562" width="6.28515625" customWidth="1"/>
    <col min="2563" max="2563" width="3.7109375" customWidth="1"/>
    <col min="2564" max="2564" width="14" customWidth="1"/>
    <col min="2565" max="2565" width="5" customWidth="1"/>
    <col min="2566" max="2566" width="11.42578125" bestFit="1" customWidth="1"/>
    <col min="2567" max="2567" width="5.85546875" customWidth="1"/>
    <col min="2568" max="2568" width="11.42578125" bestFit="1" customWidth="1"/>
    <col min="2569" max="2569" width="21.28515625" customWidth="1"/>
    <col min="2817" max="2817" width="4" customWidth="1"/>
    <col min="2818" max="2818" width="6.28515625" customWidth="1"/>
    <col min="2819" max="2819" width="3.7109375" customWidth="1"/>
    <col min="2820" max="2820" width="14" customWidth="1"/>
    <col min="2821" max="2821" width="5" customWidth="1"/>
    <col min="2822" max="2822" width="11.42578125" bestFit="1" customWidth="1"/>
    <col min="2823" max="2823" width="5.85546875" customWidth="1"/>
    <col min="2824" max="2824" width="11.42578125" bestFit="1" customWidth="1"/>
    <col min="2825" max="2825" width="21.28515625" customWidth="1"/>
    <col min="3073" max="3073" width="4" customWidth="1"/>
    <col min="3074" max="3074" width="6.28515625" customWidth="1"/>
    <col min="3075" max="3075" width="3.7109375" customWidth="1"/>
    <col min="3076" max="3076" width="14" customWidth="1"/>
    <col min="3077" max="3077" width="5" customWidth="1"/>
    <col min="3078" max="3078" width="11.42578125" bestFit="1" customWidth="1"/>
    <col min="3079" max="3079" width="5.85546875" customWidth="1"/>
    <col min="3080" max="3080" width="11.42578125" bestFit="1" customWidth="1"/>
    <col min="3081" max="3081" width="21.28515625" customWidth="1"/>
    <col min="3329" max="3329" width="4" customWidth="1"/>
    <col min="3330" max="3330" width="6.28515625" customWidth="1"/>
    <col min="3331" max="3331" width="3.7109375" customWidth="1"/>
    <col min="3332" max="3332" width="14" customWidth="1"/>
    <col min="3333" max="3333" width="5" customWidth="1"/>
    <col min="3334" max="3334" width="11.42578125" bestFit="1" customWidth="1"/>
    <col min="3335" max="3335" width="5.85546875" customWidth="1"/>
    <col min="3336" max="3336" width="11.42578125" bestFit="1" customWidth="1"/>
    <col min="3337" max="3337" width="21.28515625" customWidth="1"/>
    <col min="3585" max="3585" width="4" customWidth="1"/>
    <col min="3586" max="3586" width="6.28515625" customWidth="1"/>
    <col min="3587" max="3587" width="3.7109375" customWidth="1"/>
    <col min="3588" max="3588" width="14" customWidth="1"/>
    <col min="3589" max="3589" width="5" customWidth="1"/>
    <col min="3590" max="3590" width="11.42578125" bestFit="1" customWidth="1"/>
    <col min="3591" max="3591" width="5.85546875" customWidth="1"/>
    <col min="3592" max="3592" width="11.42578125" bestFit="1" customWidth="1"/>
    <col min="3593" max="3593" width="21.28515625" customWidth="1"/>
    <col min="3841" max="3841" width="4" customWidth="1"/>
    <col min="3842" max="3842" width="6.28515625" customWidth="1"/>
    <col min="3843" max="3843" width="3.7109375" customWidth="1"/>
    <col min="3844" max="3844" width="14" customWidth="1"/>
    <col min="3845" max="3845" width="5" customWidth="1"/>
    <col min="3846" max="3846" width="11.42578125" bestFit="1" customWidth="1"/>
    <col min="3847" max="3847" width="5.85546875" customWidth="1"/>
    <col min="3848" max="3848" width="11.42578125" bestFit="1" customWidth="1"/>
    <col min="3849" max="3849" width="21.28515625" customWidth="1"/>
    <col min="4097" max="4097" width="4" customWidth="1"/>
    <col min="4098" max="4098" width="6.28515625" customWidth="1"/>
    <col min="4099" max="4099" width="3.7109375" customWidth="1"/>
    <col min="4100" max="4100" width="14" customWidth="1"/>
    <col min="4101" max="4101" width="5" customWidth="1"/>
    <col min="4102" max="4102" width="11.42578125" bestFit="1" customWidth="1"/>
    <col min="4103" max="4103" width="5.85546875" customWidth="1"/>
    <col min="4104" max="4104" width="11.42578125" bestFit="1" customWidth="1"/>
    <col min="4105" max="4105" width="21.28515625" customWidth="1"/>
    <col min="4353" max="4353" width="4" customWidth="1"/>
    <col min="4354" max="4354" width="6.28515625" customWidth="1"/>
    <col min="4355" max="4355" width="3.7109375" customWidth="1"/>
    <col min="4356" max="4356" width="14" customWidth="1"/>
    <col min="4357" max="4357" width="5" customWidth="1"/>
    <col min="4358" max="4358" width="11.42578125" bestFit="1" customWidth="1"/>
    <col min="4359" max="4359" width="5.85546875" customWidth="1"/>
    <col min="4360" max="4360" width="11.42578125" bestFit="1" customWidth="1"/>
    <col min="4361" max="4361" width="21.28515625" customWidth="1"/>
    <col min="4609" max="4609" width="4" customWidth="1"/>
    <col min="4610" max="4610" width="6.28515625" customWidth="1"/>
    <col min="4611" max="4611" width="3.7109375" customWidth="1"/>
    <col min="4612" max="4612" width="14" customWidth="1"/>
    <col min="4613" max="4613" width="5" customWidth="1"/>
    <col min="4614" max="4614" width="11.42578125" bestFit="1" customWidth="1"/>
    <col min="4615" max="4615" width="5.85546875" customWidth="1"/>
    <col min="4616" max="4616" width="11.42578125" bestFit="1" customWidth="1"/>
    <col min="4617" max="4617" width="21.28515625" customWidth="1"/>
    <col min="4865" max="4865" width="4" customWidth="1"/>
    <col min="4866" max="4866" width="6.28515625" customWidth="1"/>
    <col min="4867" max="4867" width="3.7109375" customWidth="1"/>
    <col min="4868" max="4868" width="14" customWidth="1"/>
    <col min="4869" max="4869" width="5" customWidth="1"/>
    <col min="4870" max="4870" width="11.42578125" bestFit="1" customWidth="1"/>
    <col min="4871" max="4871" width="5.85546875" customWidth="1"/>
    <col min="4872" max="4872" width="11.42578125" bestFit="1" customWidth="1"/>
    <col min="4873" max="4873" width="21.28515625" customWidth="1"/>
    <col min="5121" max="5121" width="4" customWidth="1"/>
    <col min="5122" max="5122" width="6.28515625" customWidth="1"/>
    <col min="5123" max="5123" width="3.7109375" customWidth="1"/>
    <col min="5124" max="5124" width="14" customWidth="1"/>
    <col min="5125" max="5125" width="5" customWidth="1"/>
    <col min="5126" max="5126" width="11.42578125" bestFit="1" customWidth="1"/>
    <col min="5127" max="5127" width="5.85546875" customWidth="1"/>
    <col min="5128" max="5128" width="11.42578125" bestFit="1" customWidth="1"/>
    <col min="5129" max="5129" width="21.28515625" customWidth="1"/>
    <col min="5377" max="5377" width="4" customWidth="1"/>
    <col min="5378" max="5378" width="6.28515625" customWidth="1"/>
    <col min="5379" max="5379" width="3.7109375" customWidth="1"/>
    <col min="5380" max="5380" width="14" customWidth="1"/>
    <col min="5381" max="5381" width="5" customWidth="1"/>
    <col min="5382" max="5382" width="11.42578125" bestFit="1" customWidth="1"/>
    <col min="5383" max="5383" width="5.85546875" customWidth="1"/>
    <col min="5384" max="5384" width="11.42578125" bestFit="1" customWidth="1"/>
    <col min="5385" max="5385" width="21.28515625" customWidth="1"/>
    <col min="5633" max="5633" width="4" customWidth="1"/>
    <col min="5634" max="5634" width="6.28515625" customWidth="1"/>
    <col min="5635" max="5635" width="3.7109375" customWidth="1"/>
    <col min="5636" max="5636" width="14" customWidth="1"/>
    <col min="5637" max="5637" width="5" customWidth="1"/>
    <col min="5638" max="5638" width="11.42578125" bestFit="1" customWidth="1"/>
    <col min="5639" max="5639" width="5.85546875" customWidth="1"/>
    <col min="5640" max="5640" width="11.42578125" bestFit="1" customWidth="1"/>
    <col min="5641" max="5641" width="21.28515625" customWidth="1"/>
    <col min="5889" max="5889" width="4" customWidth="1"/>
    <col min="5890" max="5890" width="6.28515625" customWidth="1"/>
    <col min="5891" max="5891" width="3.7109375" customWidth="1"/>
    <col min="5892" max="5892" width="14" customWidth="1"/>
    <col min="5893" max="5893" width="5" customWidth="1"/>
    <col min="5894" max="5894" width="11.42578125" bestFit="1" customWidth="1"/>
    <col min="5895" max="5895" width="5.85546875" customWidth="1"/>
    <col min="5896" max="5896" width="11.42578125" bestFit="1" customWidth="1"/>
    <col min="5897" max="5897" width="21.28515625" customWidth="1"/>
    <col min="6145" max="6145" width="4" customWidth="1"/>
    <col min="6146" max="6146" width="6.28515625" customWidth="1"/>
    <col min="6147" max="6147" width="3.7109375" customWidth="1"/>
    <col min="6148" max="6148" width="14" customWidth="1"/>
    <col min="6149" max="6149" width="5" customWidth="1"/>
    <col min="6150" max="6150" width="11.42578125" bestFit="1" customWidth="1"/>
    <col min="6151" max="6151" width="5.85546875" customWidth="1"/>
    <col min="6152" max="6152" width="11.42578125" bestFit="1" customWidth="1"/>
    <col min="6153" max="6153" width="21.28515625" customWidth="1"/>
    <col min="6401" max="6401" width="4" customWidth="1"/>
    <col min="6402" max="6402" width="6.28515625" customWidth="1"/>
    <col min="6403" max="6403" width="3.7109375" customWidth="1"/>
    <col min="6404" max="6404" width="14" customWidth="1"/>
    <col min="6405" max="6405" width="5" customWidth="1"/>
    <col min="6406" max="6406" width="11.42578125" bestFit="1" customWidth="1"/>
    <col min="6407" max="6407" width="5.85546875" customWidth="1"/>
    <col min="6408" max="6408" width="11.42578125" bestFit="1" customWidth="1"/>
    <col min="6409" max="6409" width="21.28515625" customWidth="1"/>
    <col min="6657" max="6657" width="4" customWidth="1"/>
    <col min="6658" max="6658" width="6.28515625" customWidth="1"/>
    <col min="6659" max="6659" width="3.7109375" customWidth="1"/>
    <col min="6660" max="6660" width="14" customWidth="1"/>
    <col min="6661" max="6661" width="5" customWidth="1"/>
    <col min="6662" max="6662" width="11.42578125" bestFit="1" customWidth="1"/>
    <col min="6663" max="6663" width="5.85546875" customWidth="1"/>
    <col min="6664" max="6664" width="11.42578125" bestFit="1" customWidth="1"/>
    <col min="6665" max="6665" width="21.28515625" customWidth="1"/>
    <col min="6913" max="6913" width="4" customWidth="1"/>
    <col min="6914" max="6914" width="6.28515625" customWidth="1"/>
    <col min="6915" max="6915" width="3.7109375" customWidth="1"/>
    <col min="6916" max="6916" width="14" customWidth="1"/>
    <col min="6917" max="6917" width="5" customWidth="1"/>
    <col min="6918" max="6918" width="11.42578125" bestFit="1" customWidth="1"/>
    <col min="6919" max="6919" width="5.85546875" customWidth="1"/>
    <col min="6920" max="6920" width="11.42578125" bestFit="1" customWidth="1"/>
    <col min="6921" max="6921" width="21.28515625" customWidth="1"/>
    <col min="7169" max="7169" width="4" customWidth="1"/>
    <col min="7170" max="7170" width="6.28515625" customWidth="1"/>
    <col min="7171" max="7171" width="3.7109375" customWidth="1"/>
    <col min="7172" max="7172" width="14" customWidth="1"/>
    <col min="7173" max="7173" width="5" customWidth="1"/>
    <col min="7174" max="7174" width="11.42578125" bestFit="1" customWidth="1"/>
    <col min="7175" max="7175" width="5.85546875" customWidth="1"/>
    <col min="7176" max="7176" width="11.42578125" bestFit="1" customWidth="1"/>
    <col min="7177" max="7177" width="21.28515625" customWidth="1"/>
    <col min="7425" max="7425" width="4" customWidth="1"/>
    <col min="7426" max="7426" width="6.28515625" customWidth="1"/>
    <col min="7427" max="7427" width="3.7109375" customWidth="1"/>
    <col min="7428" max="7428" width="14" customWidth="1"/>
    <col min="7429" max="7429" width="5" customWidth="1"/>
    <col min="7430" max="7430" width="11.42578125" bestFit="1" customWidth="1"/>
    <col min="7431" max="7431" width="5.85546875" customWidth="1"/>
    <col min="7432" max="7432" width="11.42578125" bestFit="1" customWidth="1"/>
    <col min="7433" max="7433" width="21.28515625" customWidth="1"/>
    <col min="7681" max="7681" width="4" customWidth="1"/>
    <col min="7682" max="7682" width="6.28515625" customWidth="1"/>
    <col min="7683" max="7683" width="3.7109375" customWidth="1"/>
    <col min="7684" max="7684" width="14" customWidth="1"/>
    <col min="7685" max="7685" width="5" customWidth="1"/>
    <col min="7686" max="7686" width="11.42578125" bestFit="1" customWidth="1"/>
    <col min="7687" max="7687" width="5.85546875" customWidth="1"/>
    <col min="7688" max="7688" width="11.42578125" bestFit="1" customWidth="1"/>
    <col min="7689" max="7689" width="21.28515625" customWidth="1"/>
    <col min="7937" max="7937" width="4" customWidth="1"/>
    <col min="7938" max="7938" width="6.28515625" customWidth="1"/>
    <col min="7939" max="7939" width="3.7109375" customWidth="1"/>
    <col min="7940" max="7940" width="14" customWidth="1"/>
    <col min="7941" max="7941" width="5" customWidth="1"/>
    <col min="7942" max="7942" width="11.42578125" bestFit="1" customWidth="1"/>
    <col min="7943" max="7943" width="5.85546875" customWidth="1"/>
    <col min="7944" max="7944" width="11.42578125" bestFit="1" customWidth="1"/>
    <col min="7945" max="7945" width="21.28515625" customWidth="1"/>
    <col min="8193" max="8193" width="4" customWidth="1"/>
    <col min="8194" max="8194" width="6.28515625" customWidth="1"/>
    <col min="8195" max="8195" width="3.7109375" customWidth="1"/>
    <col min="8196" max="8196" width="14" customWidth="1"/>
    <col min="8197" max="8197" width="5" customWidth="1"/>
    <col min="8198" max="8198" width="11.42578125" bestFit="1" customWidth="1"/>
    <col min="8199" max="8199" width="5.85546875" customWidth="1"/>
    <col min="8200" max="8200" width="11.42578125" bestFit="1" customWidth="1"/>
    <col min="8201" max="8201" width="21.28515625" customWidth="1"/>
    <col min="8449" max="8449" width="4" customWidth="1"/>
    <col min="8450" max="8450" width="6.28515625" customWidth="1"/>
    <col min="8451" max="8451" width="3.7109375" customWidth="1"/>
    <col min="8452" max="8452" width="14" customWidth="1"/>
    <col min="8453" max="8453" width="5" customWidth="1"/>
    <col min="8454" max="8454" width="11.42578125" bestFit="1" customWidth="1"/>
    <col min="8455" max="8455" width="5.85546875" customWidth="1"/>
    <col min="8456" max="8456" width="11.42578125" bestFit="1" customWidth="1"/>
    <col min="8457" max="8457" width="21.28515625" customWidth="1"/>
    <col min="8705" max="8705" width="4" customWidth="1"/>
    <col min="8706" max="8706" width="6.28515625" customWidth="1"/>
    <col min="8707" max="8707" width="3.7109375" customWidth="1"/>
    <col min="8708" max="8708" width="14" customWidth="1"/>
    <col min="8709" max="8709" width="5" customWidth="1"/>
    <col min="8710" max="8710" width="11.42578125" bestFit="1" customWidth="1"/>
    <col min="8711" max="8711" width="5.85546875" customWidth="1"/>
    <col min="8712" max="8712" width="11.42578125" bestFit="1" customWidth="1"/>
    <col min="8713" max="8713" width="21.28515625" customWidth="1"/>
    <col min="8961" max="8961" width="4" customWidth="1"/>
    <col min="8962" max="8962" width="6.28515625" customWidth="1"/>
    <col min="8963" max="8963" width="3.7109375" customWidth="1"/>
    <col min="8964" max="8964" width="14" customWidth="1"/>
    <col min="8965" max="8965" width="5" customWidth="1"/>
    <col min="8966" max="8966" width="11.42578125" bestFit="1" customWidth="1"/>
    <col min="8967" max="8967" width="5.85546875" customWidth="1"/>
    <col min="8968" max="8968" width="11.42578125" bestFit="1" customWidth="1"/>
    <col min="8969" max="8969" width="21.28515625" customWidth="1"/>
    <col min="9217" max="9217" width="4" customWidth="1"/>
    <col min="9218" max="9218" width="6.28515625" customWidth="1"/>
    <col min="9219" max="9219" width="3.7109375" customWidth="1"/>
    <col min="9220" max="9220" width="14" customWidth="1"/>
    <col min="9221" max="9221" width="5" customWidth="1"/>
    <col min="9222" max="9222" width="11.42578125" bestFit="1" customWidth="1"/>
    <col min="9223" max="9223" width="5.85546875" customWidth="1"/>
    <col min="9224" max="9224" width="11.42578125" bestFit="1" customWidth="1"/>
    <col min="9225" max="9225" width="21.28515625" customWidth="1"/>
    <col min="9473" max="9473" width="4" customWidth="1"/>
    <col min="9474" max="9474" width="6.28515625" customWidth="1"/>
    <col min="9475" max="9475" width="3.7109375" customWidth="1"/>
    <col min="9476" max="9476" width="14" customWidth="1"/>
    <col min="9477" max="9477" width="5" customWidth="1"/>
    <col min="9478" max="9478" width="11.42578125" bestFit="1" customWidth="1"/>
    <col min="9479" max="9479" width="5.85546875" customWidth="1"/>
    <col min="9480" max="9480" width="11.42578125" bestFit="1" customWidth="1"/>
    <col min="9481" max="9481" width="21.28515625" customWidth="1"/>
    <col min="9729" max="9729" width="4" customWidth="1"/>
    <col min="9730" max="9730" width="6.28515625" customWidth="1"/>
    <col min="9731" max="9731" width="3.7109375" customWidth="1"/>
    <col min="9732" max="9732" width="14" customWidth="1"/>
    <col min="9733" max="9733" width="5" customWidth="1"/>
    <col min="9734" max="9734" width="11.42578125" bestFit="1" customWidth="1"/>
    <col min="9735" max="9735" width="5.85546875" customWidth="1"/>
    <col min="9736" max="9736" width="11.42578125" bestFit="1" customWidth="1"/>
    <col min="9737" max="9737" width="21.28515625" customWidth="1"/>
    <col min="9985" max="9985" width="4" customWidth="1"/>
    <col min="9986" max="9986" width="6.28515625" customWidth="1"/>
    <col min="9987" max="9987" width="3.7109375" customWidth="1"/>
    <col min="9988" max="9988" width="14" customWidth="1"/>
    <col min="9989" max="9989" width="5" customWidth="1"/>
    <col min="9990" max="9990" width="11.42578125" bestFit="1" customWidth="1"/>
    <col min="9991" max="9991" width="5.85546875" customWidth="1"/>
    <col min="9992" max="9992" width="11.42578125" bestFit="1" customWidth="1"/>
    <col min="9993" max="9993" width="21.28515625" customWidth="1"/>
    <col min="10241" max="10241" width="4" customWidth="1"/>
    <col min="10242" max="10242" width="6.28515625" customWidth="1"/>
    <col min="10243" max="10243" width="3.7109375" customWidth="1"/>
    <col min="10244" max="10244" width="14" customWidth="1"/>
    <col min="10245" max="10245" width="5" customWidth="1"/>
    <col min="10246" max="10246" width="11.42578125" bestFit="1" customWidth="1"/>
    <col min="10247" max="10247" width="5.85546875" customWidth="1"/>
    <col min="10248" max="10248" width="11.42578125" bestFit="1" customWidth="1"/>
    <col min="10249" max="10249" width="21.28515625" customWidth="1"/>
    <col min="10497" max="10497" width="4" customWidth="1"/>
    <col min="10498" max="10498" width="6.28515625" customWidth="1"/>
    <col min="10499" max="10499" width="3.7109375" customWidth="1"/>
    <col min="10500" max="10500" width="14" customWidth="1"/>
    <col min="10501" max="10501" width="5" customWidth="1"/>
    <col min="10502" max="10502" width="11.42578125" bestFit="1" customWidth="1"/>
    <col min="10503" max="10503" width="5.85546875" customWidth="1"/>
    <col min="10504" max="10504" width="11.42578125" bestFit="1" customWidth="1"/>
    <col min="10505" max="10505" width="21.28515625" customWidth="1"/>
    <col min="10753" max="10753" width="4" customWidth="1"/>
    <col min="10754" max="10754" width="6.28515625" customWidth="1"/>
    <col min="10755" max="10755" width="3.7109375" customWidth="1"/>
    <col min="10756" max="10756" width="14" customWidth="1"/>
    <col min="10757" max="10757" width="5" customWidth="1"/>
    <col min="10758" max="10758" width="11.42578125" bestFit="1" customWidth="1"/>
    <col min="10759" max="10759" width="5.85546875" customWidth="1"/>
    <col min="10760" max="10760" width="11.42578125" bestFit="1" customWidth="1"/>
    <col min="10761" max="10761" width="21.28515625" customWidth="1"/>
    <col min="11009" max="11009" width="4" customWidth="1"/>
    <col min="11010" max="11010" width="6.28515625" customWidth="1"/>
    <col min="11011" max="11011" width="3.7109375" customWidth="1"/>
    <col min="11012" max="11012" width="14" customWidth="1"/>
    <col min="11013" max="11013" width="5" customWidth="1"/>
    <col min="11014" max="11014" width="11.42578125" bestFit="1" customWidth="1"/>
    <col min="11015" max="11015" width="5.85546875" customWidth="1"/>
    <col min="11016" max="11016" width="11.42578125" bestFit="1" customWidth="1"/>
    <col min="11017" max="11017" width="21.28515625" customWidth="1"/>
    <col min="11265" max="11265" width="4" customWidth="1"/>
    <col min="11266" max="11266" width="6.28515625" customWidth="1"/>
    <col min="11267" max="11267" width="3.7109375" customWidth="1"/>
    <col min="11268" max="11268" width="14" customWidth="1"/>
    <col min="11269" max="11269" width="5" customWidth="1"/>
    <col min="11270" max="11270" width="11.42578125" bestFit="1" customWidth="1"/>
    <col min="11271" max="11271" width="5.85546875" customWidth="1"/>
    <col min="11272" max="11272" width="11.42578125" bestFit="1" customWidth="1"/>
    <col min="11273" max="11273" width="21.28515625" customWidth="1"/>
    <col min="11521" max="11521" width="4" customWidth="1"/>
    <col min="11522" max="11522" width="6.28515625" customWidth="1"/>
    <col min="11523" max="11523" width="3.7109375" customWidth="1"/>
    <col min="11524" max="11524" width="14" customWidth="1"/>
    <col min="11525" max="11525" width="5" customWidth="1"/>
    <col min="11526" max="11526" width="11.42578125" bestFit="1" customWidth="1"/>
    <col min="11527" max="11527" width="5.85546875" customWidth="1"/>
    <col min="11528" max="11528" width="11.42578125" bestFit="1" customWidth="1"/>
    <col min="11529" max="11529" width="21.28515625" customWidth="1"/>
    <col min="11777" max="11777" width="4" customWidth="1"/>
    <col min="11778" max="11778" width="6.28515625" customWidth="1"/>
    <col min="11779" max="11779" width="3.7109375" customWidth="1"/>
    <col min="11780" max="11780" width="14" customWidth="1"/>
    <col min="11781" max="11781" width="5" customWidth="1"/>
    <col min="11782" max="11782" width="11.42578125" bestFit="1" customWidth="1"/>
    <col min="11783" max="11783" width="5.85546875" customWidth="1"/>
    <col min="11784" max="11784" width="11.42578125" bestFit="1" customWidth="1"/>
    <col min="11785" max="11785" width="21.28515625" customWidth="1"/>
    <col min="12033" max="12033" width="4" customWidth="1"/>
    <col min="12034" max="12034" width="6.28515625" customWidth="1"/>
    <col min="12035" max="12035" width="3.7109375" customWidth="1"/>
    <col min="12036" max="12036" width="14" customWidth="1"/>
    <col min="12037" max="12037" width="5" customWidth="1"/>
    <col min="12038" max="12038" width="11.42578125" bestFit="1" customWidth="1"/>
    <col min="12039" max="12039" width="5.85546875" customWidth="1"/>
    <col min="12040" max="12040" width="11.42578125" bestFit="1" customWidth="1"/>
    <col min="12041" max="12041" width="21.28515625" customWidth="1"/>
    <col min="12289" max="12289" width="4" customWidth="1"/>
    <col min="12290" max="12290" width="6.28515625" customWidth="1"/>
    <col min="12291" max="12291" width="3.7109375" customWidth="1"/>
    <col min="12292" max="12292" width="14" customWidth="1"/>
    <col min="12293" max="12293" width="5" customWidth="1"/>
    <col min="12294" max="12294" width="11.42578125" bestFit="1" customWidth="1"/>
    <col min="12295" max="12295" width="5.85546875" customWidth="1"/>
    <col min="12296" max="12296" width="11.42578125" bestFit="1" customWidth="1"/>
    <col min="12297" max="12297" width="21.28515625" customWidth="1"/>
    <col min="12545" max="12545" width="4" customWidth="1"/>
    <col min="12546" max="12546" width="6.28515625" customWidth="1"/>
    <col min="12547" max="12547" width="3.7109375" customWidth="1"/>
    <col min="12548" max="12548" width="14" customWidth="1"/>
    <col min="12549" max="12549" width="5" customWidth="1"/>
    <col min="12550" max="12550" width="11.42578125" bestFit="1" customWidth="1"/>
    <col min="12551" max="12551" width="5.85546875" customWidth="1"/>
    <col min="12552" max="12552" width="11.42578125" bestFit="1" customWidth="1"/>
    <col min="12553" max="12553" width="21.28515625" customWidth="1"/>
    <col min="12801" max="12801" width="4" customWidth="1"/>
    <col min="12802" max="12802" width="6.28515625" customWidth="1"/>
    <col min="12803" max="12803" width="3.7109375" customWidth="1"/>
    <col min="12804" max="12804" width="14" customWidth="1"/>
    <col min="12805" max="12805" width="5" customWidth="1"/>
    <col min="12806" max="12806" width="11.42578125" bestFit="1" customWidth="1"/>
    <col min="12807" max="12807" width="5.85546875" customWidth="1"/>
    <col min="12808" max="12808" width="11.42578125" bestFit="1" customWidth="1"/>
    <col min="12809" max="12809" width="21.28515625" customWidth="1"/>
    <col min="13057" max="13057" width="4" customWidth="1"/>
    <col min="13058" max="13058" width="6.28515625" customWidth="1"/>
    <col min="13059" max="13059" width="3.7109375" customWidth="1"/>
    <col min="13060" max="13060" width="14" customWidth="1"/>
    <col min="13061" max="13061" width="5" customWidth="1"/>
    <col min="13062" max="13062" width="11.42578125" bestFit="1" customWidth="1"/>
    <col min="13063" max="13063" width="5.85546875" customWidth="1"/>
    <col min="13064" max="13064" width="11.42578125" bestFit="1" customWidth="1"/>
    <col min="13065" max="13065" width="21.28515625" customWidth="1"/>
    <col min="13313" max="13313" width="4" customWidth="1"/>
    <col min="13314" max="13314" width="6.28515625" customWidth="1"/>
    <col min="13315" max="13315" width="3.7109375" customWidth="1"/>
    <col min="13316" max="13316" width="14" customWidth="1"/>
    <col min="13317" max="13317" width="5" customWidth="1"/>
    <col min="13318" max="13318" width="11.42578125" bestFit="1" customWidth="1"/>
    <col min="13319" max="13319" width="5.85546875" customWidth="1"/>
    <col min="13320" max="13320" width="11.42578125" bestFit="1" customWidth="1"/>
    <col min="13321" max="13321" width="21.28515625" customWidth="1"/>
    <col min="13569" max="13569" width="4" customWidth="1"/>
    <col min="13570" max="13570" width="6.28515625" customWidth="1"/>
    <col min="13571" max="13571" width="3.7109375" customWidth="1"/>
    <col min="13572" max="13572" width="14" customWidth="1"/>
    <col min="13573" max="13573" width="5" customWidth="1"/>
    <col min="13574" max="13574" width="11.42578125" bestFit="1" customWidth="1"/>
    <col min="13575" max="13575" width="5.85546875" customWidth="1"/>
    <col min="13576" max="13576" width="11.42578125" bestFit="1" customWidth="1"/>
    <col min="13577" max="13577" width="21.28515625" customWidth="1"/>
    <col min="13825" max="13825" width="4" customWidth="1"/>
    <col min="13826" max="13826" width="6.28515625" customWidth="1"/>
    <col min="13827" max="13827" width="3.7109375" customWidth="1"/>
    <col min="13828" max="13828" width="14" customWidth="1"/>
    <col min="13829" max="13829" width="5" customWidth="1"/>
    <col min="13830" max="13830" width="11.42578125" bestFit="1" customWidth="1"/>
    <col min="13831" max="13831" width="5.85546875" customWidth="1"/>
    <col min="13832" max="13832" width="11.42578125" bestFit="1" customWidth="1"/>
    <col min="13833" max="13833" width="21.28515625" customWidth="1"/>
    <col min="14081" max="14081" width="4" customWidth="1"/>
    <col min="14082" max="14082" width="6.28515625" customWidth="1"/>
    <col min="14083" max="14083" width="3.7109375" customWidth="1"/>
    <col min="14084" max="14084" width="14" customWidth="1"/>
    <col min="14085" max="14085" width="5" customWidth="1"/>
    <col min="14086" max="14086" width="11.42578125" bestFit="1" customWidth="1"/>
    <col min="14087" max="14087" width="5.85546875" customWidth="1"/>
    <col min="14088" max="14088" width="11.42578125" bestFit="1" customWidth="1"/>
    <col min="14089" max="14089" width="21.28515625" customWidth="1"/>
    <col min="14337" max="14337" width="4" customWidth="1"/>
    <col min="14338" max="14338" width="6.28515625" customWidth="1"/>
    <col min="14339" max="14339" width="3.7109375" customWidth="1"/>
    <col min="14340" max="14340" width="14" customWidth="1"/>
    <col min="14341" max="14341" width="5" customWidth="1"/>
    <col min="14342" max="14342" width="11.42578125" bestFit="1" customWidth="1"/>
    <col min="14343" max="14343" width="5.85546875" customWidth="1"/>
    <col min="14344" max="14344" width="11.42578125" bestFit="1" customWidth="1"/>
    <col min="14345" max="14345" width="21.28515625" customWidth="1"/>
    <col min="14593" max="14593" width="4" customWidth="1"/>
    <col min="14594" max="14594" width="6.28515625" customWidth="1"/>
    <col min="14595" max="14595" width="3.7109375" customWidth="1"/>
    <col min="14596" max="14596" width="14" customWidth="1"/>
    <col min="14597" max="14597" width="5" customWidth="1"/>
    <col min="14598" max="14598" width="11.42578125" bestFit="1" customWidth="1"/>
    <col min="14599" max="14599" width="5.85546875" customWidth="1"/>
    <col min="14600" max="14600" width="11.42578125" bestFit="1" customWidth="1"/>
    <col min="14601" max="14601" width="21.28515625" customWidth="1"/>
    <col min="14849" max="14849" width="4" customWidth="1"/>
    <col min="14850" max="14850" width="6.28515625" customWidth="1"/>
    <col min="14851" max="14851" width="3.7109375" customWidth="1"/>
    <col min="14852" max="14852" width="14" customWidth="1"/>
    <col min="14853" max="14853" width="5" customWidth="1"/>
    <col min="14854" max="14854" width="11.42578125" bestFit="1" customWidth="1"/>
    <col min="14855" max="14855" width="5.85546875" customWidth="1"/>
    <col min="14856" max="14856" width="11.42578125" bestFit="1" customWidth="1"/>
    <col min="14857" max="14857" width="21.28515625" customWidth="1"/>
    <col min="15105" max="15105" width="4" customWidth="1"/>
    <col min="15106" max="15106" width="6.28515625" customWidth="1"/>
    <col min="15107" max="15107" width="3.7109375" customWidth="1"/>
    <col min="15108" max="15108" width="14" customWidth="1"/>
    <col min="15109" max="15109" width="5" customWidth="1"/>
    <col min="15110" max="15110" width="11.42578125" bestFit="1" customWidth="1"/>
    <col min="15111" max="15111" width="5.85546875" customWidth="1"/>
    <col min="15112" max="15112" width="11.42578125" bestFit="1" customWidth="1"/>
    <col min="15113" max="15113" width="21.28515625" customWidth="1"/>
    <col min="15361" max="15361" width="4" customWidth="1"/>
    <col min="15362" max="15362" width="6.28515625" customWidth="1"/>
    <col min="15363" max="15363" width="3.7109375" customWidth="1"/>
    <col min="15364" max="15364" width="14" customWidth="1"/>
    <col min="15365" max="15365" width="5" customWidth="1"/>
    <col min="15366" max="15366" width="11.42578125" bestFit="1" customWidth="1"/>
    <col min="15367" max="15367" width="5.85546875" customWidth="1"/>
    <col min="15368" max="15368" width="11.42578125" bestFit="1" customWidth="1"/>
    <col min="15369" max="15369" width="21.28515625" customWidth="1"/>
    <col min="15617" max="15617" width="4" customWidth="1"/>
    <col min="15618" max="15618" width="6.28515625" customWidth="1"/>
    <col min="15619" max="15619" width="3.7109375" customWidth="1"/>
    <col min="15620" max="15620" width="14" customWidth="1"/>
    <col min="15621" max="15621" width="5" customWidth="1"/>
    <col min="15622" max="15622" width="11.42578125" bestFit="1" customWidth="1"/>
    <col min="15623" max="15623" width="5.85546875" customWidth="1"/>
    <col min="15624" max="15624" width="11.42578125" bestFit="1" customWidth="1"/>
    <col min="15625" max="15625" width="21.28515625" customWidth="1"/>
    <col min="15873" max="15873" width="4" customWidth="1"/>
    <col min="15874" max="15874" width="6.28515625" customWidth="1"/>
    <col min="15875" max="15875" width="3.7109375" customWidth="1"/>
    <col min="15876" max="15876" width="14" customWidth="1"/>
    <col min="15877" max="15877" width="5" customWidth="1"/>
    <col min="15878" max="15878" width="11.42578125" bestFit="1" customWidth="1"/>
    <col min="15879" max="15879" width="5.85546875" customWidth="1"/>
    <col min="15880" max="15880" width="11.42578125" bestFit="1" customWidth="1"/>
    <col min="15881" max="15881" width="21.28515625" customWidth="1"/>
    <col min="16129" max="16129" width="4" customWidth="1"/>
    <col min="16130" max="16130" width="6.28515625" customWidth="1"/>
    <col min="16131" max="16131" width="3.7109375" customWidth="1"/>
    <col min="16132" max="16132" width="14" customWidth="1"/>
    <col min="16133" max="16133" width="5" customWidth="1"/>
    <col min="16134" max="16134" width="11.42578125" bestFit="1" customWidth="1"/>
    <col min="16135" max="16135" width="5.85546875" customWidth="1"/>
    <col min="16136" max="16136" width="11.42578125" bestFit="1" customWidth="1"/>
    <col min="16137" max="16137" width="21.28515625" customWidth="1"/>
  </cols>
  <sheetData>
    <row r="2" spans="1:9">
      <c r="A2" s="542" t="s">
        <v>389</v>
      </c>
    </row>
    <row r="4" spans="1:9" ht="25.5">
      <c r="A4" s="514"/>
      <c r="B4" s="514" t="s">
        <v>350</v>
      </c>
      <c r="C4" s="514" t="s">
        <v>351</v>
      </c>
      <c r="D4" s="515" t="s">
        <v>352</v>
      </c>
      <c r="E4" s="515" t="s">
        <v>351</v>
      </c>
      <c r="F4" s="515" t="s">
        <v>353</v>
      </c>
      <c r="G4" s="515" t="s">
        <v>354</v>
      </c>
      <c r="H4" s="516" t="s">
        <v>355</v>
      </c>
      <c r="I4" s="514" t="s">
        <v>356</v>
      </c>
    </row>
    <row r="5" spans="1:9" ht="9" hidden="1" customHeight="1">
      <c r="A5" s="517"/>
      <c r="B5" s="514"/>
      <c r="C5" s="517"/>
      <c r="D5" s="518"/>
      <c r="E5" s="519"/>
      <c r="F5" s="518"/>
      <c r="G5" s="518"/>
      <c r="H5" s="518"/>
      <c r="I5" s="520"/>
    </row>
    <row r="6" spans="1:9" ht="80.25" customHeight="1">
      <c r="A6" s="517">
        <v>1</v>
      </c>
      <c r="B6" s="515">
        <v>199</v>
      </c>
      <c r="C6" s="514">
        <v>0</v>
      </c>
      <c r="D6" s="523">
        <v>113413</v>
      </c>
      <c r="E6" s="515">
        <v>11</v>
      </c>
      <c r="F6" s="524">
        <v>110413</v>
      </c>
      <c r="G6" s="524">
        <v>42</v>
      </c>
      <c r="H6" s="523">
        <v>113413</v>
      </c>
      <c r="I6" s="522" t="s">
        <v>477</v>
      </c>
    </row>
    <row r="7" spans="1:9" ht="56.25" customHeight="1">
      <c r="A7" s="517">
        <v>2</v>
      </c>
      <c r="B7" s="514">
        <v>199</v>
      </c>
      <c r="C7" s="514">
        <v>11</v>
      </c>
      <c r="D7" s="521">
        <v>8000</v>
      </c>
      <c r="E7" s="515">
        <v>23</v>
      </c>
      <c r="F7" s="521">
        <v>6000</v>
      </c>
      <c r="G7" s="521">
        <v>1</v>
      </c>
      <c r="H7" s="521"/>
      <c r="I7" s="522" t="s">
        <v>357</v>
      </c>
    </row>
    <row r="8" spans="1:9" ht="20.25" customHeight="1">
      <c r="A8" s="517"/>
      <c r="B8" s="514"/>
      <c r="C8" s="514"/>
      <c r="D8" s="521"/>
      <c r="E8" s="515"/>
      <c r="F8" s="521">
        <v>2000</v>
      </c>
      <c r="G8" s="521"/>
      <c r="H8" s="521"/>
      <c r="I8" s="522"/>
    </row>
    <row r="9" spans="1:9" ht="42.75" customHeight="1">
      <c r="A9" s="517">
        <v>3</v>
      </c>
      <c r="B9" s="514">
        <v>199</v>
      </c>
      <c r="C9" s="514">
        <v>11</v>
      </c>
      <c r="D9" s="521">
        <v>4200</v>
      </c>
      <c r="E9" s="515">
        <v>21</v>
      </c>
      <c r="F9" s="521">
        <v>4200</v>
      </c>
      <c r="G9" s="521">
        <v>821</v>
      </c>
      <c r="H9" s="521"/>
      <c r="I9" s="522" t="s">
        <v>358</v>
      </c>
    </row>
    <row r="10" spans="1:9" ht="57" customHeight="1">
      <c r="A10" s="517">
        <v>4</v>
      </c>
      <c r="B10" s="514">
        <v>199</v>
      </c>
      <c r="C10" s="514">
        <v>0</v>
      </c>
      <c r="D10" s="521">
        <v>880</v>
      </c>
      <c r="E10" s="515">
        <v>11</v>
      </c>
      <c r="F10" s="521">
        <v>880</v>
      </c>
      <c r="G10" s="521">
        <v>41</v>
      </c>
      <c r="H10" s="521">
        <v>880</v>
      </c>
      <c r="I10" s="522" t="s">
        <v>359</v>
      </c>
    </row>
    <row r="11" spans="1:9" ht="39.75" customHeight="1">
      <c r="A11" s="517">
        <v>5</v>
      </c>
      <c r="B11" s="514">
        <v>199</v>
      </c>
      <c r="C11" s="514">
        <v>0</v>
      </c>
      <c r="D11" s="521">
        <v>831</v>
      </c>
      <c r="E11" s="515">
        <v>11</v>
      </c>
      <c r="F11" s="521">
        <v>831</v>
      </c>
      <c r="G11" s="521">
        <v>41</v>
      </c>
      <c r="H11" s="521">
        <v>831</v>
      </c>
      <c r="I11" s="522" t="s">
        <v>360</v>
      </c>
    </row>
    <row r="12" spans="1:9" ht="40.5" customHeight="1">
      <c r="A12" s="517">
        <v>6</v>
      </c>
      <c r="B12" s="514">
        <v>199</v>
      </c>
      <c r="C12" s="514">
        <v>0</v>
      </c>
      <c r="D12" s="521">
        <v>95</v>
      </c>
      <c r="E12" s="515">
        <v>11</v>
      </c>
      <c r="F12" s="521">
        <v>95</v>
      </c>
      <c r="G12" s="521">
        <v>41</v>
      </c>
      <c r="H12" s="521">
        <v>95</v>
      </c>
      <c r="I12" s="522" t="s">
        <v>361</v>
      </c>
    </row>
    <row r="13" spans="1:9" ht="31.5" customHeight="1">
      <c r="A13" s="517">
        <v>7</v>
      </c>
      <c r="B13" s="514">
        <v>199</v>
      </c>
      <c r="C13" s="514">
        <v>11</v>
      </c>
      <c r="D13" s="521">
        <v>105</v>
      </c>
      <c r="E13" s="515">
        <v>13</v>
      </c>
      <c r="F13" s="521">
        <v>105</v>
      </c>
      <c r="G13" s="521">
        <v>42</v>
      </c>
      <c r="H13" s="521"/>
      <c r="I13" s="522" t="s">
        <v>362</v>
      </c>
    </row>
    <row r="14" spans="1:9" ht="45.75" customHeight="1">
      <c r="A14" s="517">
        <v>8</v>
      </c>
      <c r="B14" s="514">
        <v>199</v>
      </c>
      <c r="C14" s="514">
        <v>11</v>
      </c>
      <c r="D14" s="521">
        <v>200</v>
      </c>
      <c r="E14" s="515">
        <v>13</v>
      </c>
      <c r="F14" s="521">
        <v>200</v>
      </c>
      <c r="G14" s="521">
        <v>41</v>
      </c>
      <c r="H14" s="521"/>
      <c r="I14" s="522" t="s">
        <v>363</v>
      </c>
    </row>
    <row r="15" spans="1:9" ht="31.5" customHeight="1">
      <c r="A15" s="517">
        <v>9</v>
      </c>
      <c r="B15" s="514">
        <v>199</v>
      </c>
      <c r="C15" s="514">
        <v>11</v>
      </c>
      <c r="D15" s="521">
        <v>200</v>
      </c>
      <c r="E15" s="515">
        <v>13</v>
      </c>
      <c r="F15" s="521">
        <v>200</v>
      </c>
      <c r="G15" s="521">
        <v>823</v>
      </c>
      <c r="H15" s="521"/>
      <c r="I15" s="522" t="s">
        <v>364</v>
      </c>
    </row>
    <row r="16" spans="1:9" ht="30" customHeight="1">
      <c r="A16" s="517">
        <v>10</v>
      </c>
      <c r="B16" s="514">
        <v>199</v>
      </c>
      <c r="C16" s="514">
        <v>11</v>
      </c>
      <c r="D16" s="521">
        <v>429</v>
      </c>
      <c r="E16" s="515">
        <v>11</v>
      </c>
      <c r="F16" s="521">
        <v>429</v>
      </c>
      <c r="G16" s="521">
        <v>104</v>
      </c>
      <c r="H16" s="521">
        <v>429</v>
      </c>
      <c r="I16" s="522" t="s">
        <v>365</v>
      </c>
    </row>
    <row r="17" spans="1:9" ht="40.5" customHeight="1">
      <c r="A17" s="517">
        <v>11</v>
      </c>
      <c r="B17" s="514">
        <v>199</v>
      </c>
      <c r="C17" s="514">
        <v>0</v>
      </c>
      <c r="D17" s="521">
        <v>432</v>
      </c>
      <c r="E17" s="515">
        <v>11</v>
      </c>
      <c r="F17" s="521">
        <v>432</v>
      </c>
      <c r="G17" s="521">
        <v>107</v>
      </c>
      <c r="H17" s="521">
        <v>432</v>
      </c>
      <c r="I17" s="522" t="s">
        <v>365</v>
      </c>
    </row>
    <row r="18" spans="1:9" ht="41.25" customHeight="1">
      <c r="A18" s="517">
        <v>12</v>
      </c>
      <c r="B18" s="514">
        <v>199</v>
      </c>
      <c r="C18" s="514">
        <v>0</v>
      </c>
      <c r="D18" s="521">
        <v>476</v>
      </c>
      <c r="E18" s="515">
        <v>36</v>
      </c>
      <c r="F18" s="521">
        <v>476</v>
      </c>
      <c r="G18" s="521">
        <v>103</v>
      </c>
      <c r="H18" s="521">
        <v>476</v>
      </c>
      <c r="I18" s="522" t="s">
        <v>366</v>
      </c>
    </row>
    <row r="19" spans="1:9" ht="44.25" customHeight="1">
      <c r="A19" s="517">
        <v>13</v>
      </c>
      <c r="B19" s="514">
        <v>199</v>
      </c>
      <c r="C19" s="514">
        <v>12</v>
      </c>
      <c r="D19" s="521">
        <v>500</v>
      </c>
      <c r="E19" s="515">
        <v>13</v>
      </c>
      <c r="F19" s="521">
        <v>500</v>
      </c>
      <c r="G19" s="521">
        <v>103</v>
      </c>
      <c r="H19" s="521"/>
      <c r="I19" s="522" t="s">
        <v>367</v>
      </c>
    </row>
    <row r="20" spans="1:9" ht="49.5" customHeight="1">
      <c r="A20" s="517">
        <v>14</v>
      </c>
      <c r="B20" s="514">
        <v>199</v>
      </c>
      <c r="C20" s="514">
        <v>23</v>
      </c>
      <c r="D20" s="521">
        <v>519</v>
      </c>
      <c r="E20" s="515">
        <v>31</v>
      </c>
      <c r="F20" s="521">
        <v>519</v>
      </c>
      <c r="G20" s="521">
        <v>108</v>
      </c>
      <c r="H20" s="521"/>
      <c r="I20" s="522" t="s">
        <v>368</v>
      </c>
    </row>
    <row r="21" spans="1:9" ht="43.5" customHeight="1">
      <c r="A21" s="517">
        <v>15</v>
      </c>
      <c r="B21" s="514">
        <v>199</v>
      </c>
      <c r="C21" s="514">
        <v>0</v>
      </c>
      <c r="D21" s="521">
        <v>560</v>
      </c>
      <c r="E21" s="515">
        <v>36</v>
      </c>
      <c r="F21" s="521">
        <v>560</v>
      </c>
      <c r="G21" s="521">
        <v>1</v>
      </c>
      <c r="H21" s="521">
        <v>560</v>
      </c>
      <c r="I21" s="522" t="s">
        <v>369</v>
      </c>
    </row>
    <row r="22" spans="1:9" ht="51" customHeight="1">
      <c r="A22" s="517">
        <v>16</v>
      </c>
      <c r="B22" s="514">
        <v>199</v>
      </c>
      <c r="C22" s="514">
        <v>0</v>
      </c>
      <c r="D22" s="521">
        <v>280</v>
      </c>
      <c r="E22" s="515">
        <v>11</v>
      </c>
      <c r="F22" s="521">
        <v>280</v>
      </c>
      <c r="G22" s="521">
        <v>1</v>
      </c>
      <c r="H22" s="521">
        <v>280</v>
      </c>
      <c r="I22" s="522" t="s">
        <v>370</v>
      </c>
    </row>
    <row r="23" spans="1:9" ht="27" hidden="1" customHeight="1">
      <c r="A23" s="517"/>
      <c r="B23" s="515"/>
      <c r="C23" s="514"/>
      <c r="D23" s="523"/>
      <c r="E23" s="515"/>
      <c r="F23" s="524"/>
      <c r="G23" s="524"/>
      <c r="H23" s="523"/>
      <c r="I23" s="525"/>
    </row>
    <row r="24" spans="1:9" ht="54.75" customHeight="1">
      <c r="A24" s="517">
        <v>17</v>
      </c>
      <c r="B24" s="515">
        <v>199</v>
      </c>
      <c r="C24" s="514">
        <v>36</v>
      </c>
      <c r="D24" s="523">
        <v>100</v>
      </c>
      <c r="E24" s="515">
        <v>11</v>
      </c>
      <c r="F24" s="524">
        <v>1500</v>
      </c>
      <c r="G24" s="524">
        <v>108</v>
      </c>
      <c r="H24" s="523"/>
      <c r="I24" s="522" t="s">
        <v>371</v>
      </c>
    </row>
    <row r="25" spans="1:9" ht="24.75" customHeight="1">
      <c r="A25" s="517"/>
      <c r="B25" s="515"/>
      <c r="C25" s="514">
        <v>23</v>
      </c>
      <c r="D25" s="523">
        <v>600</v>
      </c>
      <c r="E25" s="515"/>
      <c r="F25" s="524"/>
      <c r="G25" s="524"/>
      <c r="H25" s="523"/>
      <c r="I25" s="522"/>
    </row>
    <row r="26" spans="1:9" ht="17.25" customHeight="1">
      <c r="A26" s="517"/>
      <c r="B26" s="515"/>
      <c r="C26" s="514">
        <v>13</v>
      </c>
      <c r="D26" s="523">
        <v>800</v>
      </c>
      <c r="E26" s="515"/>
      <c r="F26" s="524"/>
      <c r="G26" s="524"/>
      <c r="H26" s="523"/>
      <c r="I26" s="522"/>
    </row>
    <row r="27" spans="1:9" ht="57.75" customHeight="1">
      <c r="A27" s="517">
        <v>18</v>
      </c>
      <c r="B27" s="515">
        <v>199</v>
      </c>
      <c r="C27" s="514">
        <v>0</v>
      </c>
      <c r="D27" s="523">
        <v>2500</v>
      </c>
      <c r="E27" s="515">
        <v>11</v>
      </c>
      <c r="F27" s="524">
        <v>2500</v>
      </c>
      <c r="G27" s="524">
        <v>823</v>
      </c>
      <c r="H27" s="523">
        <v>2500</v>
      </c>
      <c r="I27" s="522" t="s">
        <v>372</v>
      </c>
    </row>
    <row r="28" spans="1:9" ht="30" customHeight="1">
      <c r="A28" s="517">
        <v>19</v>
      </c>
      <c r="B28" s="515">
        <v>199</v>
      </c>
      <c r="C28" s="514">
        <v>0</v>
      </c>
      <c r="D28" s="523">
        <v>1502</v>
      </c>
      <c r="E28" s="515">
        <v>11</v>
      </c>
      <c r="F28" s="524">
        <v>1502</v>
      </c>
      <c r="G28" s="524">
        <v>42</v>
      </c>
      <c r="H28" s="523">
        <v>1502</v>
      </c>
      <c r="I28" s="522" t="s">
        <v>373</v>
      </c>
    </row>
    <row r="29" spans="1:9" ht="44.25" customHeight="1">
      <c r="A29" s="517">
        <v>20</v>
      </c>
      <c r="B29" s="515">
        <v>199</v>
      </c>
      <c r="C29" s="514">
        <v>11</v>
      </c>
      <c r="D29" s="523">
        <v>2000</v>
      </c>
      <c r="E29" s="515">
        <v>11</v>
      </c>
      <c r="F29" s="524">
        <v>1200</v>
      </c>
      <c r="G29" s="524"/>
      <c r="H29" s="523"/>
      <c r="I29" s="522" t="s">
        <v>374</v>
      </c>
    </row>
    <row r="30" spans="1:9" ht="18.75" customHeight="1">
      <c r="A30" s="517"/>
      <c r="B30" s="515"/>
      <c r="C30" s="514"/>
      <c r="D30" s="523"/>
      <c r="E30" s="515">
        <v>31</v>
      </c>
      <c r="F30" s="524">
        <v>800</v>
      </c>
      <c r="G30" s="524"/>
      <c r="H30" s="523"/>
      <c r="I30" s="522"/>
    </row>
    <row r="31" spans="1:9" ht="54.75" customHeight="1">
      <c r="A31" s="517">
        <v>21</v>
      </c>
      <c r="B31" s="515">
        <v>199</v>
      </c>
      <c r="C31" s="514">
        <v>0</v>
      </c>
      <c r="D31" s="523">
        <v>2050</v>
      </c>
      <c r="E31" s="515">
        <v>11</v>
      </c>
      <c r="F31" s="524">
        <v>2050</v>
      </c>
      <c r="G31" s="526">
        <v>41</v>
      </c>
      <c r="H31" s="523">
        <v>2050</v>
      </c>
      <c r="I31" s="522" t="s">
        <v>375</v>
      </c>
    </row>
    <row r="32" spans="1:9" ht="33.75" customHeight="1">
      <c r="A32" s="517">
        <v>22</v>
      </c>
      <c r="B32" s="515">
        <v>199</v>
      </c>
      <c r="C32" s="514">
        <v>0</v>
      </c>
      <c r="D32" s="523">
        <v>2840</v>
      </c>
      <c r="E32" s="515">
        <v>11</v>
      </c>
      <c r="F32" s="524">
        <v>2840</v>
      </c>
      <c r="G32" s="526">
        <v>1</v>
      </c>
      <c r="H32" s="523">
        <v>2840</v>
      </c>
      <c r="I32" s="522" t="s">
        <v>373</v>
      </c>
    </row>
    <row r="33" spans="1:9" ht="47.25" customHeight="1">
      <c r="A33" s="517">
        <v>23</v>
      </c>
      <c r="B33" s="515">
        <v>199</v>
      </c>
      <c r="C33" s="514">
        <v>11</v>
      </c>
      <c r="D33" s="523">
        <v>3000</v>
      </c>
      <c r="E33" s="515">
        <v>13</v>
      </c>
      <c r="F33" s="524">
        <v>3000</v>
      </c>
      <c r="G33" s="524">
        <v>107</v>
      </c>
      <c r="H33" s="523"/>
      <c r="I33" s="522" t="s">
        <v>376</v>
      </c>
    </row>
    <row r="34" spans="1:9" ht="38.25" customHeight="1">
      <c r="A34" s="517">
        <v>24</v>
      </c>
      <c r="B34" s="515">
        <v>199</v>
      </c>
      <c r="C34" s="514">
        <v>0</v>
      </c>
      <c r="D34" s="523">
        <v>3435</v>
      </c>
      <c r="E34" s="515">
        <v>11</v>
      </c>
      <c r="F34" s="524">
        <v>3435</v>
      </c>
      <c r="G34" s="524">
        <v>41</v>
      </c>
      <c r="H34" s="523">
        <v>3435</v>
      </c>
      <c r="I34" s="522" t="s">
        <v>377</v>
      </c>
    </row>
    <row r="35" spans="1:9" ht="38.25" customHeight="1">
      <c r="A35" s="517">
        <v>25</v>
      </c>
      <c r="B35" s="515">
        <v>199</v>
      </c>
      <c r="C35" s="514">
        <v>21</v>
      </c>
      <c r="D35" s="523">
        <v>3600</v>
      </c>
      <c r="E35" s="515">
        <v>13</v>
      </c>
      <c r="F35" s="524">
        <v>3600</v>
      </c>
      <c r="G35" s="524">
        <v>821</v>
      </c>
      <c r="H35" s="523"/>
      <c r="I35" s="522" t="s">
        <v>378</v>
      </c>
    </row>
    <row r="36" spans="1:9" ht="51.75" customHeight="1">
      <c r="A36" s="517">
        <v>26</v>
      </c>
      <c r="B36" s="515">
        <v>199</v>
      </c>
      <c r="C36" s="514">
        <v>21</v>
      </c>
      <c r="D36" s="523">
        <v>4000</v>
      </c>
      <c r="E36" s="515">
        <v>11</v>
      </c>
      <c r="F36" s="524">
        <v>4000</v>
      </c>
      <c r="G36" s="524">
        <v>821</v>
      </c>
      <c r="H36" s="523"/>
      <c r="I36" s="522" t="s">
        <v>379</v>
      </c>
    </row>
    <row r="37" spans="1:9" ht="47.25" customHeight="1">
      <c r="A37" s="517">
        <v>27</v>
      </c>
      <c r="B37" s="515">
        <v>183</v>
      </c>
      <c r="C37" s="514">
        <v>0</v>
      </c>
      <c r="D37" s="523">
        <v>6000</v>
      </c>
      <c r="E37" s="515">
        <v>36</v>
      </c>
      <c r="F37" s="524">
        <v>6000</v>
      </c>
      <c r="G37" s="524">
        <v>999</v>
      </c>
      <c r="H37" s="523">
        <v>6000</v>
      </c>
      <c r="I37" s="522" t="s">
        <v>380</v>
      </c>
    </row>
    <row r="38" spans="1:9" ht="42.75" customHeight="1">
      <c r="A38" s="517">
        <v>28</v>
      </c>
      <c r="B38" s="515">
        <v>199</v>
      </c>
      <c r="C38" s="514">
        <v>21</v>
      </c>
      <c r="D38" s="523">
        <v>3600</v>
      </c>
      <c r="E38" s="515">
        <v>11</v>
      </c>
      <c r="F38" s="524">
        <v>9720</v>
      </c>
      <c r="G38" s="524">
        <v>1</v>
      </c>
      <c r="H38" s="523"/>
      <c r="I38" s="522" t="s">
        <v>381</v>
      </c>
    </row>
    <row r="39" spans="1:9" ht="27" customHeight="1">
      <c r="A39" s="517"/>
      <c r="B39" s="515"/>
      <c r="C39" s="514">
        <v>13</v>
      </c>
      <c r="D39" s="523">
        <v>6120</v>
      </c>
      <c r="E39" s="515"/>
      <c r="F39" s="524"/>
      <c r="G39" s="524"/>
      <c r="H39" s="523"/>
      <c r="I39" s="522"/>
    </row>
    <row r="40" spans="1:9" ht="40.5" customHeight="1">
      <c r="A40" s="517">
        <v>29</v>
      </c>
      <c r="B40" s="515">
        <v>199</v>
      </c>
      <c r="C40" s="514">
        <v>32</v>
      </c>
      <c r="D40" s="523">
        <v>36000</v>
      </c>
      <c r="E40" s="515">
        <v>11</v>
      </c>
      <c r="F40" s="524">
        <v>12000</v>
      </c>
      <c r="G40" s="524">
        <v>41</v>
      </c>
      <c r="H40" s="523"/>
      <c r="I40" s="522" t="s">
        <v>382</v>
      </c>
    </row>
    <row r="41" spans="1:9" ht="21.75" customHeight="1">
      <c r="A41" s="517"/>
      <c r="B41" s="515"/>
      <c r="C41" s="514"/>
      <c r="D41" s="523"/>
      <c r="E41" s="515"/>
      <c r="F41" s="524">
        <v>12000</v>
      </c>
      <c r="G41" s="524">
        <v>105</v>
      </c>
      <c r="H41" s="523"/>
      <c r="I41" s="522"/>
    </row>
    <row r="42" spans="1:9" ht="15" customHeight="1">
      <c r="A42" s="517"/>
      <c r="B42" s="515"/>
      <c r="C42" s="514"/>
      <c r="D42" s="523"/>
      <c r="E42" s="515"/>
      <c r="F42" s="524">
        <v>12000</v>
      </c>
      <c r="G42" s="524">
        <v>108</v>
      </c>
      <c r="H42" s="523"/>
      <c r="I42" s="522"/>
    </row>
    <row r="43" spans="1:9" ht="42" customHeight="1">
      <c r="A43" s="517">
        <v>30</v>
      </c>
      <c r="B43" s="515">
        <v>199</v>
      </c>
      <c r="C43" s="514">
        <v>0</v>
      </c>
      <c r="D43" s="523">
        <v>1256572</v>
      </c>
      <c r="E43" s="515">
        <v>81</v>
      </c>
      <c r="F43" s="524">
        <v>543400</v>
      </c>
      <c r="G43" s="524">
        <v>108</v>
      </c>
      <c r="H43" s="523">
        <v>543400</v>
      </c>
      <c r="I43" s="522" t="s">
        <v>383</v>
      </c>
    </row>
    <row r="44" spans="1:9" ht="15.75" customHeight="1">
      <c r="A44" s="517"/>
      <c r="B44" s="515"/>
      <c r="C44" s="514"/>
      <c r="D44" s="523"/>
      <c r="E44" s="515"/>
      <c r="F44" s="524">
        <v>543400</v>
      </c>
      <c r="G44" s="524">
        <v>105</v>
      </c>
      <c r="H44" s="523">
        <v>543400</v>
      </c>
      <c r="I44" s="522"/>
    </row>
    <row r="45" spans="1:9" ht="18" customHeight="1">
      <c r="A45" s="517"/>
      <c r="B45" s="515"/>
      <c r="C45" s="514"/>
      <c r="D45" s="523"/>
      <c r="E45" s="515"/>
      <c r="F45" s="524">
        <v>26874</v>
      </c>
      <c r="G45" s="524">
        <v>104</v>
      </c>
      <c r="H45" s="523">
        <v>26874</v>
      </c>
      <c r="I45" s="522"/>
    </row>
    <row r="46" spans="1:9" ht="15.75" customHeight="1">
      <c r="A46" s="517"/>
      <c r="B46" s="515"/>
      <c r="C46" s="514"/>
      <c r="D46" s="523"/>
      <c r="E46" s="515"/>
      <c r="F46" s="524">
        <v>26874</v>
      </c>
      <c r="G46" s="524">
        <v>103</v>
      </c>
      <c r="H46" s="523">
        <v>26874</v>
      </c>
      <c r="I46" s="522"/>
    </row>
    <row r="47" spans="1:9" ht="18.75" customHeight="1">
      <c r="A47" s="517"/>
      <c r="B47" s="515"/>
      <c r="C47" s="514"/>
      <c r="D47" s="523"/>
      <c r="E47" s="515"/>
      <c r="F47" s="524">
        <v>16024</v>
      </c>
      <c r="G47" s="524">
        <v>1</v>
      </c>
      <c r="H47" s="523">
        <v>16024</v>
      </c>
      <c r="I47" s="522"/>
    </row>
    <row r="48" spans="1:9" ht="18.75" customHeight="1">
      <c r="A48" s="517"/>
      <c r="B48" s="515"/>
      <c r="C48" s="514"/>
      <c r="D48" s="523"/>
      <c r="E48" s="515"/>
      <c r="F48" s="524">
        <v>100000</v>
      </c>
      <c r="G48" s="524">
        <v>999</v>
      </c>
      <c r="H48" s="523">
        <v>100000</v>
      </c>
      <c r="I48" s="522"/>
    </row>
    <row r="49" spans="1:9" ht="48" customHeight="1">
      <c r="A49" s="517">
        <v>31</v>
      </c>
      <c r="B49" s="515">
        <v>199</v>
      </c>
      <c r="C49" s="514">
        <v>13</v>
      </c>
      <c r="D49" s="523">
        <v>750</v>
      </c>
      <c r="E49" s="515">
        <v>11</v>
      </c>
      <c r="F49" s="524">
        <v>750</v>
      </c>
      <c r="G49" s="524">
        <v>41</v>
      </c>
      <c r="H49" s="523"/>
      <c r="I49" s="522" t="s">
        <v>384</v>
      </c>
    </row>
    <row r="50" spans="1:9" ht="37.5" customHeight="1">
      <c r="A50" s="517">
        <v>32</v>
      </c>
      <c r="B50" s="515">
        <v>199</v>
      </c>
      <c r="C50" s="514">
        <v>0</v>
      </c>
      <c r="D50" s="523">
        <v>240000</v>
      </c>
      <c r="E50" s="515">
        <v>11</v>
      </c>
      <c r="F50" s="524">
        <v>60000</v>
      </c>
      <c r="G50" s="524">
        <v>105</v>
      </c>
      <c r="H50" s="523">
        <v>240000</v>
      </c>
      <c r="I50" s="522" t="s">
        <v>388</v>
      </c>
    </row>
    <row r="51" spans="1:9" ht="23.25" customHeight="1">
      <c r="A51" s="517"/>
      <c r="B51" s="515"/>
      <c r="C51" s="514"/>
      <c r="D51" s="523"/>
      <c r="E51" s="515"/>
      <c r="F51" s="524">
        <v>60000</v>
      </c>
      <c r="G51" s="524">
        <v>104</v>
      </c>
      <c r="H51" s="523"/>
      <c r="I51" s="522"/>
    </row>
    <row r="52" spans="1:9" ht="19.5" customHeight="1">
      <c r="A52" s="517"/>
      <c r="B52" s="515"/>
      <c r="C52" s="514"/>
      <c r="D52" s="523"/>
      <c r="E52" s="515"/>
      <c r="F52" s="524">
        <v>60000</v>
      </c>
      <c r="G52" s="524">
        <v>103</v>
      </c>
      <c r="H52" s="523"/>
      <c r="I52" s="522"/>
    </row>
    <row r="53" spans="1:9" ht="16.5" customHeight="1">
      <c r="A53" s="517"/>
      <c r="B53" s="515"/>
      <c r="C53" s="514"/>
      <c r="D53" s="523"/>
      <c r="E53" s="515"/>
      <c r="F53" s="524">
        <v>60000</v>
      </c>
      <c r="G53" s="524">
        <v>1</v>
      </c>
      <c r="H53" s="523"/>
      <c r="I53" s="522"/>
    </row>
    <row r="54" spans="1:9" s="663" customFormat="1" ht="25.5" customHeight="1">
      <c r="A54" s="517">
        <v>33</v>
      </c>
      <c r="B54" s="515">
        <v>199</v>
      </c>
      <c r="C54" s="514">
        <v>11</v>
      </c>
      <c r="D54" s="523">
        <v>100</v>
      </c>
      <c r="E54" s="515">
        <v>13</v>
      </c>
      <c r="F54" s="524">
        <v>100</v>
      </c>
      <c r="G54" s="524">
        <v>821</v>
      </c>
      <c r="H54" s="523"/>
      <c r="I54" s="522" t="s">
        <v>385</v>
      </c>
    </row>
    <row r="55" spans="1:9" s="663" customFormat="1" ht="25.5" customHeight="1">
      <c r="A55" s="517">
        <v>34</v>
      </c>
      <c r="B55" s="515">
        <v>199</v>
      </c>
      <c r="C55" s="514">
        <v>11</v>
      </c>
      <c r="D55" s="523">
        <v>1500</v>
      </c>
      <c r="E55" s="515">
        <v>23</v>
      </c>
      <c r="F55" s="524">
        <v>1500</v>
      </c>
      <c r="G55" s="524">
        <v>41</v>
      </c>
      <c r="H55" s="523"/>
      <c r="I55" s="522" t="s">
        <v>476</v>
      </c>
    </row>
    <row r="56" spans="1:9" ht="15.75" customHeight="1">
      <c r="A56" s="517"/>
      <c r="B56" s="515"/>
      <c r="C56" s="514"/>
      <c r="D56" s="523"/>
      <c r="E56" s="515"/>
      <c r="F56" s="524"/>
      <c r="G56" s="524"/>
      <c r="H56" s="523"/>
      <c r="I56" s="522"/>
    </row>
    <row r="57" spans="1:9" s="663" customFormat="1" ht="15" customHeight="1">
      <c r="A57" s="517"/>
      <c r="B57" s="515"/>
      <c r="C57" s="514"/>
      <c r="D57" s="523"/>
      <c r="E57" s="515">
        <v>23</v>
      </c>
      <c r="F57" s="524">
        <v>3000</v>
      </c>
      <c r="G57" s="524"/>
      <c r="H57" s="523"/>
      <c r="I57" s="522"/>
    </row>
    <row r="58" spans="1:9" ht="21.75" customHeight="1">
      <c r="A58" s="517"/>
      <c r="B58" s="514"/>
      <c r="C58" s="519" t="s">
        <v>386</v>
      </c>
      <c r="D58" s="523">
        <f>SUM(D6:D57)</f>
        <v>1708189</v>
      </c>
      <c r="E58" s="527"/>
      <c r="F58" s="523">
        <f>SUM(F6:F57)</f>
        <v>1708189</v>
      </c>
      <c r="G58" s="523"/>
      <c r="H58" s="523">
        <f>SUM(H6:H56)</f>
        <v>1632295</v>
      </c>
      <c r="I58" s="522"/>
    </row>
    <row r="59" spans="1:9" ht="38.25" hidden="1" customHeight="1">
      <c r="A59" s="528"/>
      <c r="B59" s="529"/>
      <c r="C59" s="529"/>
      <c r="D59" s="530"/>
      <c r="E59" s="529"/>
      <c r="F59" s="531"/>
      <c r="G59" s="531"/>
      <c r="H59" s="532"/>
      <c r="I59" s="533"/>
    </row>
    <row r="60" spans="1:9" ht="38.25" hidden="1" customHeight="1">
      <c r="A60" s="534" t="s">
        <v>387</v>
      </c>
      <c r="B60" s="535"/>
      <c r="C60" s="535"/>
      <c r="D60" s="536"/>
      <c r="E60" s="537"/>
      <c r="F60" s="538"/>
      <c r="G60" s="538"/>
      <c r="H60" s="538"/>
      <c r="I60" s="539"/>
    </row>
    <row r="61" spans="1:9" ht="56.25" hidden="1" customHeight="1">
      <c r="A61" s="528"/>
      <c r="B61" s="528"/>
      <c r="C61" s="540"/>
      <c r="D61" s="531"/>
      <c r="E61" s="529"/>
      <c r="F61" s="531"/>
      <c r="G61" s="531"/>
      <c r="H61" s="531"/>
      <c r="I61" s="541"/>
    </row>
    <row r="62" spans="1:9" ht="38.25" hidden="1" customHeight="1"/>
    <row r="63" spans="1:9" ht="51.75" hidden="1" customHeight="1"/>
    <row r="64" spans="1:9" ht="45" customHeight="1"/>
    <row r="65" ht="51.75" customHeight="1"/>
    <row r="66" ht="51.75" customHeight="1"/>
    <row r="67" ht="51.75" customHeight="1"/>
    <row r="68" ht="51.75" customHeight="1"/>
    <row r="69" ht="51.75" customHeight="1"/>
    <row r="70" ht="51.75" customHeight="1"/>
    <row r="71" ht="51.75" customHeight="1"/>
    <row r="72" ht="51.75" customHeight="1"/>
    <row r="73" ht="63" customHeight="1"/>
    <row r="74" ht="28.5" customHeight="1"/>
    <row r="75" ht="50.25" customHeight="1"/>
    <row r="76" ht="10.5" customHeight="1"/>
  </sheetData>
  <pageMargins left="0.75" right="0.75" top="1" bottom="1" header="0.5" footer="0.5"/>
  <pageSetup fitToHeight="10" orientation="portrait" r:id="rId1"/>
  <headerFooter alignWithMargins="0">
    <oddHeader>&amp;CLittle Elm Independent School District
General Fund 
Budget Amendment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topLeftCell="A24"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236</v>
      </c>
      <c r="G1" s="1"/>
      <c r="H1" s="1"/>
      <c r="I1" s="3"/>
      <c r="J1" s="4" t="s">
        <v>257</v>
      </c>
    </row>
    <row r="2" spans="1:10">
      <c r="D2" s="5"/>
      <c r="E2" s="5"/>
      <c r="F2" s="6" t="s">
        <v>326</v>
      </c>
      <c r="G2" s="5"/>
      <c r="H2" s="5"/>
      <c r="I2" s="3"/>
      <c r="J2" s="3"/>
    </row>
    <row r="3" spans="1:10">
      <c r="D3" s="3"/>
      <c r="E3" s="3"/>
      <c r="F3" s="7" t="s">
        <v>334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237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318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21483364</v>
      </c>
      <c r="E10" s="186"/>
      <c r="F10" s="187">
        <f>D10+E10</f>
        <v>21483364</v>
      </c>
      <c r="G10" s="3"/>
      <c r="H10" s="199">
        <v>9904935</v>
      </c>
      <c r="I10" s="200"/>
      <c r="J10" s="199">
        <f>H10+I10</f>
        <v>9904935</v>
      </c>
    </row>
    <row r="11" spans="1:10">
      <c r="A11" s="16">
        <v>5800</v>
      </c>
      <c r="B11" s="17" t="s">
        <v>11</v>
      </c>
      <c r="D11" s="185">
        <v>24910827</v>
      </c>
      <c r="E11" s="186"/>
      <c r="F11" s="187">
        <f>D11+E11</f>
        <v>24910827</v>
      </c>
      <c r="G11" s="3"/>
      <c r="H11" s="199">
        <v>1041415</v>
      </c>
      <c r="I11" s="200"/>
      <c r="J11" s="199">
        <f>H11+I11</f>
        <v>1041415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9"/>
      <c r="J12" s="201">
        <f>H12+I12</f>
        <v>0</v>
      </c>
    </row>
    <row r="13" spans="1:10" ht="12" customHeight="1">
      <c r="D13" s="190">
        <f>SUM(D10:D12)</f>
        <v>46669191</v>
      </c>
      <c r="E13" s="477">
        <f>SUM(E10:E12)</f>
        <v>0</v>
      </c>
      <c r="F13" s="190">
        <f>SUM(F10:F12)</f>
        <v>46669191</v>
      </c>
      <c r="G13" s="3"/>
      <c r="H13" s="210">
        <f>SUM(H10:H12)</f>
        <v>10946350</v>
      </c>
      <c r="I13" s="205">
        <f>SUM(I10:I12)</f>
        <v>0</v>
      </c>
      <c r="J13" s="206">
        <f>SUM(J10:J12)</f>
        <v>10946350</v>
      </c>
    </row>
    <row r="14" spans="1:10">
      <c r="D14" s="185"/>
      <c r="E14" s="188"/>
      <c r="F14" s="185"/>
      <c r="G14" s="3"/>
      <c r="H14" s="207"/>
      <c r="I14" s="208"/>
      <c r="J14" s="207"/>
    </row>
    <row r="15" spans="1:10">
      <c r="A15" s="19" t="s">
        <v>13</v>
      </c>
      <c r="B15" s="12"/>
      <c r="D15" s="203"/>
      <c r="E15" s="271"/>
      <c r="F15" s="203"/>
      <c r="G15" s="231"/>
      <c r="H15" s="203"/>
      <c r="I15" s="271"/>
      <c r="J15" s="203"/>
    </row>
    <row r="16" spans="1:10">
      <c r="A16" t="s">
        <v>14</v>
      </c>
      <c r="D16" s="199">
        <v>29687242</v>
      </c>
      <c r="E16" s="200">
        <v>-213653</v>
      </c>
      <c r="F16" s="487">
        <f t="shared" ref="F16:F35" si="0">D16+E16</f>
        <v>29473589</v>
      </c>
      <c r="G16" s="232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681158</v>
      </c>
      <c r="E17" s="189">
        <v>29965</v>
      </c>
      <c r="F17" s="187">
        <f t="shared" si="0"/>
        <v>711123</v>
      </c>
      <c r="G17" s="231"/>
      <c r="H17" s="207">
        <v>0</v>
      </c>
      <c r="I17" s="217"/>
      <c r="J17" s="207">
        <f t="shared" si="1"/>
        <v>0</v>
      </c>
    </row>
    <row r="18" spans="1:10">
      <c r="A18" t="s">
        <v>16</v>
      </c>
      <c r="D18" s="185">
        <v>501833</v>
      </c>
      <c r="E18" s="189">
        <v>24590</v>
      </c>
      <c r="F18" s="187">
        <f t="shared" si="0"/>
        <v>526423</v>
      </c>
      <c r="G18" s="231"/>
      <c r="H18" s="207">
        <v>0</v>
      </c>
      <c r="I18" s="217"/>
      <c r="J18" s="207">
        <f t="shared" si="1"/>
        <v>0</v>
      </c>
    </row>
    <row r="19" spans="1:10">
      <c r="A19" t="s">
        <v>17</v>
      </c>
      <c r="D19" s="185">
        <v>604106</v>
      </c>
      <c r="E19" s="189">
        <v>20000</v>
      </c>
      <c r="F19" s="187">
        <f t="shared" si="0"/>
        <v>624106</v>
      </c>
      <c r="G19" s="231"/>
      <c r="H19" s="207">
        <v>0</v>
      </c>
      <c r="I19" s="217"/>
      <c r="J19" s="207">
        <f t="shared" si="1"/>
        <v>0</v>
      </c>
    </row>
    <row r="20" spans="1:10">
      <c r="A20" t="s">
        <v>18</v>
      </c>
      <c r="D20" s="185">
        <v>3308927</v>
      </c>
      <c r="E20" s="189">
        <v>82634</v>
      </c>
      <c r="F20" s="187">
        <f t="shared" si="0"/>
        <v>3391561</v>
      </c>
      <c r="G20" s="231"/>
      <c r="H20" s="207">
        <v>0</v>
      </c>
      <c r="I20" s="217"/>
      <c r="J20" s="207">
        <f t="shared" si="1"/>
        <v>0</v>
      </c>
    </row>
    <row r="21" spans="1:10">
      <c r="A21" t="s">
        <v>19</v>
      </c>
      <c r="D21" s="185">
        <v>1531505</v>
      </c>
      <c r="E21" s="189">
        <v>-159</v>
      </c>
      <c r="F21" s="187">
        <f t="shared" si="0"/>
        <v>1531346</v>
      </c>
      <c r="G21" s="231"/>
      <c r="H21" s="207">
        <v>0</v>
      </c>
      <c r="I21" s="217"/>
      <c r="J21" s="207">
        <f t="shared" si="1"/>
        <v>0</v>
      </c>
    </row>
    <row r="22" spans="1:10">
      <c r="A22" s="3" t="s">
        <v>20</v>
      </c>
      <c r="D22" s="185">
        <v>13000</v>
      </c>
      <c r="E22" s="189">
        <v>5000</v>
      </c>
      <c r="F22" s="187">
        <f t="shared" si="0"/>
        <v>18000</v>
      </c>
      <c r="G22" s="231"/>
      <c r="H22" s="207">
        <v>0</v>
      </c>
      <c r="I22" s="217"/>
      <c r="J22" s="207">
        <f t="shared" si="1"/>
        <v>0</v>
      </c>
    </row>
    <row r="23" spans="1:10">
      <c r="A23" s="3" t="s">
        <v>21</v>
      </c>
      <c r="B23" s="3"/>
      <c r="D23" s="185">
        <v>435555</v>
      </c>
      <c r="E23" s="189">
        <v>20185</v>
      </c>
      <c r="F23" s="187">
        <f t="shared" si="0"/>
        <v>455740</v>
      </c>
      <c r="G23" s="231"/>
      <c r="H23" s="207">
        <v>0</v>
      </c>
      <c r="I23" s="217"/>
      <c r="J23" s="207">
        <f t="shared" si="1"/>
        <v>0</v>
      </c>
    </row>
    <row r="24" spans="1:10">
      <c r="A24" s="3" t="s">
        <v>22</v>
      </c>
      <c r="B24" s="3"/>
      <c r="D24" s="185">
        <v>1552207</v>
      </c>
      <c r="E24" s="189">
        <v>-103964</v>
      </c>
      <c r="F24" s="187">
        <f t="shared" si="0"/>
        <v>1448243</v>
      </c>
      <c r="G24" s="231"/>
      <c r="H24" s="207">
        <v>0</v>
      </c>
      <c r="I24" s="217"/>
      <c r="J24" s="207">
        <f t="shared" si="1"/>
        <v>0</v>
      </c>
    </row>
    <row r="25" spans="1:10">
      <c r="A25" s="3" t="s">
        <v>23</v>
      </c>
      <c r="B25" s="3"/>
      <c r="D25" s="185">
        <v>69985</v>
      </c>
      <c r="E25" s="189">
        <v>10000</v>
      </c>
      <c r="F25" s="187">
        <f t="shared" si="0"/>
        <v>79985</v>
      </c>
      <c r="G25" s="231"/>
      <c r="H25" s="207">
        <v>0</v>
      </c>
      <c r="I25" s="217"/>
      <c r="J25" s="207">
        <f t="shared" si="1"/>
        <v>0</v>
      </c>
    </row>
    <row r="26" spans="1:10">
      <c r="A26" s="3" t="s">
        <v>24</v>
      </c>
      <c r="B26" s="3"/>
      <c r="D26" s="185">
        <v>1768938</v>
      </c>
      <c r="E26" s="189">
        <v>20962</v>
      </c>
      <c r="F26" s="187">
        <f t="shared" si="0"/>
        <v>1789900</v>
      </c>
      <c r="G26" s="231"/>
      <c r="H26" s="207">
        <v>0</v>
      </c>
      <c r="I26" s="217"/>
      <c r="J26" s="207">
        <f t="shared" si="1"/>
        <v>0</v>
      </c>
    </row>
    <row r="27" spans="1:10">
      <c r="A27" s="3" t="s">
        <v>25</v>
      </c>
      <c r="B27" s="3"/>
      <c r="D27" s="185">
        <v>2137979</v>
      </c>
      <c r="E27" s="189">
        <v>65000</v>
      </c>
      <c r="F27" s="187">
        <f t="shared" si="0"/>
        <v>2202979</v>
      </c>
      <c r="G27" s="232"/>
      <c r="H27" s="230">
        <v>0</v>
      </c>
      <c r="I27" s="217"/>
      <c r="J27" s="207">
        <f t="shared" si="1"/>
        <v>0</v>
      </c>
    </row>
    <row r="28" spans="1:10">
      <c r="A28" s="3" t="s">
        <v>26</v>
      </c>
      <c r="B28" s="3"/>
      <c r="D28" s="185">
        <v>5145208</v>
      </c>
      <c r="E28" s="189">
        <v>34440</v>
      </c>
      <c r="F28" s="187">
        <f t="shared" si="0"/>
        <v>5179648</v>
      </c>
      <c r="G28" s="232"/>
      <c r="H28" s="230">
        <v>0</v>
      </c>
      <c r="I28" s="217"/>
      <c r="J28" s="207">
        <f t="shared" si="1"/>
        <v>0</v>
      </c>
    </row>
    <row r="29" spans="1:10">
      <c r="A29" s="3" t="s">
        <v>27</v>
      </c>
      <c r="B29" s="3"/>
      <c r="D29" s="185">
        <v>400925</v>
      </c>
      <c r="E29" s="189"/>
      <c r="F29" s="187">
        <f t="shared" si="0"/>
        <v>400925</v>
      </c>
      <c r="G29" s="231"/>
      <c r="H29" s="207">
        <v>0</v>
      </c>
      <c r="I29" s="209"/>
      <c r="J29" s="207">
        <f t="shared" si="1"/>
        <v>0</v>
      </c>
    </row>
    <row r="30" spans="1:10">
      <c r="A30" s="3" t="s">
        <v>28</v>
      </c>
      <c r="B30" s="3"/>
      <c r="D30" s="185">
        <v>1160750</v>
      </c>
      <c r="E30" s="189">
        <v>20000</v>
      </c>
      <c r="F30" s="187">
        <f t="shared" si="0"/>
        <v>1180750</v>
      </c>
      <c r="G30" s="3"/>
      <c r="H30" s="207">
        <v>0</v>
      </c>
      <c r="I30" s="209"/>
      <c r="J30" s="207">
        <f t="shared" si="1"/>
        <v>0</v>
      </c>
    </row>
    <row r="31" spans="1:10">
      <c r="A31" s="3" t="s">
        <v>29</v>
      </c>
      <c r="B31" s="3"/>
      <c r="D31" s="185">
        <v>39355</v>
      </c>
      <c r="E31" s="189">
        <v>10000</v>
      </c>
      <c r="F31" s="187">
        <f t="shared" si="0"/>
        <v>49355</v>
      </c>
      <c r="G31" s="3"/>
      <c r="H31" s="207">
        <v>0</v>
      </c>
      <c r="I31" s="209"/>
      <c r="J31" s="207">
        <f t="shared" si="1"/>
        <v>0</v>
      </c>
    </row>
    <row r="32" spans="1:10">
      <c r="A32" s="3" t="s">
        <v>30</v>
      </c>
      <c r="B32" s="3"/>
      <c r="D32" s="185">
        <v>593035</v>
      </c>
      <c r="E32" s="189"/>
      <c r="F32" s="187">
        <f t="shared" si="0"/>
        <v>593035</v>
      </c>
      <c r="G32" s="3"/>
      <c r="H32" s="199">
        <v>11275943</v>
      </c>
      <c r="I32" s="209"/>
      <c r="J32" s="207">
        <f>H32+I32</f>
        <v>11275943</v>
      </c>
    </row>
    <row r="33" spans="1:13">
      <c r="A33" s="3" t="s">
        <v>240</v>
      </c>
      <c r="B33" s="3"/>
      <c r="D33" s="185">
        <v>6781617</v>
      </c>
      <c r="E33" s="189"/>
      <c r="F33" s="187">
        <f t="shared" si="0"/>
        <v>6781617</v>
      </c>
      <c r="G33" s="3"/>
      <c r="H33" s="199">
        <v>0</v>
      </c>
      <c r="I33" s="209"/>
      <c r="J33" s="207">
        <f>H33+I33</f>
        <v>0</v>
      </c>
    </row>
    <row r="34" spans="1:13">
      <c r="A34" s="3" t="s">
        <v>239</v>
      </c>
      <c r="B34" s="3"/>
      <c r="D34" s="185">
        <v>32000</v>
      </c>
      <c r="E34" s="189"/>
      <c r="F34" s="187">
        <f t="shared" si="0"/>
        <v>32000</v>
      </c>
      <c r="G34" s="3"/>
      <c r="H34" s="207">
        <v>0</v>
      </c>
      <c r="I34" s="209"/>
      <c r="J34" s="207">
        <f>H34+I34</f>
        <v>0</v>
      </c>
      <c r="M34" s="464"/>
    </row>
    <row r="35" spans="1:13">
      <c r="A35" s="3" t="s">
        <v>238</v>
      </c>
      <c r="B35" s="3"/>
      <c r="D35" s="185">
        <v>245000</v>
      </c>
      <c r="E35" s="270"/>
      <c r="F35" s="187">
        <f t="shared" si="0"/>
        <v>245000</v>
      </c>
      <c r="G35" s="3"/>
      <c r="H35" s="207">
        <v>0</v>
      </c>
      <c r="I35" s="209"/>
      <c r="J35" s="207">
        <f>H35+I35</f>
        <v>0</v>
      </c>
      <c r="M35" s="464"/>
    </row>
    <row r="36" spans="1:13">
      <c r="A36" t="s">
        <v>31</v>
      </c>
      <c r="D36" s="190">
        <f>SUM(D16:D35)</f>
        <v>56690325</v>
      </c>
      <c r="E36" s="191">
        <f>SUM(E16:E35)</f>
        <v>25000</v>
      </c>
      <c r="F36" s="190">
        <f>SUM(F16:F35)</f>
        <v>56715325</v>
      </c>
      <c r="G36" s="3"/>
      <c r="H36" s="210">
        <f>SUM(H15:H35)</f>
        <v>11275943</v>
      </c>
      <c r="I36" s="211">
        <f>SUM(I16:I35)</f>
        <v>0</v>
      </c>
      <c r="J36" s="210">
        <f>SUM(J15:J35)</f>
        <v>11275943</v>
      </c>
      <c r="M36" s="464"/>
    </row>
    <row r="37" spans="1:13">
      <c r="D37" s="185"/>
      <c r="E37" s="188"/>
      <c r="F37" s="185"/>
      <c r="G37" s="3"/>
      <c r="H37" s="207"/>
      <c r="I37" s="208"/>
      <c r="J37" s="207"/>
      <c r="M37" s="464"/>
    </row>
    <row r="38" spans="1:13">
      <c r="A38" t="s">
        <v>328</v>
      </c>
      <c r="D38" s="185">
        <v>4786485</v>
      </c>
      <c r="E38" s="188"/>
      <c r="F38" s="185">
        <f>+D38+E38</f>
        <v>4786485</v>
      </c>
      <c r="G38" s="3"/>
      <c r="H38" s="207">
        <v>8430622</v>
      </c>
      <c r="I38" s="208"/>
      <c r="J38" s="207">
        <f>+H38+I38</f>
        <v>8430622</v>
      </c>
      <c r="M38" s="464"/>
    </row>
    <row r="39" spans="1:13">
      <c r="A39" t="s">
        <v>327</v>
      </c>
      <c r="D39" s="185"/>
      <c r="E39" s="188"/>
      <c r="F39" s="185"/>
      <c r="G39" s="3"/>
      <c r="H39" s="207">
        <v>-8212188</v>
      </c>
      <c r="I39" s="208"/>
      <c r="J39" s="207">
        <f>+H39+I39</f>
        <v>-8212188</v>
      </c>
      <c r="M39" s="464"/>
    </row>
    <row r="40" spans="1:13">
      <c r="D40" s="185"/>
      <c r="E40" s="188"/>
      <c r="F40" s="185"/>
      <c r="G40" s="3"/>
      <c r="H40" s="207"/>
      <c r="I40" s="208"/>
      <c r="J40" s="207"/>
      <c r="M40" s="464"/>
    </row>
    <row r="41" spans="1:13">
      <c r="A41" s="20" t="s">
        <v>329</v>
      </c>
      <c r="D41" s="461">
        <v>18299265</v>
      </c>
      <c r="E41" s="192"/>
      <c r="F41" s="193">
        <f>D41</f>
        <v>18299265</v>
      </c>
      <c r="G41" s="18"/>
      <c r="H41" s="462">
        <f>3582562.34+39054</f>
        <v>3621616.34</v>
      </c>
      <c r="I41" s="212"/>
      <c r="J41" s="203">
        <f>H41</f>
        <v>3621616.34</v>
      </c>
      <c r="M41" s="485"/>
    </row>
    <row r="42" spans="1:13">
      <c r="D42" s="194"/>
      <c r="E42" s="195"/>
      <c r="F42" s="194"/>
      <c r="G42" s="11"/>
      <c r="H42" s="213"/>
      <c r="I42" s="214"/>
      <c r="J42" s="213"/>
    </row>
    <row r="43" spans="1:13">
      <c r="A43" s="20"/>
      <c r="B43" s="20"/>
      <c r="D43" s="194"/>
      <c r="E43" s="195"/>
      <c r="F43" s="194"/>
      <c r="G43" s="11"/>
      <c r="H43" s="213"/>
      <c r="I43" s="214"/>
      <c r="J43" s="213"/>
    </row>
    <row r="44" spans="1:13">
      <c r="A44" s="20" t="s">
        <v>319</v>
      </c>
      <c r="B44" s="20"/>
      <c r="D44" s="196">
        <f>D13-D36+D38+D41</f>
        <v>13064616</v>
      </c>
      <c r="E44" s="197">
        <f>F44-D44</f>
        <v>-25000</v>
      </c>
      <c r="F44" s="198">
        <f>F13-F36+F38-F39+F41</f>
        <v>13039616</v>
      </c>
      <c r="G44" s="11"/>
      <c r="H44" s="215">
        <f>H13-H32+H38+H39+H41</f>
        <v>3510457.34</v>
      </c>
      <c r="I44" s="215">
        <f t="shared" ref="I44" si="2">I13-I32+I38+I39+I41</f>
        <v>0</v>
      </c>
      <c r="J44" s="215">
        <f>J13-J32+J38+J39+J41</f>
        <v>3510457.34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507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236</v>
      </c>
      <c r="G48" s="1"/>
      <c r="H48" s="1"/>
      <c r="I48" s="3"/>
      <c r="J48" s="4" t="s">
        <v>258</v>
      </c>
    </row>
    <row r="49" spans="1:11">
      <c r="D49" s="5"/>
      <c r="E49" s="5"/>
      <c r="F49" s="6" t="str">
        <f>F2</f>
        <v>2013-2014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August 31, 2014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6"/>
      <c r="I52" s="276"/>
      <c r="J52" s="276"/>
    </row>
    <row r="53" spans="1:11" ht="15.75">
      <c r="D53" s="3"/>
      <c r="E53" s="2" t="s">
        <v>32</v>
      </c>
      <c r="F53" s="3"/>
      <c r="G53" s="3"/>
      <c r="H53" s="276"/>
      <c r="I53" s="277"/>
      <c r="J53" s="276"/>
    </row>
    <row r="54" spans="1:11">
      <c r="D54" s="8"/>
      <c r="E54" s="9">
        <v>240</v>
      </c>
      <c r="F54" s="8"/>
      <c r="G54" s="3"/>
      <c r="H54" s="276"/>
      <c r="I54" s="278"/>
      <c r="J54" s="276"/>
    </row>
    <row r="55" spans="1:11">
      <c r="D55" s="11"/>
      <c r="E55" s="11" t="s">
        <v>2</v>
      </c>
      <c r="F55" s="4"/>
      <c r="G55" s="3"/>
      <c r="H55" s="279"/>
      <c r="I55" s="279"/>
      <c r="J55" s="280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279"/>
      <c r="I56" s="279"/>
      <c r="J56" s="280"/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279"/>
      <c r="I57" s="281"/>
      <c r="J57" s="280"/>
    </row>
    <row r="58" spans="1:11" ht="15.75" customHeight="1">
      <c r="A58" s="16">
        <v>5700</v>
      </c>
      <c r="B58" s="17" t="s">
        <v>10</v>
      </c>
      <c r="D58" s="207">
        <v>1115465</v>
      </c>
      <c r="E58" s="217"/>
      <c r="F58" s="207">
        <f>D58+E58</f>
        <v>1115465</v>
      </c>
      <c r="G58" s="207"/>
      <c r="H58" s="282"/>
      <c r="I58" s="285"/>
      <c r="J58" s="201"/>
      <c r="K58" s="218"/>
    </row>
    <row r="59" spans="1:11" ht="14.25" customHeight="1">
      <c r="A59" s="16">
        <v>5800</v>
      </c>
      <c r="B59" s="17" t="s">
        <v>11</v>
      </c>
      <c r="D59" s="207">
        <v>17000</v>
      </c>
      <c r="E59" s="217"/>
      <c r="F59" s="207">
        <f>D59+E59</f>
        <v>17000</v>
      </c>
      <c r="G59" s="207"/>
      <c r="H59" s="282"/>
      <c r="I59" s="285"/>
      <c r="J59" s="201"/>
      <c r="K59" s="218"/>
    </row>
    <row r="60" spans="1:11">
      <c r="A60" s="16">
        <v>5900</v>
      </c>
      <c r="B60" s="17" t="s">
        <v>12</v>
      </c>
      <c r="D60" s="219">
        <v>1705799</v>
      </c>
      <c r="E60" s="220"/>
      <c r="F60" s="219">
        <f>D60+E60</f>
        <v>1705799</v>
      </c>
      <c r="G60" s="221"/>
      <c r="H60" s="283"/>
      <c r="I60" s="290"/>
      <c r="J60" s="283"/>
      <c r="K60" s="218"/>
    </row>
    <row r="61" spans="1:11">
      <c r="D61" s="221">
        <f>SUM(D58:D60)</f>
        <v>2838264</v>
      </c>
      <c r="E61" s="222">
        <f>SUM(E58:E60)</f>
        <v>0</v>
      </c>
      <c r="F61" s="221">
        <f>SUM(F58:F60)</f>
        <v>2838264</v>
      </c>
      <c r="G61" s="221"/>
      <c r="H61" s="283"/>
      <c r="I61" s="284"/>
      <c r="J61" s="283"/>
      <c r="K61" s="218"/>
    </row>
    <row r="62" spans="1:11">
      <c r="D62" s="207"/>
      <c r="E62" s="208"/>
      <c r="F62" s="207"/>
      <c r="G62" s="207"/>
      <c r="H62" s="201"/>
      <c r="I62" s="285"/>
      <c r="J62" s="201"/>
      <c r="K62" s="218"/>
    </row>
    <row r="63" spans="1:11">
      <c r="D63" s="207"/>
      <c r="E63" s="208"/>
      <c r="F63" s="207"/>
      <c r="G63" s="207"/>
      <c r="H63" s="201"/>
      <c r="I63" s="201"/>
      <c r="J63" s="201"/>
      <c r="K63" s="218"/>
    </row>
    <row r="64" spans="1:11">
      <c r="A64" s="19" t="s">
        <v>13</v>
      </c>
      <c r="B64" s="12"/>
      <c r="D64" s="203"/>
      <c r="E64" s="271"/>
      <c r="F64" s="203"/>
      <c r="G64" s="207"/>
      <c r="H64" s="201"/>
      <c r="I64" s="201"/>
      <c r="J64" s="201"/>
      <c r="K64" s="218"/>
    </row>
    <row r="65" spans="1:11">
      <c r="A65" t="s">
        <v>14</v>
      </c>
      <c r="D65" s="207">
        <v>0</v>
      </c>
      <c r="E65" s="224"/>
      <c r="F65" s="207">
        <f t="shared" ref="F65:F84" si="3">D65+E65</f>
        <v>0</v>
      </c>
      <c r="G65" s="207"/>
      <c r="H65" s="282"/>
      <c r="I65" s="288"/>
      <c r="J65" s="201"/>
      <c r="K65" s="218"/>
    </row>
    <row r="66" spans="1:11">
      <c r="A66" t="s">
        <v>15</v>
      </c>
      <c r="D66" s="207">
        <v>0</v>
      </c>
      <c r="E66" s="224"/>
      <c r="F66" s="207">
        <f t="shared" si="3"/>
        <v>0</v>
      </c>
      <c r="G66" s="207"/>
      <c r="H66" s="282"/>
      <c r="I66" s="201"/>
      <c r="J66" s="201"/>
      <c r="K66" s="218"/>
    </row>
    <row r="67" spans="1:11">
      <c r="A67" t="s">
        <v>16</v>
      </c>
      <c r="D67" s="207">
        <v>0</v>
      </c>
      <c r="E67" s="224"/>
      <c r="F67" s="207">
        <f t="shared" si="3"/>
        <v>0</v>
      </c>
      <c r="G67" s="207"/>
      <c r="H67" s="282"/>
      <c r="I67" s="288"/>
      <c r="J67" s="201"/>
      <c r="K67" s="218"/>
    </row>
    <row r="68" spans="1:11">
      <c r="A68" t="s">
        <v>17</v>
      </c>
      <c r="D68" s="207">
        <v>0</v>
      </c>
      <c r="E68" s="224"/>
      <c r="F68" s="207">
        <f t="shared" si="3"/>
        <v>0</v>
      </c>
      <c r="G68" s="207"/>
      <c r="H68" s="282"/>
      <c r="I68" s="288"/>
      <c r="J68" s="201"/>
      <c r="K68" s="218"/>
    </row>
    <row r="69" spans="1:11">
      <c r="A69" t="s">
        <v>18</v>
      </c>
      <c r="D69" s="207">
        <v>0</v>
      </c>
      <c r="E69" s="224"/>
      <c r="F69" s="207">
        <f t="shared" si="3"/>
        <v>0</v>
      </c>
      <c r="G69" s="207"/>
      <c r="H69" s="282"/>
      <c r="I69" s="288"/>
      <c r="J69" s="201"/>
      <c r="K69" s="218"/>
    </row>
    <row r="70" spans="1:11">
      <c r="A70" t="s">
        <v>19</v>
      </c>
      <c r="D70" s="207">
        <v>0</v>
      </c>
      <c r="E70" s="224"/>
      <c r="F70" s="207">
        <f t="shared" si="3"/>
        <v>0</v>
      </c>
      <c r="G70" s="207"/>
      <c r="H70" s="282"/>
      <c r="I70" s="201"/>
      <c r="J70" s="201"/>
      <c r="K70" s="218"/>
    </row>
    <row r="71" spans="1:11">
      <c r="A71" t="s">
        <v>20</v>
      </c>
      <c r="D71" s="207">
        <v>0</v>
      </c>
      <c r="E71" s="224"/>
      <c r="F71" s="207">
        <f t="shared" si="3"/>
        <v>0</v>
      </c>
      <c r="G71" s="207"/>
      <c r="H71" s="282"/>
      <c r="I71" s="288"/>
      <c r="J71" s="201"/>
      <c r="K71" s="218"/>
    </row>
    <row r="72" spans="1:11">
      <c r="A72" t="s">
        <v>21</v>
      </c>
      <c r="D72" s="207">
        <v>0</v>
      </c>
      <c r="E72" s="224"/>
      <c r="F72" s="207">
        <f t="shared" si="3"/>
        <v>0</v>
      </c>
      <c r="G72" s="207"/>
      <c r="H72" s="282"/>
      <c r="I72" s="288"/>
      <c r="J72" s="201"/>
      <c r="K72" s="218"/>
    </row>
    <row r="73" spans="1:11">
      <c r="A73" t="s">
        <v>22</v>
      </c>
      <c r="D73" s="207">
        <v>0</v>
      </c>
      <c r="E73" s="224"/>
      <c r="F73" s="207">
        <f t="shared" si="3"/>
        <v>0</v>
      </c>
      <c r="G73" s="207"/>
      <c r="H73" s="282"/>
      <c r="I73" s="288"/>
      <c r="J73" s="201"/>
      <c r="K73" s="218"/>
    </row>
    <row r="74" spans="1:11">
      <c r="A74" t="s">
        <v>23</v>
      </c>
      <c r="D74" s="207">
        <v>2958264</v>
      </c>
      <c r="E74" s="225">
        <v>513500</v>
      </c>
      <c r="F74" s="207">
        <f t="shared" si="3"/>
        <v>3471764</v>
      </c>
      <c r="G74" s="207"/>
      <c r="H74" s="282"/>
      <c r="I74" s="201"/>
      <c r="J74" s="201"/>
      <c r="K74" s="218"/>
    </row>
    <row r="75" spans="1:11">
      <c r="A75" t="s">
        <v>24</v>
      </c>
      <c r="D75" s="207">
        <v>0</v>
      </c>
      <c r="E75" s="224"/>
      <c r="F75" s="207">
        <f t="shared" si="3"/>
        <v>0</v>
      </c>
      <c r="G75" s="207"/>
      <c r="H75" s="282"/>
      <c r="I75" s="201"/>
      <c r="J75" s="201"/>
      <c r="K75" s="218"/>
    </row>
    <row r="76" spans="1:11">
      <c r="A76" t="s">
        <v>25</v>
      </c>
      <c r="D76" s="207">
        <v>0</v>
      </c>
      <c r="E76" s="224"/>
      <c r="F76" s="207">
        <f t="shared" si="3"/>
        <v>0</v>
      </c>
      <c r="G76" s="207"/>
      <c r="H76" s="282"/>
      <c r="I76" s="288"/>
      <c r="J76" s="201"/>
      <c r="K76" s="218"/>
    </row>
    <row r="77" spans="1:11">
      <c r="A77" t="s">
        <v>26</v>
      </c>
      <c r="D77" s="207">
        <v>0</v>
      </c>
      <c r="E77" s="225"/>
      <c r="F77" s="207">
        <f t="shared" si="3"/>
        <v>0</v>
      </c>
      <c r="G77" s="207"/>
      <c r="H77" s="282"/>
      <c r="I77" s="288"/>
      <c r="J77" s="201"/>
      <c r="K77" s="218"/>
    </row>
    <row r="78" spans="1:11">
      <c r="A78" t="s">
        <v>27</v>
      </c>
      <c r="D78" s="207">
        <v>0</v>
      </c>
      <c r="E78" s="224"/>
      <c r="F78" s="207">
        <f t="shared" si="3"/>
        <v>0</v>
      </c>
      <c r="G78" s="207"/>
      <c r="H78" s="282"/>
      <c r="I78" s="285"/>
      <c r="J78" s="201"/>
      <c r="K78" s="218"/>
    </row>
    <row r="79" spans="1:11">
      <c r="A79" t="s">
        <v>28</v>
      </c>
      <c r="D79" s="207">
        <v>0</v>
      </c>
      <c r="E79" s="224"/>
      <c r="F79" s="207">
        <f t="shared" si="3"/>
        <v>0</v>
      </c>
      <c r="G79" s="207"/>
      <c r="H79" s="282"/>
      <c r="I79" s="285"/>
      <c r="J79" s="201"/>
      <c r="K79" s="218"/>
    </row>
    <row r="80" spans="1:11">
      <c r="A80" t="s">
        <v>29</v>
      </c>
      <c r="D80" s="207">
        <v>0</v>
      </c>
      <c r="E80" s="224"/>
      <c r="F80" s="207">
        <f t="shared" si="3"/>
        <v>0</v>
      </c>
      <c r="G80" s="207"/>
      <c r="H80" s="282"/>
      <c r="I80" s="285"/>
      <c r="J80" s="201"/>
      <c r="K80" s="218"/>
    </row>
    <row r="81" spans="1:11">
      <c r="A81" t="s">
        <v>30</v>
      </c>
      <c r="D81" s="207">
        <v>0</v>
      </c>
      <c r="E81" s="224"/>
      <c r="F81" s="207">
        <f t="shared" si="3"/>
        <v>0</v>
      </c>
      <c r="G81" s="207"/>
      <c r="H81" s="282"/>
      <c r="I81" s="285"/>
      <c r="J81" s="201"/>
      <c r="K81" s="218"/>
    </row>
    <row r="82" spans="1:11">
      <c r="A82" s="3" t="s">
        <v>240</v>
      </c>
      <c r="D82" s="207">
        <v>0</v>
      </c>
      <c r="E82" s="224"/>
      <c r="F82" s="207">
        <f t="shared" si="3"/>
        <v>0</v>
      </c>
      <c r="G82" s="207"/>
      <c r="H82" s="282"/>
      <c r="I82" s="285"/>
      <c r="J82" s="201"/>
      <c r="K82" s="218"/>
    </row>
    <row r="83" spans="1:11">
      <c r="A83" s="3" t="s">
        <v>239</v>
      </c>
      <c r="B83" s="3"/>
      <c r="D83" s="207">
        <v>0</v>
      </c>
      <c r="E83" s="224"/>
      <c r="F83" s="199">
        <f t="shared" si="3"/>
        <v>0</v>
      </c>
      <c r="G83" s="207"/>
      <c r="H83" s="201"/>
      <c r="I83" s="285"/>
      <c r="J83" s="201"/>
      <c r="K83" s="218"/>
    </row>
    <row r="84" spans="1:11">
      <c r="A84" s="3" t="s">
        <v>238</v>
      </c>
      <c r="B84" s="3"/>
      <c r="D84" s="207">
        <v>0</v>
      </c>
      <c r="E84" s="274"/>
      <c r="F84" s="199">
        <f t="shared" si="3"/>
        <v>0</v>
      </c>
      <c r="G84" s="207"/>
      <c r="H84" s="201"/>
      <c r="I84" s="285"/>
      <c r="J84" s="201"/>
      <c r="K84" s="218"/>
    </row>
    <row r="85" spans="1:11">
      <c r="A85" t="s">
        <v>31</v>
      </c>
      <c r="D85" s="210">
        <f>SUM(D64:D84)</f>
        <v>2958264</v>
      </c>
      <c r="E85" s="216">
        <f>F85-D85</f>
        <v>513500</v>
      </c>
      <c r="F85" s="210">
        <f>SUM(F65:F84)</f>
        <v>3471764</v>
      </c>
      <c r="G85" s="204"/>
      <c r="H85" s="286"/>
      <c r="I85" s="287"/>
      <c r="J85" s="286"/>
      <c r="K85" s="218"/>
    </row>
    <row r="86" spans="1:11">
      <c r="D86" s="207"/>
      <c r="E86" s="208"/>
      <c r="F86" s="207"/>
      <c r="G86" s="207"/>
      <c r="H86" s="201"/>
      <c r="I86" s="201"/>
      <c r="J86" s="201"/>
      <c r="K86" s="218"/>
    </row>
    <row r="87" spans="1:11">
      <c r="A87" s="20" t="str">
        <f>+A41</f>
        <v>FUND BALANCE 08/31/13</v>
      </c>
      <c r="D87" s="463">
        <f>941299+248652</f>
        <v>1189951</v>
      </c>
      <c r="E87" s="227"/>
      <c r="F87" s="228">
        <f>D87</f>
        <v>1189951</v>
      </c>
      <c r="G87" s="207"/>
      <c r="H87" s="288"/>
      <c r="I87" s="288"/>
      <c r="J87" s="288"/>
      <c r="K87" s="218"/>
    </row>
    <row r="88" spans="1:11">
      <c r="D88" s="213"/>
      <c r="E88" s="214"/>
      <c r="F88" s="213"/>
      <c r="G88" s="213"/>
      <c r="H88" s="288"/>
      <c r="I88" s="288"/>
      <c r="J88" s="288"/>
      <c r="K88" s="218"/>
    </row>
    <row r="89" spans="1:11">
      <c r="A89" s="20"/>
      <c r="D89" s="213"/>
      <c r="E89" s="214"/>
      <c r="F89" s="213"/>
      <c r="G89" s="213"/>
      <c r="H89" s="288"/>
      <c r="I89" s="288"/>
      <c r="J89" s="288"/>
      <c r="K89" s="218"/>
    </row>
    <row r="90" spans="1:11">
      <c r="A90" s="20" t="str">
        <f>A44</f>
        <v>EST FUND BALANCE 08/31/14</v>
      </c>
      <c r="D90" s="215">
        <f>D61-D85+D87</f>
        <v>1069951</v>
      </c>
      <c r="E90" s="216">
        <f>F90-D90</f>
        <v>-513500</v>
      </c>
      <c r="F90" s="215">
        <f>F87+F61-F85</f>
        <v>556451</v>
      </c>
      <c r="G90" s="229"/>
      <c r="H90" s="289"/>
      <c r="I90" s="289"/>
      <c r="J90" s="289"/>
      <c r="K90" s="218"/>
    </row>
    <row r="91" spans="1:11">
      <c r="D91" s="218"/>
      <c r="E91" s="218"/>
      <c r="F91" s="218"/>
      <c r="G91" s="218"/>
      <c r="H91" s="201"/>
      <c r="I91" s="201"/>
      <c r="J91" s="201"/>
      <c r="K91" s="218"/>
    </row>
    <row r="92" spans="1:11">
      <c r="A92" s="20"/>
      <c r="D92" s="218"/>
      <c r="E92" s="218"/>
      <c r="F92" s="218"/>
      <c r="G92" s="218"/>
      <c r="H92" s="218"/>
      <c r="I92" s="218"/>
      <c r="J92" s="218"/>
      <c r="K92" s="218"/>
    </row>
    <row r="93" spans="1:11">
      <c r="A93" s="25"/>
    </row>
    <row r="94" spans="1:11" ht="15.75">
      <c r="D94" s="1"/>
      <c r="E94" s="1"/>
      <c r="F94" s="2" t="s">
        <v>236</v>
      </c>
      <c r="G94" s="1"/>
      <c r="H94" s="1"/>
      <c r="I94" s="3"/>
      <c r="J94" s="4" t="s">
        <v>259</v>
      </c>
    </row>
    <row r="95" spans="1:11">
      <c r="D95" s="5"/>
      <c r="E95" s="5"/>
      <c r="F95" s="6" t="str">
        <f>F49</f>
        <v>2013-2014 Fund Balance Comparison</v>
      </c>
      <c r="G95" s="5"/>
      <c r="H95" s="5"/>
      <c r="I95" s="3"/>
      <c r="J95" s="3"/>
    </row>
    <row r="96" spans="1:11">
      <c r="D96" s="3"/>
      <c r="E96" s="3"/>
      <c r="F96" s="4" t="str">
        <f>F50</f>
        <v>as of August 31, 2014</v>
      </c>
      <c r="G96" s="3"/>
      <c r="H96" s="3"/>
      <c r="I96" s="3"/>
      <c r="J96" s="3"/>
    </row>
    <row r="97" spans="1:10">
      <c r="D97" s="3"/>
      <c r="E97" s="3"/>
      <c r="F97" s="4"/>
      <c r="G97" s="3"/>
      <c r="H97" s="3"/>
      <c r="I97" s="3"/>
      <c r="J97" s="3"/>
    </row>
    <row r="98" spans="1:10">
      <c r="D98" s="3"/>
      <c r="E98" s="3"/>
      <c r="F98" s="3"/>
      <c r="G98" s="3"/>
      <c r="H98" s="3"/>
      <c r="I98" s="3"/>
      <c r="J98" s="3"/>
    </row>
    <row r="99" spans="1:10" ht="15.75">
      <c r="D99" s="3"/>
      <c r="E99" s="2" t="s">
        <v>260</v>
      </c>
      <c r="F99" s="3"/>
      <c r="G99" s="3"/>
      <c r="H99" s="3"/>
      <c r="I99" s="2" t="s">
        <v>261</v>
      </c>
      <c r="J99" s="3"/>
    </row>
    <row r="100" spans="1:10">
      <c r="D100" s="8"/>
      <c r="E100" s="9">
        <v>720</v>
      </c>
      <c r="F100" s="8"/>
      <c r="G100" s="3"/>
      <c r="H100" s="8"/>
      <c r="I100" s="9">
        <v>752</v>
      </c>
      <c r="J100" s="8"/>
    </row>
    <row r="101" spans="1:10">
      <c r="D101" s="11"/>
      <c r="E101" s="11" t="s">
        <v>2</v>
      </c>
      <c r="F101" s="4"/>
      <c r="G101" s="3"/>
      <c r="H101" s="11"/>
      <c r="I101" s="11" t="s">
        <v>2</v>
      </c>
      <c r="J101" s="4"/>
    </row>
    <row r="102" spans="1:10">
      <c r="A102" t="s">
        <v>3</v>
      </c>
      <c r="D102" s="11" t="s">
        <v>4</v>
      </c>
      <c r="E102" s="11" t="s">
        <v>5</v>
      </c>
      <c r="F102" s="4" t="s">
        <v>6</v>
      </c>
      <c r="G102" s="3"/>
      <c r="H102" s="11" t="s">
        <v>4</v>
      </c>
      <c r="I102" s="11" t="s">
        <v>5</v>
      </c>
      <c r="J102" s="4" t="s">
        <v>6</v>
      </c>
    </row>
    <row r="103" spans="1:10">
      <c r="A103" s="12" t="s">
        <v>7</v>
      </c>
      <c r="B103" s="12" t="s">
        <v>8</v>
      </c>
      <c r="D103" s="13" t="s">
        <v>9</v>
      </c>
      <c r="E103" s="14"/>
      <c r="F103" s="15" t="s">
        <v>9</v>
      </c>
      <c r="G103" s="3"/>
      <c r="H103" s="13" t="s">
        <v>9</v>
      </c>
      <c r="I103" s="14"/>
      <c r="J103" s="15" t="s">
        <v>9</v>
      </c>
    </row>
    <row r="104" spans="1:10">
      <c r="A104" s="16">
        <v>5700</v>
      </c>
      <c r="B104" s="17" t="s">
        <v>10</v>
      </c>
      <c r="D104" s="207">
        <v>591189</v>
      </c>
      <c r="E104" s="217"/>
      <c r="F104" s="207">
        <f>D104+E104</f>
        <v>591189</v>
      </c>
      <c r="G104" s="207"/>
      <c r="H104" s="199">
        <v>34000</v>
      </c>
      <c r="I104" s="209"/>
      <c r="J104" s="201">
        <f>H104+I104</f>
        <v>34000</v>
      </c>
    </row>
    <row r="105" spans="1:10">
      <c r="A105" s="16">
        <v>5800</v>
      </c>
      <c r="B105" s="17" t="s">
        <v>11</v>
      </c>
      <c r="D105" s="207">
        <v>0</v>
      </c>
      <c r="E105" s="217"/>
      <c r="F105" s="207">
        <f>D105+E105</f>
        <v>0</v>
      </c>
      <c r="G105" s="207"/>
      <c r="H105" s="199"/>
      <c r="I105" s="209"/>
      <c r="J105" s="201">
        <f>H105+I105</f>
        <v>0</v>
      </c>
    </row>
    <row r="106" spans="1:10">
      <c r="A106" s="16">
        <v>5900</v>
      </c>
      <c r="B106" s="17" t="s">
        <v>12</v>
      </c>
      <c r="D106" s="219">
        <v>0</v>
      </c>
      <c r="E106" s="220"/>
      <c r="F106" s="219">
        <f>D106+E106</f>
        <v>0</v>
      </c>
      <c r="G106" s="221"/>
      <c r="H106" s="219"/>
      <c r="I106" s="275"/>
      <c r="J106" s="219"/>
    </row>
    <row r="107" spans="1:10">
      <c r="D107" s="221">
        <f>SUM(D104:D106)</f>
        <v>591189</v>
      </c>
      <c r="E107" s="222">
        <f>SUM(E104:E106)</f>
        <v>0</v>
      </c>
      <c r="F107" s="221">
        <f>SUM(F104:F106)</f>
        <v>591189</v>
      </c>
      <c r="G107" s="221"/>
      <c r="H107" s="221">
        <f>H104+H105</f>
        <v>34000</v>
      </c>
      <c r="I107" s="223">
        <f>SUM(I104:I106)</f>
        <v>0</v>
      </c>
      <c r="J107" s="221">
        <f>J104+J105+J106</f>
        <v>34000</v>
      </c>
    </row>
    <row r="108" spans="1:10">
      <c r="D108" s="207"/>
      <c r="E108" s="208"/>
      <c r="F108" s="207"/>
      <c r="G108" s="207"/>
      <c r="H108" s="207"/>
      <c r="I108" s="202"/>
      <c r="J108" s="207"/>
    </row>
    <row r="109" spans="1:10">
      <c r="D109" s="207"/>
      <c r="E109" s="208"/>
      <c r="F109" s="207"/>
      <c r="G109" s="207"/>
      <c r="H109" s="207"/>
      <c r="I109" s="208"/>
      <c r="J109" s="207"/>
    </row>
    <row r="110" spans="1:10">
      <c r="A110" s="19" t="s">
        <v>13</v>
      </c>
      <c r="B110" s="12"/>
      <c r="D110" s="203"/>
      <c r="E110" s="271"/>
      <c r="F110" s="203"/>
      <c r="G110" s="207"/>
      <c r="H110" s="203"/>
      <c r="I110" s="271"/>
      <c r="J110" s="203"/>
    </row>
    <row r="111" spans="1:10">
      <c r="A111" t="s">
        <v>14</v>
      </c>
      <c r="D111" s="207">
        <v>0</v>
      </c>
      <c r="E111" s="224"/>
      <c r="F111" s="207">
        <f t="shared" ref="F111:F130" si="4">D111+E111</f>
        <v>0</v>
      </c>
      <c r="G111" s="207"/>
      <c r="H111" s="199"/>
      <c r="I111" s="225"/>
      <c r="J111" s="207">
        <f t="shared" ref="J111:J127" si="5">H111+I111</f>
        <v>0</v>
      </c>
    </row>
    <row r="112" spans="1:10">
      <c r="A112" t="s">
        <v>15</v>
      </c>
      <c r="D112" s="207">
        <v>0</v>
      </c>
      <c r="E112" s="224"/>
      <c r="F112" s="207">
        <f t="shared" si="4"/>
        <v>0</v>
      </c>
      <c r="G112" s="207"/>
      <c r="H112" s="199"/>
      <c r="I112" s="217"/>
      <c r="J112" s="207">
        <f t="shared" si="5"/>
        <v>0</v>
      </c>
    </row>
    <row r="113" spans="1:11">
      <c r="A113" t="s">
        <v>16</v>
      </c>
      <c r="D113" s="207">
        <v>0</v>
      </c>
      <c r="E113" s="224"/>
      <c r="F113" s="207">
        <f t="shared" si="4"/>
        <v>0</v>
      </c>
      <c r="G113" s="207"/>
      <c r="H113" s="199"/>
      <c r="I113" s="225"/>
      <c r="J113" s="207">
        <f t="shared" si="5"/>
        <v>0</v>
      </c>
    </row>
    <row r="114" spans="1:11">
      <c r="A114" t="s">
        <v>17</v>
      </c>
      <c r="D114" s="207">
        <v>0</v>
      </c>
      <c r="E114" s="224"/>
      <c r="F114" s="207">
        <f t="shared" si="4"/>
        <v>0</v>
      </c>
      <c r="G114" s="207"/>
      <c r="H114" s="199"/>
      <c r="I114" s="225"/>
      <c r="J114" s="207">
        <f t="shared" si="5"/>
        <v>0</v>
      </c>
    </row>
    <row r="115" spans="1:11">
      <c r="A115" t="s">
        <v>18</v>
      </c>
      <c r="D115" s="207">
        <v>0</v>
      </c>
      <c r="E115" s="224"/>
      <c r="F115" s="207">
        <f t="shared" si="4"/>
        <v>0</v>
      </c>
      <c r="G115" s="207"/>
      <c r="H115" s="199"/>
      <c r="I115" s="225"/>
      <c r="J115" s="207">
        <f t="shared" si="5"/>
        <v>0</v>
      </c>
    </row>
    <row r="116" spans="1:11">
      <c r="A116" t="s">
        <v>19</v>
      </c>
      <c r="D116" s="207">
        <v>0</v>
      </c>
      <c r="E116" s="224"/>
      <c r="F116" s="207">
        <f t="shared" si="4"/>
        <v>0</v>
      </c>
      <c r="G116" s="207"/>
      <c r="H116" s="199"/>
      <c r="I116" s="217"/>
      <c r="J116" s="207">
        <f t="shared" si="5"/>
        <v>0</v>
      </c>
    </row>
    <row r="117" spans="1:11">
      <c r="A117" t="s">
        <v>20</v>
      </c>
      <c r="D117" s="207">
        <v>0</v>
      </c>
      <c r="E117" s="224"/>
      <c r="F117" s="207">
        <f t="shared" si="4"/>
        <v>0</v>
      </c>
      <c r="G117" s="207"/>
      <c r="H117" s="199"/>
      <c r="I117" s="225"/>
      <c r="J117" s="207">
        <f t="shared" si="5"/>
        <v>0</v>
      </c>
    </row>
    <row r="118" spans="1:11">
      <c r="A118" t="s">
        <v>21</v>
      </c>
      <c r="D118" s="207">
        <v>0</v>
      </c>
      <c r="E118" s="224"/>
      <c r="F118" s="207">
        <f t="shared" si="4"/>
        <v>0</v>
      </c>
      <c r="G118" s="207"/>
      <c r="H118" s="199"/>
      <c r="I118" s="225"/>
      <c r="J118" s="207">
        <f t="shared" si="5"/>
        <v>0</v>
      </c>
    </row>
    <row r="119" spans="1:11">
      <c r="A119" t="s">
        <v>22</v>
      </c>
      <c r="D119" s="207">
        <v>0</v>
      </c>
      <c r="E119" s="224"/>
      <c r="F119" s="207">
        <f t="shared" si="4"/>
        <v>0</v>
      </c>
      <c r="G119" s="207"/>
      <c r="H119" s="199"/>
      <c r="I119" s="225"/>
      <c r="J119" s="207">
        <f t="shared" si="5"/>
        <v>0</v>
      </c>
    </row>
    <row r="120" spans="1:11">
      <c r="A120" t="s">
        <v>23</v>
      </c>
      <c r="D120" s="207">
        <v>0</v>
      </c>
      <c r="E120" s="225"/>
      <c r="F120" s="207">
        <f t="shared" si="4"/>
        <v>0</v>
      </c>
      <c r="G120" s="207"/>
      <c r="H120" s="199"/>
      <c r="I120" s="217"/>
      <c r="J120" s="207">
        <f t="shared" si="5"/>
        <v>0</v>
      </c>
    </row>
    <row r="121" spans="1:11">
      <c r="A121" t="s">
        <v>24</v>
      </c>
      <c r="D121" s="207">
        <v>0</v>
      </c>
      <c r="E121" s="224"/>
      <c r="F121" s="207">
        <f t="shared" si="4"/>
        <v>0</v>
      </c>
      <c r="G121" s="207"/>
      <c r="H121" s="199"/>
      <c r="I121" s="217"/>
      <c r="J121" s="207">
        <f t="shared" si="5"/>
        <v>0</v>
      </c>
    </row>
    <row r="122" spans="1:11">
      <c r="A122" t="s">
        <v>25</v>
      </c>
      <c r="D122" s="207">
        <v>0</v>
      </c>
      <c r="E122" s="224"/>
      <c r="F122" s="207">
        <f t="shared" si="4"/>
        <v>0</v>
      </c>
      <c r="G122" s="207"/>
      <c r="H122" s="199"/>
      <c r="I122" s="225"/>
      <c r="J122" s="207">
        <f t="shared" si="5"/>
        <v>0</v>
      </c>
    </row>
    <row r="123" spans="1:11">
      <c r="A123" t="s">
        <v>26</v>
      </c>
      <c r="D123" s="207">
        <v>0</v>
      </c>
      <c r="E123" s="225"/>
      <c r="F123" s="207">
        <f t="shared" si="4"/>
        <v>0</v>
      </c>
      <c r="G123" s="207"/>
      <c r="H123" s="199"/>
      <c r="I123" s="225"/>
      <c r="J123" s="207">
        <f t="shared" si="5"/>
        <v>0</v>
      </c>
    </row>
    <row r="124" spans="1:11">
      <c r="A124" t="s">
        <v>27</v>
      </c>
      <c r="D124" s="207">
        <v>0</v>
      </c>
      <c r="E124" s="224"/>
      <c r="F124" s="207">
        <f t="shared" si="4"/>
        <v>0</v>
      </c>
      <c r="G124" s="207"/>
      <c r="H124" s="199"/>
      <c r="I124" s="209"/>
      <c r="J124" s="207">
        <f t="shared" si="5"/>
        <v>0</v>
      </c>
    </row>
    <row r="125" spans="1:11">
      <c r="A125" t="s">
        <v>28</v>
      </c>
      <c r="D125" s="207">
        <v>0</v>
      </c>
      <c r="E125" s="224"/>
      <c r="F125" s="207">
        <f t="shared" si="4"/>
        <v>0</v>
      </c>
      <c r="G125" s="207"/>
      <c r="H125" s="199"/>
      <c r="I125" s="209"/>
      <c r="J125" s="207">
        <f t="shared" si="5"/>
        <v>0</v>
      </c>
    </row>
    <row r="126" spans="1:11">
      <c r="A126" t="s">
        <v>29</v>
      </c>
      <c r="D126" s="207">
        <v>591189</v>
      </c>
      <c r="E126" s="224"/>
      <c r="F126" s="207">
        <f t="shared" si="4"/>
        <v>591189</v>
      </c>
      <c r="G126" s="207"/>
      <c r="H126" s="199">
        <v>34000</v>
      </c>
      <c r="I126" s="209"/>
      <c r="J126" s="207">
        <f t="shared" si="5"/>
        <v>34000</v>
      </c>
    </row>
    <row r="127" spans="1:11">
      <c r="A127" t="s">
        <v>30</v>
      </c>
      <c r="D127" s="207">
        <v>0</v>
      </c>
      <c r="E127" s="224"/>
      <c r="F127" s="207">
        <f t="shared" si="4"/>
        <v>0</v>
      </c>
      <c r="G127" s="207"/>
      <c r="H127" s="199"/>
      <c r="I127" s="209"/>
      <c r="J127" s="207">
        <f t="shared" si="5"/>
        <v>0</v>
      </c>
    </row>
    <row r="128" spans="1:11">
      <c r="A128" s="3" t="s">
        <v>240</v>
      </c>
      <c r="D128" s="207">
        <v>64400</v>
      </c>
      <c r="E128" s="224">
        <v>45600</v>
      </c>
      <c r="F128" s="207">
        <f t="shared" si="4"/>
        <v>110000</v>
      </c>
      <c r="G128" s="207"/>
      <c r="H128" s="199"/>
      <c r="I128" s="209"/>
      <c r="J128" s="207">
        <f t="shared" ref="J128" si="6">H128+I128</f>
        <v>0</v>
      </c>
      <c r="K128" s="218"/>
    </row>
    <row r="129" spans="1:10">
      <c r="A129" s="3" t="s">
        <v>239</v>
      </c>
      <c r="B129" s="3"/>
      <c r="D129" s="207">
        <v>0</v>
      </c>
      <c r="E129" s="224"/>
      <c r="F129" s="199">
        <f t="shared" si="4"/>
        <v>0</v>
      </c>
      <c r="G129" s="207"/>
      <c r="H129" s="207"/>
      <c r="I129" s="209"/>
      <c r="J129" s="207"/>
    </row>
    <row r="130" spans="1:10">
      <c r="A130" s="3" t="s">
        <v>238</v>
      </c>
      <c r="B130" s="3"/>
      <c r="D130" s="207">
        <v>0</v>
      </c>
      <c r="E130" s="274"/>
      <c r="F130" s="199">
        <f t="shared" si="4"/>
        <v>0</v>
      </c>
      <c r="G130" s="207"/>
      <c r="H130" s="207"/>
      <c r="I130" s="209"/>
      <c r="J130" s="207"/>
    </row>
    <row r="131" spans="1:10">
      <c r="A131" t="s">
        <v>31</v>
      </c>
      <c r="D131" s="210">
        <f>SUM(D110:D130)</f>
        <v>655589</v>
      </c>
      <c r="E131" s="216">
        <f>F131-D131</f>
        <v>45600</v>
      </c>
      <c r="F131" s="210">
        <f>SUM(F111:F130)</f>
        <v>701189</v>
      </c>
      <c r="G131" s="204"/>
      <c r="H131" s="210">
        <f>SUM(H111:H130)</f>
        <v>34000</v>
      </c>
      <c r="I131" s="211">
        <f>SUM(I111:I130)</f>
        <v>0</v>
      </c>
      <c r="J131" s="210">
        <f>SUM(J111:J130)</f>
        <v>34000</v>
      </c>
    </row>
    <row r="132" spans="1:10">
      <c r="D132" s="207"/>
      <c r="E132" s="208"/>
      <c r="F132" s="207"/>
      <c r="G132" s="207"/>
      <c r="H132" s="207"/>
      <c r="I132" s="208"/>
      <c r="J132" s="207"/>
    </row>
    <row r="133" spans="1:10">
      <c r="A133" s="20" t="str">
        <f>+A87</f>
        <v>FUND BALANCE 08/31/13</v>
      </c>
      <c r="D133" s="226">
        <v>138687</v>
      </c>
      <c r="E133" s="227"/>
      <c r="F133" s="228">
        <f>D133</f>
        <v>138687</v>
      </c>
      <c r="G133" s="207"/>
      <c r="H133" s="226">
        <v>0</v>
      </c>
      <c r="I133" s="212"/>
      <c r="J133" s="226">
        <f>H133</f>
        <v>0</v>
      </c>
    </row>
    <row r="134" spans="1:10">
      <c r="D134" s="213"/>
      <c r="E134" s="214"/>
      <c r="F134" s="213"/>
      <c r="G134" s="213"/>
      <c r="H134" s="213"/>
      <c r="I134" s="214"/>
      <c r="J134" s="213"/>
    </row>
    <row r="135" spans="1:10">
      <c r="A135" s="20"/>
      <c r="D135" s="213"/>
      <c r="E135" s="214"/>
      <c r="F135" s="213"/>
      <c r="G135" s="213"/>
      <c r="H135" s="213"/>
      <c r="I135" s="214"/>
      <c r="J135" s="213"/>
    </row>
    <row r="136" spans="1:10">
      <c r="A136" s="20" t="str">
        <f>A90</f>
        <v>EST FUND BALANCE 08/31/14</v>
      </c>
      <c r="D136" s="215">
        <f>D107-D131+D133</f>
        <v>74287</v>
      </c>
      <c r="E136" s="216">
        <f>F136-D136</f>
        <v>-45600</v>
      </c>
      <c r="F136" s="215">
        <f>F133+F107-F131</f>
        <v>28687</v>
      </c>
      <c r="G136" s="229"/>
      <c r="H136" s="215">
        <f>H107-H131+H133</f>
        <v>0</v>
      </c>
      <c r="I136" s="216">
        <f>J136-H136</f>
        <v>0</v>
      </c>
      <c r="J136" s="215">
        <f>J107-J131+J133</f>
        <v>0</v>
      </c>
    </row>
  </sheetData>
  <phoneticPr fontId="6" type="noConversion"/>
  <pageMargins left="0.5" right="0.5" top="1" bottom="0.5" header="0.5" footer="0.5"/>
  <pageSetup scale="80" fitToHeight="12" orientation="landscape" r:id="rId1"/>
  <headerFooter alignWithMargins="0"/>
  <rowBreaks count="2" manualBreakCount="2">
    <brk id="46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6"/>
  <sheetViews>
    <sheetView topLeftCell="A19" workbookViewId="0">
      <selection activeCell="K45" sqref="K45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88" t="s">
        <v>236</v>
      </c>
      <c r="B1" s="688"/>
      <c r="C1" s="688"/>
      <c r="D1" s="688"/>
      <c r="E1" s="688"/>
      <c r="F1" s="688"/>
      <c r="G1" s="688"/>
      <c r="H1" s="688"/>
      <c r="I1" s="688"/>
    </row>
    <row r="2" spans="1:9">
      <c r="A2" s="688" t="s">
        <v>336</v>
      </c>
      <c r="B2" s="688"/>
      <c r="C2" s="688"/>
      <c r="D2" s="688"/>
      <c r="E2" s="688"/>
      <c r="F2" s="688"/>
      <c r="G2" s="688"/>
      <c r="H2" s="688"/>
      <c r="I2" s="688"/>
    </row>
    <row r="3" spans="1:9">
      <c r="A3" s="688" t="s">
        <v>335</v>
      </c>
      <c r="B3" s="688"/>
      <c r="C3" s="688"/>
      <c r="D3" s="688"/>
      <c r="E3" s="688"/>
      <c r="F3" s="688"/>
      <c r="G3" s="688"/>
      <c r="H3" s="688"/>
      <c r="I3" s="688"/>
    </row>
    <row r="4" spans="1:9" ht="15">
      <c r="A4" s="28"/>
    </row>
    <row r="5" spans="1:9">
      <c r="A5" s="688" t="s">
        <v>0</v>
      </c>
      <c r="B5" s="688"/>
      <c r="C5" s="688"/>
      <c r="D5" s="688"/>
      <c r="E5" s="688"/>
      <c r="F5" s="688"/>
      <c r="G5" s="688"/>
      <c r="H5" s="688"/>
      <c r="I5" s="688"/>
    </row>
    <row r="6" spans="1:9" ht="13.5" thickBot="1">
      <c r="A6" s="688" t="s">
        <v>249</v>
      </c>
      <c r="B6" s="688"/>
      <c r="C6" s="688"/>
      <c r="D6" s="688"/>
      <c r="E6" s="688"/>
      <c r="F6" s="688"/>
      <c r="G6" s="688"/>
      <c r="H6" s="688"/>
      <c r="I6" s="688"/>
    </row>
    <row r="7" spans="1:9">
      <c r="D7" s="29" t="s">
        <v>321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304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41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73">
        <v>21483364</v>
      </c>
      <c r="E10" s="460">
        <v>408001.53</v>
      </c>
      <c r="F10" s="374">
        <v>24818689.530000001</v>
      </c>
      <c r="G10" s="374">
        <f>F10-D10</f>
        <v>3335325.5300000012</v>
      </c>
      <c r="H10" s="39">
        <f>F10/D10</f>
        <v>1.1552515485936001</v>
      </c>
      <c r="I10" s="40">
        <f>12/12</f>
        <v>1</v>
      </c>
    </row>
    <row r="11" spans="1:9">
      <c r="A11" s="26">
        <v>5800</v>
      </c>
      <c r="B11" s="27" t="s">
        <v>11</v>
      </c>
      <c r="D11" s="373">
        <v>24910827</v>
      </c>
      <c r="E11" s="374">
        <v>1810981.86</v>
      </c>
      <c r="F11" s="374">
        <v>25237111.379999999</v>
      </c>
      <c r="G11" s="374">
        <f>F11-D11</f>
        <v>326284.37999999896</v>
      </c>
      <c r="H11" s="39">
        <f>F11/D11</f>
        <v>1.0130980950572215</v>
      </c>
      <c r="I11" s="40">
        <f>I10</f>
        <v>1</v>
      </c>
    </row>
    <row r="12" spans="1:9">
      <c r="A12" s="26">
        <v>5900</v>
      </c>
      <c r="B12" s="27" t="s">
        <v>12</v>
      </c>
      <c r="D12" s="375">
        <v>275000</v>
      </c>
      <c r="E12" s="376">
        <v>93409.36</v>
      </c>
      <c r="F12" s="376">
        <v>722953.94</v>
      </c>
      <c r="G12" s="376">
        <f>F12-D12</f>
        <v>447953.93999999994</v>
      </c>
      <c r="H12" s="454">
        <f>F12/D12</f>
        <v>2.628923418181818</v>
      </c>
      <c r="I12" s="455">
        <f>I10</f>
        <v>1</v>
      </c>
    </row>
    <row r="13" spans="1:9">
      <c r="A13" s="34" t="s">
        <v>49</v>
      </c>
      <c r="D13" s="372">
        <f>SUM(D10:D12)</f>
        <v>46669191</v>
      </c>
      <c r="E13" s="236">
        <f>SUM(E10:E12)</f>
        <v>2312392.75</v>
      </c>
      <c r="F13" s="236">
        <f>SUM(F10:F12)</f>
        <v>50778754.849999994</v>
      </c>
      <c r="G13" s="236">
        <f>F13-D13</f>
        <v>4109563.849999994</v>
      </c>
      <c r="H13" s="44">
        <f>F13/D13</f>
        <v>1.0880573192280105</v>
      </c>
      <c r="I13" s="41">
        <f>I10</f>
        <v>1</v>
      </c>
    </row>
    <row r="14" spans="1:9">
      <c r="D14" s="371"/>
      <c r="E14" s="234"/>
      <c r="F14" s="234"/>
      <c r="G14" s="234"/>
      <c r="H14" s="238"/>
      <c r="I14" s="239"/>
    </row>
    <row r="15" spans="1:9">
      <c r="B15" s="34" t="s">
        <v>44</v>
      </c>
      <c r="D15" s="371"/>
      <c r="E15" s="234"/>
      <c r="F15" s="234"/>
      <c r="G15" s="234"/>
      <c r="H15" s="238"/>
      <c r="I15" s="239"/>
    </row>
    <row r="16" spans="1:9">
      <c r="A16" s="42" t="s">
        <v>50</v>
      </c>
      <c r="B16" s="27" t="s">
        <v>51</v>
      </c>
      <c r="D16" s="373">
        <v>29473589</v>
      </c>
      <c r="E16" s="374">
        <v>2380544.5699999998</v>
      </c>
      <c r="F16" s="374">
        <v>28682603.449999999</v>
      </c>
      <c r="G16" s="374">
        <f>D16-F16</f>
        <v>790985.55000000075</v>
      </c>
      <c r="H16" s="240">
        <f t="shared" ref="H16:H25" si="0">F16/D16</f>
        <v>0.97316290357445101</v>
      </c>
      <c r="I16" s="239">
        <f>12/12</f>
        <v>1</v>
      </c>
    </row>
    <row r="17" spans="1:9">
      <c r="A17" s="42" t="s">
        <v>52</v>
      </c>
      <c r="B17" s="27" t="s">
        <v>53</v>
      </c>
      <c r="D17" s="373">
        <v>711123</v>
      </c>
      <c r="E17" s="374">
        <v>87698.4</v>
      </c>
      <c r="F17" s="374">
        <v>669118.86</v>
      </c>
      <c r="G17" s="374">
        <f t="shared" ref="G17:G30" si="1">D17-F17</f>
        <v>42004.140000000014</v>
      </c>
      <c r="H17" s="39">
        <f t="shared" si="0"/>
        <v>0.94093266565699607</v>
      </c>
      <c r="I17" s="239">
        <f>$I$16</f>
        <v>1</v>
      </c>
    </row>
    <row r="18" spans="1:9">
      <c r="A18" s="42" t="s">
        <v>54</v>
      </c>
      <c r="B18" s="237" t="s">
        <v>243</v>
      </c>
      <c r="D18" s="373">
        <v>526423</v>
      </c>
      <c r="E18" s="374">
        <v>55236.63</v>
      </c>
      <c r="F18" s="374">
        <v>487096.93</v>
      </c>
      <c r="G18" s="374">
        <f t="shared" si="1"/>
        <v>39326.070000000007</v>
      </c>
      <c r="H18" s="240">
        <f t="shared" si="0"/>
        <v>0.92529568426911435</v>
      </c>
      <c r="I18" s="239">
        <f t="shared" ref="I18:I35" si="2">$I$16</f>
        <v>1</v>
      </c>
    </row>
    <row r="19" spans="1:9">
      <c r="A19" s="42" t="s">
        <v>55</v>
      </c>
      <c r="B19" s="237" t="s">
        <v>242</v>
      </c>
      <c r="D19" s="373">
        <v>624106</v>
      </c>
      <c r="E19" s="374">
        <v>43158.39</v>
      </c>
      <c r="F19" s="374">
        <v>582102.96</v>
      </c>
      <c r="G19" s="374">
        <f t="shared" si="1"/>
        <v>42003.040000000037</v>
      </c>
      <c r="H19" s="39">
        <f t="shared" si="0"/>
        <v>0.93269886846144723</v>
      </c>
      <c r="I19" s="239">
        <f t="shared" si="2"/>
        <v>1</v>
      </c>
    </row>
    <row r="20" spans="1:9">
      <c r="A20" s="42" t="s">
        <v>56</v>
      </c>
      <c r="B20" s="237" t="s">
        <v>241</v>
      </c>
      <c r="D20" s="373">
        <v>3391561</v>
      </c>
      <c r="E20" s="374">
        <v>290497.68</v>
      </c>
      <c r="F20" s="374">
        <v>3287051.84</v>
      </c>
      <c r="G20" s="374">
        <f t="shared" si="1"/>
        <v>104509.16000000015</v>
      </c>
      <c r="H20" s="39">
        <f t="shared" si="0"/>
        <v>0.96918552843366224</v>
      </c>
      <c r="I20" s="239">
        <f t="shared" si="2"/>
        <v>1</v>
      </c>
    </row>
    <row r="21" spans="1:9">
      <c r="A21" s="42" t="s">
        <v>57</v>
      </c>
      <c r="B21" s="237" t="s">
        <v>244</v>
      </c>
      <c r="D21" s="373">
        <v>1531346</v>
      </c>
      <c r="E21" s="374">
        <v>119177.32</v>
      </c>
      <c r="F21" s="374">
        <v>1489359.14</v>
      </c>
      <c r="G21" s="374">
        <f t="shared" si="1"/>
        <v>41986.860000000102</v>
      </c>
      <c r="H21" s="39">
        <f t="shared" si="0"/>
        <v>0.97258172875365845</v>
      </c>
      <c r="I21" s="239">
        <f t="shared" si="2"/>
        <v>1</v>
      </c>
    </row>
    <row r="22" spans="1:9">
      <c r="A22" s="42" t="s">
        <v>58</v>
      </c>
      <c r="B22" s="237" t="s">
        <v>245</v>
      </c>
      <c r="D22" s="373">
        <v>18000</v>
      </c>
      <c r="E22" s="374">
        <v>0</v>
      </c>
      <c r="F22" s="374">
        <v>12258.51</v>
      </c>
      <c r="G22" s="374">
        <f t="shared" si="1"/>
        <v>5741.49</v>
      </c>
      <c r="H22" s="39">
        <f t="shared" si="0"/>
        <v>0.68102833333333335</v>
      </c>
      <c r="I22" s="239">
        <f t="shared" si="2"/>
        <v>1</v>
      </c>
    </row>
    <row r="23" spans="1:9">
      <c r="A23" s="42" t="s">
        <v>59</v>
      </c>
      <c r="B23" s="27" t="s">
        <v>60</v>
      </c>
      <c r="D23" s="373">
        <v>455740</v>
      </c>
      <c r="E23" s="374">
        <v>35072.639999999999</v>
      </c>
      <c r="F23" s="374">
        <v>436357.3</v>
      </c>
      <c r="G23" s="374">
        <f t="shared" si="1"/>
        <v>19382.700000000012</v>
      </c>
      <c r="H23" s="39">
        <f t="shared" si="0"/>
        <v>0.95746982928862945</v>
      </c>
      <c r="I23" s="239">
        <f t="shared" si="2"/>
        <v>1</v>
      </c>
    </row>
    <row r="24" spans="1:9">
      <c r="A24" s="42" t="s">
        <v>61</v>
      </c>
      <c r="B24" s="27" t="s">
        <v>62</v>
      </c>
      <c r="D24" s="373">
        <v>1448243</v>
      </c>
      <c r="E24" s="374">
        <v>44766.22</v>
      </c>
      <c r="F24" s="374">
        <v>1151772.8500000001</v>
      </c>
      <c r="G24" s="374">
        <f t="shared" si="1"/>
        <v>296470.14999999991</v>
      </c>
      <c r="H24" s="39">
        <f t="shared" si="0"/>
        <v>0.79528977526561506</v>
      </c>
      <c r="I24" s="239">
        <f t="shared" si="2"/>
        <v>1</v>
      </c>
    </row>
    <row r="25" spans="1:9">
      <c r="A25" s="42" t="s">
        <v>63</v>
      </c>
      <c r="B25" s="27" t="s">
        <v>64</v>
      </c>
      <c r="D25" s="373">
        <v>79985</v>
      </c>
      <c r="E25" s="374">
        <v>5719.87</v>
      </c>
      <c r="F25" s="374">
        <v>64201.15</v>
      </c>
      <c r="G25" s="374">
        <f t="shared" si="1"/>
        <v>15783.849999999999</v>
      </c>
      <c r="H25" s="39">
        <f t="shared" si="0"/>
        <v>0.80266487466399949</v>
      </c>
      <c r="I25" s="239">
        <f t="shared" si="2"/>
        <v>1</v>
      </c>
    </row>
    <row r="26" spans="1:9">
      <c r="A26" s="42" t="s">
        <v>65</v>
      </c>
      <c r="B26" s="27" t="s">
        <v>66</v>
      </c>
      <c r="D26" s="373">
        <v>1789900</v>
      </c>
      <c r="E26" s="374">
        <v>263840.81</v>
      </c>
      <c r="F26" s="374">
        <v>1610347.88</v>
      </c>
      <c r="G26" s="374">
        <f t="shared" si="1"/>
        <v>179552.12000000011</v>
      </c>
      <c r="H26" s="39">
        <f t="shared" ref="H26:H33" si="3">F26/D26</f>
        <v>0.89968594893569465</v>
      </c>
      <c r="I26" s="239">
        <f t="shared" si="2"/>
        <v>1</v>
      </c>
    </row>
    <row r="27" spans="1:9">
      <c r="A27" s="42" t="s">
        <v>67</v>
      </c>
      <c r="B27" s="27" t="s">
        <v>68</v>
      </c>
      <c r="D27" s="373">
        <v>2202979</v>
      </c>
      <c r="E27" s="374">
        <v>210055.33</v>
      </c>
      <c r="F27" s="374">
        <v>2039281.26</v>
      </c>
      <c r="G27" s="374">
        <f t="shared" si="1"/>
        <v>163697.74</v>
      </c>
      <c r="H27" s="39">
        <f t="shared" si="3"/>
        <v>0.92569255539884854</v>
      </c>
      <c r="I27" s="239">
        <f t="shared" si="2"/>
        <v>1</v>
      </c>
    </row>
    <row r="28" spans="1:9">
      <c r="A28" s="42" t="s">
        <v>69</v>
      </c>
      <c r="B28" s="237" t="s">
        <v>70</v>
      </c>
      <c r="D28" s="373">
        <v>5179648</v>
      </c>
      <c r="E28" s="374">
        <v>606499.55000000005</v>
      </c>
      <c r="F28" s="460">
        <v>4785563.05</v>
      </c>
      <c r="G28" s="374">
        <f t="shared" si="1"/>
        <v>394084.95000000019</v>
      </c>
      <c r="H28" s="39">
        <f t="shared" si="3"/>
        <v>0.92391665418190572</v>
      </c>
      <c r="I28" s="239">
        <f t="shared" si="2"/>
        <v>1</v>
      </c>
    </row>
    <row r="29" spans="1:9">
      <c r="A29" s="42" t="s">
        <v>71</v>
      </c>
      <c r="B29" s="237" t="s">
        <v>246</v>
      </c>
      <c r="D29" s="373">
        <v>400925</v>
      </c>
      <c r="E29" s="374">
        <v>-58400.93</v>
      </c>
      <c r="F29" s="374">
        <v>259097.49</v>
      </c>
      <c r="G29" s="374">
        <f t="shared" si="1"/>
        <v>141827.51</v>
      </c>
      <c r="H29" s="39">
        <f t="shared" si="3"/>
        <v>0.64624927355490425</v>
      </c>
      <c r="I29" s="239">
        <f t="shared" si="2"/>
        <v>1</v>
      </c>
    </row>
    <row r="30" spans="1:9">
      <c r="A30" s="42" t="s">
        <v>72</v>
      </c>
      <c r="B30" s="27" t="s">
        <v>73</v>
      </c>
      <c r="D30" s="373">
        <v>1180750</v>
      </c>
      <c r="E30" s="374">
        <v>67161.98</v>
      </c>
      <c r="F30" s="374">
        <v>1144447.45</v>
      </c>
      <c r="G30" s="374">
        <f t="shared" si="1"/>
        <v>36302.550000000047</v>
      </c>
      <c r="H30" s="43">
        <f t="shared" si="3"/>
        <v>0.96925466864281173</v>
      </c>
      <c r="I30" s="40">
        <f t="shared" si="2"/>
        <v>1</v>
      </c>
    </row>
    <row r="31" spans="1:9">
      <c r="A31" s="42" t="s">
        <v>74</v>
      </c>
      <c r="B31" s="27" t="s">
        <v>75</v>
      </c>
      <c r="D31" s="373">
        <v>49355</v>
      </c>
      <c r="E31" s="374">
        <v>4704.6499999999996</v>
      </c>
      <c r="F31" s="374">
        <v>37514.99</v>
      </c>
      <c r="G31" s="374">
        <f>D31-F31</f>
        <v>11840.010000000002</v>
      </c>
      <c r="H31" s="43">
        <f t="shared" si="3"/>
        <v>0.76010515651909627</v>
      </c>
      <c r="I31" s="40">
        <f t="shared" si="2"/>
        <v>1</v>
      </c>
    </row>
    <row r="32" spans="1:9">
      <c r="A32" s="42" t="s">
        <v>76</v>
      </c>
      <c r="B32" s="27" t="s">
        <v>77</v>
      </c>
      <c r="D32" s="373">
        <v>593035</v>
      </c>
      <c r="E32" s="374">
        <v>0</v>
      </c>
      <c r="F32" s="374">
        <v>588192.43000000005</v>
      </c>
      <c r="G32" s="374">
        <f>D32-F32</f>
        <v>4842.5699999999488</v>
      </c>
      <c r="H32" s="43">
        <f t="shared" si="3"/>
        <v>0.9918342593607461</v>
      </c>
      <c r="I32" s="40">
        <f t="shared" si="2"/>
        <v>1</v>
      </c>
    </row>
    <row r="33" spans="1:10">
      <c r="A33" s="42" t="s">
        <v>78</v>
      </c>
      <c r="B33" s="27" t="s">
        <v>79</v>
      </c>
      <c r="D33" s="373">
        <v>6781617</v>
      </c>
      <c r="E33" s="374">
        <v>3714509.11</v>
      </c>
      <c r="F33" s="374">
        <v>4597256.72</v>
      </c>
      <c r="G33" s="374">
        <f>D33-F33</f>
        <v>2184360.2800000003</v>
      </c>
      <c r="H33" s="43">
        <f t="shared" si="3"/>
        <v>0.67789978702719422</v>
      </c>
      <c r="I33" s="40">
        <f t="shared" si="2"/>
        <v>1</v>
      </c>
    </row>
    <row r="34" spans="1:10">
      <c r="A34" s="42" t="s">
        <v>80</v>
      </c>
      <c r="B34" s="27" t="s">
        <v>81</v>
      </c>
      <c r="D34" s="373">
        <v>32000</v>
      </c>
      <c r="E34" s="374">
        <v>0</v>
      </c>
      <c r="F34" s="374">
        <v>16999</v>
      </c>
      <c r="G34" s="374">
        <f>D34-F34</f>
        <v>15001</v>
      </c>
      <c r="H34" s="43">
        <f>F34/D34</f>
        <v>0.53121874999999996</v>
      </c>
      <c r="I34" s="40">
        <f t="shared" si="2"/>
        <v>1</v>
      </c>
    </row>
    <row r="35" spans="1:10">
      <c r="A35" s="42" t="s">
        <v>247</v>
      </c>
      <c r="B35" s="237" t="s">
        <v>248</v>
      </c>
      <c r="D35" s="375">
        <v>245000</v>
      </c>
      <c r="E35" s="376">
        <v>0</v>
      </c>
      <c r="F35" s="376">
        <v>230644.11</v>
      </c>
      <c r="G35" s="456">
        <f>D35-F35</f>
        <v>14355.890000000014</v>
      </c>
      <c r="H35" s="457">
        <f>F35/D35</f>
        <v>0.94140453061224483</v>
      </c>
      <c r="I35" s="455">
        <f t="shared" si="2"/>
        <v>1</v>
      </c>
    </row>
    <row r="36" spans="1:10">
      <c r="A36" s="34" t="s">
        <v>31</v>
      </c>
      <c r="D36" s="372">
        <f>SUM(D16:D35)</f>
        <v>56715325</v>
      </c>
      <c r="E36" s="236">
        <f>SUM(E16:E35)</f>
        <v>7870242.2199999997</v>
      </c>
      <c r="F36" s="236">
        <f>SUM(F16:F35)</f>
        <v>52171267.369999997</v>
      </c>
      <c r="G36" s="236">
        <f>SUM(G16:G35)</f>
        <v>4544057.63</v>
      </c>
      <c r="H36" s="44">
        <f>F36/D36</f>
        <v>0.91987954525518456</v>
      </c>
      <c r="I36" s="41">
        <f>I16</f>
        <v>1</v>
      </c>
    </row>
    <row r="37" spans="1:10">
      <c r="D37" s="234"/>
      <c r="E37" s="234"/>
      <c r="F37" s="234"/>
      <c r="G37" s="234"/>
      <c r="I37" s="40"/>
    </row>
    <row r="38" spans="1:10">
      <c r="B38" s="34" t="s">
        <v>82</v>
      </c>
      <c r="D38" s="234"/>
      <c r="E38" s="234"/>
      <c r="F38" s="234"/>
      <c r="G38" s="234"/>
      <c r="I38" s="45"/>
    </row>
    <row r="39" spans="1:10">
      <c r="A39" s="26">
        <v>7910</v>
      </c>
      <c r="B39" s="27" t="s">
        <v>83</v>
      </c>
      <c r="D39" s="234">
        <v>4786485</v>
      </c>
      <c r="E39" s="234">
        <v>0</v>
      </c>
      <c r="F39" s="234">
        <f>4786484.95+341448.81</f>
        <v>5127933.76</v>
      </c>
      <c r="G39" s="234"/>
      <c r="I39" s="45"/>
    </row>
    <row r="40" spans="1:10">
      <c r="A40" s="26">
        <v>8910</v>
      </c>
      <c r="B40" s="27" t="s">
        <v>84</v>
      </c>
      <c r="D40" s="235">
        <v>0</v>
      </c>
      <c r="E40" s="235">
        <v>0</v>
      </c>
      <c r="F40" s="235">
        <v>0</v>
      </c>
      <c r="G40" s="234"/>
      <c r="I40" s="45" t="s">
        <v>85</v>
      </c>
    </row>
    <row r="41" spans="1:10">
      <c r="A41" s="34" t="s">
        <v>86</v>
      </c>
      <c r="D41" s="234">
        <f>+D39-D40</f>
        <v>4786485</v>
      </c>
      <c r="E41" s="234">
        <f>+E39-E40</f>
        <v>0</v>
      </c>
      <c r="F41" s="234">
        <f>+F39-F40</f>
        <v>5127933.76</v>
      </c>
      <c r="G41" s="234"/>
      <c r="I41" s="45"/>
      <c r="J41" s="46"/>
    </row>
    <row r="42" spans="1:10">
      <c r="D42" s="234"/>
      <c r="E42" s="234"/>
      <c r="F42" s="234"/>
      <c r="G42" s="234"/>
      <c r="I42" s="45"/>
    </row>
    <row r="43" spans="1:10">
      <c r="A43" s="42" t="s">
        <v>87</v>
      </c>
      <c r="B43" s="465" t="s">
        <v>330</v>
      </c>
      <c r="C43" s="466"/>
      <c r="D43" s="467">
        <v>18299265</v>
      </c>
      <c r="E43" s="235">
        <v>0</v>
      </c>
      <c r="F43" s="235">
        <f>D43</f>
        <v>18299265</v>
      </c>
      <c r="G43" s="234"/>
      <c r="I43" s="45"/>
    </row>
    <row r="44" spans="1:10">
      <c r="D44" s="234"/>
      <c r="E44" s="234"/>
      <c r="F44" s="234"/>
      <c r="G44" s="234"/>
      <c r="I44" s="45"/>
      <c r="J44" s="46"/>
    </row>
    <row r="45" spans="1:10">
      <c r="A45" s="26">
        <v>3000</v>
      </c>
      <c r="B45" s="377" t="s">
        <v>88</v>
      </c>
      <c r="C45" s="378"/>
      <c r="D45" s="233">
        <f>(D13-D36)+D41+D43</f>
        <v>13039616</v>
      </c>
      <c r="E45" s="233"/>
      <c r="F45" s="233">
        <f>(F13-F36)+F41+F43</f>
        <v>22034686.239999995</v>
      </c>
      <c r="G45" s="234"/>
      <c r="I45" s="45"/>
    </row>
    <row r="46" spans="1:10">
      <c r="I46" s="45"/>
    </row>
    <row r="47" spans="1:10">
      <c r="D47" s="234"/>
      <c r="I47" s="45"/>
    </row>
    <row r="48" spans="1:10">
      <c r="D48" s="234"/>
      <c r="F48" s="234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79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10" type="noConversion"/>
  <printOptions horizontalCentered="1"/>
  <pageMargins left="0" right="0" top="1" bottom="1" header="0.5" footer="0.5"/>
  <pageSetup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N42" activePane="bottomRight" state="frozen"/>
      <selection pane="topRight" activeCell="C1" sqref="C1"/>
      <selection pane="bottomLeft" activeCell="A7" sqref="A7"/>
      <selection pane="bottomRight" activeCell="Y51" sqref="Y51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5" customWidth="1"/>
    <col min="5" max="5" width="14.140625" style="182" bestFit="1" customWidth="1"/>
    <col min="6" max="6" width="0.85546875" style="255" customWidth="1"/>
    <col min="7" max="7" width="14.140625" style="182" bestFit="1" customWidth="1"/>
    <col min="8" max="8" width="0.85546875" style="255" customWidth="1"/>
    <col min="9" max="9" width="14.140625" style="182" bestFit="1" customWidth="1"/>
    <col min="10" max="10" width="0.85546875" style="255" customWidth="1"/>
    <col min="11" max="11" width="14.140625" style="182" bestFit="1" customWidth="1"/>
    <col min="12" max="12" width="0.85546875" style="255" customWidth="1"/>
    <col min="13" max="13" width="14.7109375" style="182" customWidth="1"/>
    <col min="14" max="14" width="0.85546875" style="255" customWidth="1"/>
    <col min="15" max="15" width="14.140625" style="182" bestFit="1" customWidth="1"/>
    <col min="16" max="16" width="0.85546875" style="255" customWidth="1"/>
    <col min="17" max="17" width="14.140625" style="182" bestFit="1" customWidth="1"/>
    <col min="18" max="18" width="0.85546875" style="255" customWidth="1"/>
    <col min="19" max="19" width="14.140625" style="182" bestFit="1" customWidth="1"/>
    <col min="20" max="20" width="0.85546875" style="255" customWidth="1"/>
    <col min="21" max="21" width="14.140625" style="182" customWidth="1"/>
    <col min="22" max="22" width="0.85546875" style="255" customWidth="1"/>
    <col min="23" max="23" width="14.140625" style="182" customWidth="1"/>
    <col min="24" max="24" width="0.85546875" style="255" customWidth="1"/>
    <col min="25" max="25" width="14.140625" style="182" customWidth="1"/>
    <col min="26" max="26" width="0.140625" style="182" hidden="1" customWidth="1"/>
    <col min="27" max="27" width="0.85546875" style="255" customWidth="1"/>
    <col min="28" max="28" width="15" style="182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236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251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8" t="s">
        <v>320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89</v>
      </c>
      <c r="D5" s="263"/>
      <c r="E5" s="243" t="s">
        <v>90</v>
      </c>
      <c r="F5" s="263"/>
      <c r="G5" s="243" t="s">
        <v>91</v>
      </c>
      <c r="H5" s="263"/>
      <c r="I5" s="243" t="s">
        <v>92</v>
      </c>
      <c r="J5" s="263"/>
      <c r="K5" s="243" t="s">
        <v>93</v>
      </c>
      <c r="L5" s="263"/>
      <c r="M5" s="243" t="s">
        <v>94</v>
      </c>
      <c r="N5" s="263"/>
      <c r="O5" s="243" t="s">
        <v>95</v>
      </c>
      <c r="P5" s="263"/>
      <c r="Q5" s="243" t="s">
        <v>96</v>
      </c>
      <c r="R5" s="263"/>
      <c r="S5" s="243" t="s">
        <v>97</v>
      </c>
      <c r="T5" s="263"/>
      <c r="U5" s="243" t="s">
        <v>98</v>
      </c>
      <c r="V5" s="263"/>
      <c r="W5" s="243" t="s">
        <v>99</v>
      </c>
      <c r="X5" s="263"/>
      <c r="Y5" s="243" t="s">
        <v>100</v>
      </c>
      <c r="Z5" s="183"/>
      <c r="AA5" s="266"/>
      <c r="AB5" s="243" t="s">
        <v>47</v>
      </c>
    </row>
    <row r="6" spans="1:28">
      <c r="B6" s="49"/>
      <c r="C6" s="247" t="s">
        <v>101</v>
      </c>
      <c r="D6" s="263"/>
      <c r="E6" s="247" t="s">
        <v>101</v>
      </c>
      <c r="F6" s="263"/>
      <c r="G6" s="247" t="s">
        <v>101</v>
      </c>
      <c r="H6" s="263"/>
      <c r="I6" s="247" t="s">
        <v>101</v>
      </c>
      <c r="J6" s="263"/>
      <c r="K6" s="247" t="s">
        <v>101</v>
      </c>
      <c r="L6" s="263"/>
      <c r="M6" s="247" t="s">
        <v>101</v>
      </c>
      <c r="N6" s="263"/>
      <c r="O6" s="247" t="s">
        <v>101</v>
      </c>
      <c r="P6" s="263"/>
      <c r="Q6" s="247" t="s">
        <v>101</v>
      </c>
      <c r="R6" s="263"/>
      <c r="S6" s="247" t="s">
        <v>101</v>
      </c>
      <c r="T6" s="263"/>
      <c r="U6" s="247" t="s">
        <v>101</v>
      </c>
      <c r="V6" s="263"/>
      <c r="W6" s="247" t="s">
        <v>101</v>
      </c>
      <c r="X6" s="263"/>
      <c r="Y6" s="247" t="s">
        <v>101</v>
      </c>
      <c r="Z6" s="183"/>
      <c r="AB6" s="248"/>
    </row>
    <row r="7" spans="1:28">
      <c r="A7" s="51" t="s">
        <v>102</v>
      </c>
      <c r="B7" s="49"/>
      <c r="C7" s="249">
        <v>14791366.019999992</v>
      </c>
      <c r="D7" s="263"/>
      <c r="E7" s="249">
        <f>+C43</f>
        <v>14407213.609999992</v>
      </c>
      <c r="F7" s="263"/>
      <c r="G7" s="249">
        <f>+E43</f>
        <v>14936402.169999991</v>
      </c>
      <c r="H7" s="263"/>
      <c r="I7" s="249">
        <f>+G43</f>
        <v>13296911.00999999</v>
      </c>
      <c r="J7" s="263"/>
      <c r="K7" s="249">
        <f>+I43</f>
        <v>13770897.319999989</v>
      </c>
      <c r="L7" s="263"/>
      <c r="M7" s="249">
        <f>+K43</f>
        <v>25165920.779999986</v>
      </c>
      <c r="N7" s="263"/>
      <c r="O7" s="249">
        <f>+M43</f>
        <v>23218787.269999988</v>
      </c>
      <c r="P7" s="263"/>
      <c r="Q7" s="249">
        <f>+O43</f>
        <v>25301903.519999988</v>
      </c>
      <c r="R7" s="263"/>
      <c r="S7" s="249">
        <f>+Q43</f>
        <v>23836804.319999989</v>
      </c>
      <c r="T7" s="263"/>
      <c r="U7" s="249">
        <f>+S43</f>
        <v>21674690.519999988</v>
      </c>
      <c r="V7" s="263"/>
      <c r="W7" s="249">
        <f>+U43</f>
        <v>16745308.669999987</v>
      </c>
      <c r="X7" s="263"/>
      <c r="Y7" s="249">
        <f>+W43</f>
        <v>17521378.499999989</v>
      </c>
      <c r="Z7" s="183"/>
      <c r="AB7" s="250">
        <f>+C7</f>
        <v>14791366.019999992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103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104</v>
      </c>
      <c r="B10" s="49"/>
      <c r="C10" s="182">
        <v>16552.45</v>
      </c>
      <c r="D10" s="263"/>
      <c r="E10" s="252">
        <v>276298.84999999998</v>
      </c>
      <c r="F10" s="263"/>
      <c r="G10" s="182">
        <v>780483.82</v>
      </c>
      <c r="H10" s="263"/>
      <c r="I10" s="182">
        <v>3174910.1</v>
      </c>
      <c r="J10" s="263"/>
      <c r="K10" s="182">
        <v>13840865.529999999</v>
      </c>
      <c r="L10" s="263"/>
      <c r="M10" s="182">
        <v>2306629.7000000002</v>
      </c>
      <c r="N10" s="263"/>
      <c r="O10" s="182">
        <v>288712.88</v>
      </c>
      <c r="P10" s="263"/>
      <c r="Q10" s="182">
        <v>117602.55</v>
      </c>
      <c r="R10" s="263"/>
      <c r="S10" s="182">
        <v>87649.22</v>
      </c>
      <c r="T10" s="263"/>
      <c r="U10" s="182">
        <v>261393</v>
      </c>
      <c r="V10" s="263"/>
      <c r="W10" s="182">
        <v>189433.31</v>
      </c>
      <c r="X10" s="263"/>
      <c r="Y10" s="182">
        <v>375809.23</v>
      </c>
      <c r="Z10" s="183"/>
      <c r="AB10" s="250">
        <f>SUM(C10:Y10)</f>
        <v>21716340.639999997</v>
      </c>
    </row>
    <row r="11" spans="1:28">
      <c r="A11" s="50" t="s">
        <v>105</v>
      </c>
      <c r="B11" s="49"/>
      <c r="C11" s="253">
        <v>3047.1</v>
      </c>
      <c r="D11" s="263"/>
      <c r="E11" s="182">
        <v>3309.9</v>
      </c>
      <c r="F11" s="263"/>
      <c r="G11" s="182">
        <v>3366.98</v>
      </c>
      <c r="H11" s="263"/>
      <c r="I11" s="182">
        <v>3468.9</v>
      </c>
      <c r="J11" s="263"/>
      <c r="K11" s="182">
        <v>6423.2</v>
      </c>
      <c r="L11" s="263"/>
      <c r="M11" s="182">
        <v>6420.82</v>
      </c>
      <c r="N11" s="263"/>
      <c r="O11" s="182">
        <v>6558.61</v>
      </c>
      <c r="P11" s="263"/>
      <c r="Q11" s="182">
        <v>6584.98</v>
      </c>
      <c r="R11" s="263"/>
      <c r="S11" s="182">
        <v>6224.86</v>
      </c>
      <c r="T11" s="263"/>
      <c r="U11" s="182">
        <v>5357.86</v>
      </c>
      <c r="V11" s="263"/>
      <c r="W11" s="182">
        <v>4749.46</v>
      </c>
      <c r="X11" s="263"/>
      <c r="Y11" s="182">
        <v>4393.28</v>
      </c>
      <c r="Z11" s="183"/>
      <c r="AB11" s="250">
        <f t="shared" ref="AB11:AB25" si="0">SUM(C11:Y11)</f>
        <v>59905.95</v>
      </c>
    </row>
    <row r="12" spans="1:28">
      <c r="A12" s="50" t="s">
        <v>106</v>
      </c>
      <c r="B12" s="49"/>
      <c r="C12" s="254">
        <v>165479.82999999999</v>
      </c>
      <c r="D12" s="263"/>
      <c r="E12" s="254">
        <v>205890.85</v>
      </c>
      <c r="F12" s="263"/>
      <c r="G12" s="182">
        <f>597397.15-502940</f>
        <v>94457.150000000023</v>
      </c>
      <c r="H12" s="263"/>
      <c r="I12" s="182">
        <v>974360.17</v>
      </c>
      <c r="J12" s="263"/>
      <c r="K12" s="253">
        <v>75955.72</v>
      </c>
      <c r="L12" s="263"/>
      <c r="M12" s="254">
        <v>79775.759999999995</v>
      </c>
      <c r="N12" s="263"/>
      <c r="O12" s="182">
        <v>82795.960000000006</v>
      </c>
      <c r="P12" s="263"/>
      <c r="Q12" s="182">
        <v>162186.99</v>
      </c>
      <c r="R12" s="263"/>
      <c r="S12" s="182">
        <v>124782.46</v>
      </c>
      <c r="T12" s="263"/>
      <c r="U12" s="182">
        <v>107048.57</v>
      </c>
      <c r="V12" s="263"/>
      <c r="W12" s="182">
        <v>1894705.92</v>
      </c>
      <c r="X12" s="263"/>
      <c r="Y12" s="182">
        <v>147184.97</v>
      </c>
      <c r="Z12" s="183"/>
      <c r="AB12" s="250">
        <f t="shared" si="0"/>
        <v>4114624.35</v>
      </c>
    </row>
    <row r="13" spans="1:28">
      <c r="A13" s="50" t="s">
        <v>107</v>
      </c>
      <c r="B13" s="49"/>
      <c r="C13" s="182">
        <v>0</v>
      </c>
      <c r="D13" s="263"/>
      <c r="E13" s="182">
        <v>0</v>
      </c>
      <c r="F13" s="263"/>
      <c r="G13" s="182">
        <v>0</v>
      </c>
      <c r="H13" s="263"/>
      <c r="I13" s="182">
        <v>172055</v>
      </c>
      <c r="J13" s="263"/>
      <c r="K13" s="182">
        <v>54099</v>
      </c>
      <c r="L13" s="263"/>
      <c r="M13" s="182">
        <v>54099</v>
      </c>
      <c r="N13" s="263"/>
      <c r="O13" s="182">
        <v>255518</v>
      </c>
      <c r="P13" s="263"/>
      <c r="Q13" s="182">
        <v>178452</v>
      </c>
      <c r="R13" s="263"/>
      <c r="S13" s="182">
        <v>170124</v>
      </c>
      <c r="T13" s="263"/>
      <c r="U13" s="182">
        <v>268373</v>
      </c>
      <c r="V13" s="263"/>
      <c r="W13" s="182">
        <v>173323</v>
      </c>
      <c r="X13" s="263"/>
      <c r="Y13" s="182">
        <v>251315</v>
      </c>
      <c r="Z13" s="183"/>
      <c r="AB13" s="250">
        <f t="shared" si="0"/>
        <v>1577358</v>
      </c>
    </row>
    <row r="14" spans="1:28">
      <c r="A14" s="50" t="s">
        <v>108</v>
      </c>
      <c r="B14" s="49"/>
      <c r="C14" s="182">
        <v>4223738</v>
      </c>
      <c r="E14" s="182">
        <v>3453991</v>
      </c>
      <c r="F14" s="263"/>
      <c r="G14" s="182">
        <v>1813023</v>
      </c>
      <c r="H14" s="263"/>
      <c r="I14" s="182">
        <v>0</v>
      </c>
      <c r="J14" s="263"/>
      <c r="K14" s="182">
        <v>0</v>
      </c>
      <c r="L14" s="263"/>
      <c r="M14" s="182">
        <v>0</v>
      </c>
      <c r="N14" s="263"/>
      <c r="O14" s="182">
        <v>0</v>
      </c>
      <c r="P14" s="263"/>
      <c r="Q14" s="182">
        <v>1403701</v>
      </c>
      <c r="R14" s="263"/>
      <c r="S14" s="182">
        <v>929323</v>
      </c>
      <c r="T14" s="263"/>
      <c r="U14" s="182">
        <v>1862588</v>
      </c>
      <c r="V14" s="263"/>
      <c r="W14" s="182">
        <v>2421846</v>
      </c>
      <c r="X14" s="263"/>
      <c r="Y14" s="182">
        <v>2766033</v>
      </c>
      <c r="Z14" s="183"/>
      <c r="AB14" s="250">
        <f t="shared" si="0"/>
        <v>18874243</v>
      </c>
    </row>
    <row r="15" spans="1:28">
      <c r="A15" s="50" t="s">
        <v>109</v>
      </c>
      <c r="B15" s="49"/>
      <c r="C15" s="182">
        <v>0</v>
      </c>
      <c r="E15" s="182">
        <v>0</v>
      </c>
      <c r="F15" s="263"/>
      <c r="G15" s="182">
        <v>0</v>
      </c>
      <c r="H15" s="263"/>
      <c r="I15" s="182">
        <v>690749</v>
      </c>
      <c r="J15" s="263"/>
      <c r="K15" s="182">
        <v>0</v>
      </c>
      <c r="L15" s="263"/>
      <c r="M15" s="254">
        <v>0</v>
      </c>
      <c r="N15" s="263"/>
      <c r="O15" s="182">
        <v>0</v>
      </c>
      <c r="P15" s="263"/>
      <c r="Q15" s="182">
        <v>0</v>
      </c>
      <c r="R15" s="263"/>
      <c r="S15" s="182">
        <v>7</v>
      </c>
      <c r="T15" s="263"/>
      <c r="U15" s="182">
        <v>0</v>
      </c>
      <c r="V15" s="263"/>
      <c r="W15" s="182">
        <v>0</v>
      </c>
      <c r="X15" s="263"/>
      <c r="Y15" s="182">
        <v>0</v>
      </c>
      <c r="Z15" s="183"/>
      <c r="AB15" s="250">
        <f t="shared" si="0"/>
        <v>690756</v>
      </c>
    </row>
    <row r="16" spans="1:28">
      <c r="A16" s="50" t="s">
        <v>110</v>
      </c>
      <c r="B16" s="49"/>
      <c r="C16" s="182">
        <v>184362.34</v>
      </c>
      <c r="E16" s="254">
        <v>154005.31</v>
      </c>
      <c r="F16" s="263"/>
      <c r="G16" s="182">
        <v>0</v>
      </c>
      <c r="H16" s="263"/>
      <c r="I16" s="182">
        <v>23762.02</v>
      </c>
      <c r="J16" s="263"/>
      <c r="K16" s="182">
        <v>0</v>
      </c>
      <c r="L16" s="263"/>
      <c r="M16" s="182">
        <v>5450</v>
      </c>
      <c r="N16" s="263"/>
      <c r="O16" s="182">
        <v>29085.24</v>
      </c>
      <c r="P16" s="263"/>
      <c r="Q16" s="182">
        <v>0</v>
      </c>
      <c r="R16" s="263"/>
      <c r="S16" s="182">
        <v>5672.3</v>
      </c>
      <c r="T16" s="263"/>
      <c r="U16" s="182">
        <v>11373</v>
      </c>
      <c r="V16" s="263"/>
      <c r="W16" s="182">
        <v>93588.49</v>
      </c>
      <c r="X16" s="263"/>
      <c r="Y16" s="182">
        <v>10101.75</v>
      </c>
      <c r="Z16" s="183"/>
      <c r="AB16" s="250">
        <f t="shared" si="0"/>
        <v>517400.45</v>
      </c>
    </row>
    <row r="17" spans="1:28">
      <c r="A17" s="50" t="s">
        <v>111</v>
      </c>
      <c r="B17" s="49"/>
      <c r="C17" s="182">
        <v>1134.5999999999999</v>
      </c>
      <c r="D17" s="263"/>
      <c r="E17" s="182">
        <v>26715.25</v>
      </c>
      <c r="F17" s="263"/>
      <c r="G17" s="182">
        <v>12112.81</v>
      </c>
      <c r="H17" s="263"/>
      <c r="I17" s="182">
        <v>19092.490000000002</v>
      </c>
      <c r="J17" s="263"/>
      <c r="K17" s="182">
        <v>10840.33</v>
      </c>
      <c r="L17" s="263"/>
      <c r="M17" s="255">
        <v>11243.38</v>
      </c>
      <c r="N17" s="263"/>
      <c r="O17" s="182">
        <v>26550.14</v>
      </c>
      <c r="P17" s="263"/>
      <c r="Q17" s="182">
        <v>12758.54</v>
      </c>
      <c r="R17" s="263"/>
      <c r="S17" s="182">
        <v>51085.22</v>
      </c>
      <c r="T17" s="263"/>
      <c r="U17" s="252">
        <v>25912.75</v>
      </c>
      <c r="V17" s="263"/>
      <c r="W17" s="182">
        <v>3500.07</v>
      </c>
      <c r="X17" s="263"/>
      <c r="Y17" s="182">
        <v>6195.68</v>
      </c>
      <c r="Z17" s="183"/>
      <c r="AB17" s="250">
        <f t="shared" si="0"/>
        <v>207141.26</v>
      </c>
    </row>
    <row r="18" spans="1:28">
      <c r="A18" s="50" t="s">
        <v>112</v>
      </c>
      <c r="B18" s="49"/>
      <c r="C18" s="182">
        <v>69753.240000000005</v>
      </c>
      <c r="D18" s="263"/>
      <c r="E18" s="182">
        <v>97205.78</v>
      </c>
      <c r="F18" s="263"/>
      <c r="G18" s="182">
        <v>38357.61</v>
      </c>
      <c r="H18" s="263"/>
      <c r="I18" s="182">
        <v>78177.009999999995</v>
      </c>
      <c r="J18" s="263"/>
      <c r="K18" s="253">
        <v>237220.9</v>
      </c>
      <c r="L18" s="263"/>
      <c r="M18" s="182">
        <v>120746.73</v>
      </c>
      <c r="N18" s="263"/>
      <c r="O18" s="182">
        <v>105268.42</v>
      </c>
      <c r="P18" s="263"/>
      <c r="Q18" s="182">
        <v>515924.34</v>
      </c>
      <c r="R18" s="263"/>
      <c r="S18" s="182">
        <v>115314</v>
      </c>
      <c r="T18" s="263"/>
      <c r="U18" s="252">
        <v>106408.23</v>
      </c>
      <c r="V18" s="263"/>
      <c r="W18" s="182">
        <v>124256.02</v>
      </c>
      <c r="X18" s="263"/>
      <c r="Y18" s="182">
        <v>146720.70000000001</v>
      </c>
      <c r="Z18" s="183"/>
      <c r="AB18" s="250">
        <f t="shared" si="0"/>
        <v>1755352.98</v>
      </c>
    </row>
    <row r="19" spans="1:28">
      <c r="A19" s="50" t="s">
        <v>113</v>
      </c>
      <c r="B19" s="49"/>
      <c r="C19" s="182">
        <v>43584.13</v>
      </c>
      <c r="D19" s="263"/>
      <c r="E19" s="182">
        <v>199615.17</v>
      </c>
      <c r="F19" s="263"/>
      <c r="G19" s="182">
        <v>216801.86</v>
      </c>
      <c r="H19" s="263"/>
      <c r="I19" s="182">
        <v>163543.13</v>
      </c>
      <c r="J19" s="263"/>
      <c r="K19" s="182">
        <v>121978.87</v>
      </c>
      <c r="L19" s="263"/>
      <c r="M19" s="182">
        <v>182497.18</v>
      </c>
      <c r="N19" s="263"/>
      <c r="O19" s="182">
        <v>202274.48</v>
      </c>
      <c r="P19" s="263"/>
      <c r="Q19" s="182">
        <v>154283.81</v>
      </c>
      <c r="R19" s="263"/>
      <c r="S19" s="182">
        <v>218007.43</v>
      </c>
      <c r="T19" s="263"/>
      <c r="U19" s="182">
        <v>211882.3</v>
      </c>
      <c r="V19" s="263"/>
      <c r="W19" s="182">
        <v>48779.59</v>
      </c>
      <c r="X19" s="263"/>
      <c r="Y19" s="182">
        <v>0</v>
      </c>
      <c r="Z19" s="183"/>
      <c r="AB19" s="250">
        <f t="shared" si="0"/>
        <v>1763247.9500000002</v>
      </c>
    </row>
    <row r="20" spans="1:28">
      <c r="A20" s="50" t="s">
        <v>114</v>
      </c>
      <c r="B20" s="49"/>
      <c r="C20" s="182">
        <v>123066.04</v>
      </c>
      <c r="D20" s="263"/>
      <c r="E20" s="252">
        <v>151268.42000000001</v>
      </c>
      <c r="F20" s="263"/>
      <c r="G20" s="182">
        <v>119174.59</v>
      </c>
      <c r="H20" s="263"/>
      <c r="I20" s="182">
        <v>78919.33</v>
      </c>
      <c r="J20" s="263"/>
      <c r="K20" s="182">
        <v>118731.68</v>
      </c>
      <c r="L20" s="263"/>
      <c r="M20" s="254">
        <v>124641.02</v>
      </c>
      <c r="N20" s="263"/>
      <c r="O20" s="182">
        <v>122148.83</v>
      </c>
      <c r="P20" s="263"/>
      <c r="Q20" s="182">
        <v>137048.01999999999</v>
      </c>
      <c r="R20" s="263"/>
      <c r="S20" s="182">
        <v>127400.47</v>
      </c>
      <c r="T20" s="263"/>
      <c r="U20" s="182">
        <v>22736.07</v>
      </c>
      <c r="V20" s="263"/>
      <c r="W20" s="182">
        <v>568.73</v>
      </c>
      <c r="X20" s="263"/>
      <c r="Y20" s="182">
        <v>64060.160000000003</v>
      </c>
      <c r="Z20" s="183"/>
      <c r="AB20" s="250">
        <f t="shared" si="0"/>
        <v>1189763.3600000001</v>
      </c>
    </row>
    <row r="21" spans="1:28">
      <c r="A21" s="242" t="s">
        <v>250</v>
      </c>
      <c r="B21" s="49"/>
      <c r="C21" s="182">
        <v>380.84</v>
      </c>
      <c r="D21" s="263"/>
      <c r="E21" s="252">
        <v>205.55</v>
      </c>
      <c r="F21" s="263"/>
      <c r="G21" s="182">
        <v>200</v>
      </c>
      <c r="H21" s="263"/>
      <c r="I21" s="182">
        <v>36.42</v>
      </c>
      <c r="J21" s="263"/>
      <c r="K21" s="182">
        <v>1859.8</v>
      </c>
      <c r="L21" s="263"/>
      <c r="M21" s="254">
        <v>0</v>
      </c>
      <c r="N21" s="263"/>
      <c r="O21" s="182">
        <v>1446.83</v>
      </c>
      <c r="P21" s="263"/>
      <c r="Q21" s="182">
        <v>1098</v>
      </c>
      <c r="R21" s="263"/>
      <c r="S21" s="182">
        <v>1098</v>
      </c>
      <c r="T21" s="263"/>
      <c r="U21" s="182">
        <v>1098</v>
      </c>
      <c r="V21" s="263"/>
      <c r="W21" s="182">
        <v>0</v>
      </c>
      <c r="X21" s="263"/>
      <c r="Y21" s="182">
        <v>0</v>
      </c>
      <c r="Z21" s="183"/>
      <c r="AB21" s="250">
        <f t="shared" si="0"/>
        <v>7423.44</v>
      </c>
    </row>
    <row r="22" spans="1:28">
      <c r="A22" s="242" t="s">
        <v>331</v>
      </c>
      <c r="B22" s="49"/>
      <c r="D22" s="263"/>
      <c r="E22" s="252"/>
      <c r="F22" s="263"/>
      <c r="H22" s="263"/>
      <c r="J22" s="263"/>
      <c r="L22" s="263"/>
      <c r="M22" s="254"/>
      <c r="N22" s="263"/>
      <c r="O22" s="182">
        <v>4720984.13</v>
      </c>
      <c r="P22" s="263"/>
      <c r="Q22" s="182">
        <v>0</v>
      </c>
      <c r="R22" s="263"/>
      <c r="S22" s="182">
        <v>0</v>
      </c>
      <c r="T22" s="263"/>
      <c r="U22" s="182">
        <v>0</v>
      </c>
      <c r="V22" s="263"/>
      <c r="W22" s="182">
        <v>0</v>
      </c>
      <c r="X22" s="263"/>
      <c r="Y22" s="182">
        <v>0</v>
      </c>
      <c r="Z22" s="183"/>
      <c r="AB22" s="250">
        <f t="shared" si="0"/>
        <v>4720984.13</v>
      </c>
    </row>
    <row r="23" spans="1:28">
      <c r="A23" s="242" t="s">
        <v>310</v>
      </c>
      <c r="B23" s="49"/>
      <c r="C23" s="182">
        <v>7825</v>
      </c>
      <c r="D23" s="263"/>
      <c r="E23" s="252">
        <v>0</v>
      </c>
      <c r="F23" s="263"/>
      <c r="G23" s="182">
        <v>0</v>
      </c>
      <c r="H23" s="263"/>
      <c r="I23" s="182">
        <v>0</v>
      </c>
      <c r="J23" s="263"/>
      <c r="K23" s="182">
        <v>0</v>
      </c>
      <c r="L23" s="263"/>
      <c r="M23" s="254">
        <v>2500</v>
      </c>
      <c r="N23" s="263"/>
      <c r="O23" s="182">
        <v>5000</v>
      </c>
      <c r="P23" s="263"/>
      <c r="Q23" s="182">
        <v>1300</v>
      </c>
      <c r="R23" s="263"/>
      <c r="S23" s="182">
        <v>0</v>
      </c>
      <c r="T23" s="263"/>
      <c r="U23" s="182">
        <v>0</v>
      </c>
      <c r="V23" s="263"/>
      <c r="W23" s="182">
        <v>0</v>
      </c>
      <c r="X23" s="263"/>
      <c r="Y23" s="182">
        <v>0</v>
      </c>
      <c r="Z23" s="183"/>
      <c r="AB23" s="250">
        <f t="shared" si="0"/>
        <v>16625</v>
      </c>
    </row>
    <row r="24" spans="1:28">
      <c r="A24" s="50" t="s">
        <v>115</v>
      </c>
      <c r="B24" s="49"/>
      <c r="C24" s="248">
        <v>180602.25</v>
      </c>
      <c r="D24" s="263"/>
      <c r="E24" s="248">
        <v>503445.55</v>
      </c>
      <c r="F24" s="263"/>
      <c r="G24" s="248">
        <v>636798.82999999996</v>
      </c>
      <c r="H24" s="263"/>
      <c r="I24" s="248">
        <v>762543.44</v>
      </c>
      <c r="J24" s="263"/>
      <c r="K24" s="248">
        <v>915532.11</v>
      </c>
      <c r="L24" s="263"/>
      <c r="M24" s="248">
        <v>0</v>
      </c>
      <c r="N24" s="263"/>
      <c r="O24" s="248">
        <v>2972175.67</v>
      </c>
      <c r="P24" s="263"/>
      <c r="Q24" s="248">
        <v>1307221.27</v>
      </c>
      <c r="R24" s="263"/>
      <c r="S24" s="248">
        <v>1829091.68</v>
      </c>
      <c r="T24" s="263"/>
      <c r="U24" s="248">
        <v>0</v>
      </c>
      <c r="V24" s="263"/>
      <c r="W24" s="248">
        <v>2755443.07</v>
      </c>
      <c r="X24" s="263"/>
      <c r="Y24" s="248">
        <v>1384400.2</v>
      </c>
      <c r="Z24" s="183"/>
      <c r="AB24" s="256">
        <f t="shared" si="0"/>
        <v>13247254.069999998</v>
      </c>
    </row>
    <row r="25" spans="1:28">
      <c r="A25" s="50" t="s">
        <v>116</v>
      </c>
      <c r="B25" s="49"/>
      <c r="C25" s="249">
        <f>SUM(C10:C24)</f>
        <v>5019525.8199999994</v>
      </c>
      <c r="D25" s="263"/>
      <c r="E25" s="249">
        <f>SUM(E10:E24)</f>
        <v>5071951.63</v>
      </c>
      <c r="F25" s="263"/>
      <c r="G25" s="249">
        <f>SUM(G10:G24)</f>
        <v>3714776.65</v>
      </c>
      <c r="H25" s="263"/>
      <c r="I25" s="249">
        <f>SUM(I10:I24)</f>
        <v>6141617.0099999998</v>
      </c>
      <c r="J25" s="263"/>
      <c r="K25" s="249">
        <f>SUM(K10:K24)</f>
        <v>15383507.139999999</v>
      </c>
      <c r="L25" s="263"/>
      <c r="M25" s="249">
        <f>SUM(M10:M24)</f>
        <v>2894003.59</v>
      </c>
      <c r="N25" s="263"/>
      <c r="O25" s="249">
        <f>SUM(O10:O24)</f>
        <v>8818519.1899999995</v>
      </c>
      <c r="P25" s="263"/>
      <c r="Q25" s="249">
        <f>SUM(Q10:Q24)</f>
        <v>3998161.5</v>
      </c>
      <c r="R25" s="263"/>
      <c r="S25" s="249">
        <f>SUM(S10:S24)</f>
        <v>3665779.6399999997</v>
      </c>
      <c r="T25" s="263"/>
      <c r="U25" s="249">
        <f>SUM(U10:U24)</f>
        <v>2884170.7799999993</v>
      </c>
      <c r="V25" s="263"/>
      <c r="W25" s="249">
        <f>SUM(W10:W24)</f>
        <v>7710193.6600000001</v>
      </c>
      <c r="X25" s="263"/>
      <c r="Y25" s="249">
        <f>SUM(Y10:Y24)</f>
        <v>5156213.9700000007</v>
      </c>
      <c r="Z25" s="183"/>
      <c r="AB25" s="182">
        <f t="shared" si="0"/>
        <v>70458420.579999998</v>
      </c>
    </row>
    <row r="26" spans="1:28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28">
      <c r="A27" s="52" t="s">
        <v>117</v>
      </c>
      <c r="B27" s="49"/>
      <c r="D27" s="263"/>
      <c r="F27" s="263"/>
      <c r="H27" s="263"/>
      <c r="J27" s="263"/>
      <c r="L27" s="263"/>
      <c r="N27" s="263"/>
      <c r="P27" s="263"/>
      <c r="R27" s="263"/>
      <c r="T27" s="263"/>
      <c r="V27" s="263"/>
      <c r="X27" s="263"/>
      <c r="Z27" s="183"/>
    </row>
    <row r="28" spans="1:28">
      <c r="A28" s="50" t="s">
        <v>118</v>
      </c>
      <c r="B28" s="49"/>
      <c r="C28" s="182">
        <v>2149254.62</v>
      </c>
      <c r="D28" s="263"/>
      <c r="E28" s="252">
        <v>2225057.7000000002</v>
      </c>
      <c r="F28" s="263"/>
      <c r="G28" s="182">
        <v>2287328.61</v>
      </c>
      <c r="H28" s="263"/>
      <c r="I28" s="182">
        <v>2243286.59</v>
      </c>
      <c r="J28" s="263"/>
      <c r="K28" s="182">
        <v>2209860.5099999998</v>
      </c>
      <c r="L28" s="263"/>
      <c r="M28" s="182">
        <v>2234338.33</v>
      </c>
      <c r="N28" s="263"/>
      <c r="O28" s="182">
        <v>2216376.83</v>
      </c>
      <c r="P28" s="263"/>
      <c r="Q28" s="182">
        <v>2207618.2599999998</v>
      </c>
      <c r="R28" s="263"/>
      <c r="S28" s="182">
        <v>2289747.54</v>
      </c>
      <c r="T28" s="263"/>
      <c r="U28" s="182">
        <v>2296086.2200000002</v>
      </c>
      <c r="V28" s="263"/>
      <c r="W28" s="182">
        <v>2393596.27</v>
      </c>
      <c r="X28" s="263"/>
      <c r="Y28" s="182">
        <v>2171046.4500000002</v>
      </c>
      <c r="Z28" s="183"/>
      <c r="AB28" s="250">
        <f t="shared" ref="AB28:AB33" si="1">SUM(C28:Y28)</f>
        <v>26923597.929999996</v>
      </c>
    </row>
    <row r="29" spans="1:28">
      <c r="A29" s="50" t="s">
        <v>119</v>
      </c>
      <c r="B29" s="49"/>
      <c r="C29" s="253">
        <v>2402522.19</v>
      </c>
      <c r="D29" s="263"/>
      <c r="E29" s="257">
        <v>1458317.28</v>
      </c>
      <c r="F29" s="263"/>
      <c r="G29" s="182">
        <f>2695776.27-502940</f>
        <v>2192836.27</v>
      </c>
      <c r="H29" s="263"/>
      <c r="I29" s="182">
        <v>1869192.12</v>
      </c>
      <c r="J29" s="263"/>
      <c r="K29" s="182">
        <v>921749.23</v>
      </c>
      <c r="L29" s="263"/>
      <c r="M29" s="182">
        <v>1749813.5</v>
      </c>
      <c r="N29" s="182"/>
      <c r="O29" s="182">
        <v>3671876.35</v>
      </c>
      <c r="P29" s="182"/>
      <c r="Q29" s="182">
        <v>2407267.79</v>
      </c>
      <c r="R29" s="263"/>
      <c r="S29" s="182">
        <v>2665850.7000000002</v>
      </c>
      <c r="T29" s="263"/>
      <c r="U29" s="182">
        <v>4922195.0999999996</v>
      </c>
      <c r="V29" s="263"/>
      <c r="W29" s="182">
        <v>3355892.59</v>
      </c>
      <c r="X29" s="263"/>
      <c r="Y29" s="182">
        <v>4370246.7300000004</v>
      </c>
      <c r="Z29" s="183"/>
      <c r="AB29" s="250">
        <f t="shared" si="1"/>
        <v>31987759.850000001</v>
      </c>
    </row>
    <row r="30" spans="1:28">
      <c r="A30" s="50" t="s">
        <v>120</v>
      </c>
      <c r="B30" s="49"/>
      <c r="C30" s="250">
        <v>541818.77</v>
      </c>
      <c r="D30" s="263"/>
      <c r="E30" s="182">
        <v>547823.62</v>
      </c>
      <c r="F30" s="263"/>
      <c r="G30" s="182">
        <v>555043.49</v>
      </c>
      <c r="H30" s="263"/>
      <c r="I30" s="182">
        <v>550903.39</v>
      </c>
      <c r="J30" s="263"/>
      <c r="K30" s="182">
        <v>551674.28</v>
      </c>
      <c r="L30" s="263"/>
      <c r="M30" s="182">
        <v>550757.22</v>
      </c>
      <c r="N30" s="263"/>
      <c r="O30" s="182">
        <v>543140.01</v>
      </c>
      <c r="P30" s="263"/>
      <c r="Q30" s="182">
        <v>544220.23</v>
      </c>
      <c r="R30" s="263"/>
      <c r="S30" s="182">
        <v>552956.65</v>
      </c>
      <c r="T30" s="263"/>
      <c r="U30" s="182">
        <v>277963.5</v>
      </c>
      <c r="V30" s="263"/>
      <c r="W30" s="182">
        <v>818732.94</v>
      </c>
      <c r="X30" s="263"/>
      <c r="Y30" s="182">
        <v>532500.54</v>
      </c>
      <c r="Z30" s="183"/>
      <c r="AB30" s="250">
        <f t="shared" si="1"/>
        <v>6567534.6399999997</v>
      </c>
    </row>
    <row r="31" spans="1:28">
      <c r="A31" s="50" t="s">
        <v>121</v>
      </c>
      <c r="B31" s="49"/>
      <c r="C31" s="182">
        <v>308289.05</v>
      </c>
      <c r="D31" s="263"/>
      <c r="E31" s="182">
        <v>310565.73</v>
      </c>
      <c r="F31" s="263"/>
      <c r="G31" s="182">
        <v>318036.03999999998</v>
      </c>
      <c r="H31" s="263"/>
      <c r="I31" s="182">
        <v>313427.32</v>
      </c>
      <c r="J31" s="263"/>
      <c r="K31" s="182">
        <v>305064.18</v>
      </c>
      <c r="L31" s="263"/>
      <c r="M31" s="182">
        <v>305906.05</v>
      </c>
      <c r="N31" s="263"/>
      <c r="O31" s="182">
        <v>303911.75</v>
      </c>
      <c r="P31" s="263"/>
      <c r="Q31" s="182">
        <v>303698.42</v>
      </c>
      <c r="R31" s="263"/>
      <c r="S31" s="182">
        <v>319230.55</v>
      </c>
      <c r="T31" s="263"/>
      <c r="U31" s="182">
        <v>316706.12</v>
      </c>
      <c r="V31" s="263"/>
      <c r="W31" s="182">
        <v>365874.03</v>
      </c>
      <c r="X31" s="263"/>
      <c r="Y31" s="182">
        <v>311011.67</v>
      </c>
      <c r="Z31" s="183"/>
      <c r="AB31" s="250">
        <f t="shared" si="1"/>
        <v>3781720.91</v>
      </c>
    </row>
    <row r="32" spans="1:28">
      <c r="A32" s="50" t="s">
        <v>122</v>
      </c>
      <c r="B32" s="54"/>
      <c r="C32" s="258">
        <v>1793.6</v>
      </c>
      <c r="D32" s="264"/>
      <c r="E32" s="258">
        <v>998.74</v>
      </c>
      <c r="F32" s="263"/>
      <c r="G32" s="248">
        <v>1023.4</v>
      </c>
      <c r="H32" s="263"/>
      <c r="I32" s="248">
        <v>72.28</v>
      </c>
      <c r="J32" s="263"/>
      <c r="K32" s="248">
        <v>135.47999999999999</v>
      </c>
      <c r="L32" s="263"/>
      <c r="M32" s="248">
        <v>322</v>
      </c>
      <c r="N32" s="263"/>
      <c r="O32" s="248">
        <v>98</v>
      </c>
      <c r="P32" s="263"/>
      <c r="Q32" s="248">
        <v>456</v>
      </c>
      <c r="R32" s="263"/>
      <c r="S32" s="248">
        <v>108</v>
      </c>
      <c r="T32" s="263"/>
      <c r="U32" s="248">
        <v>601.69000000000005</v>
      </c>
      <c r="V32" s="263"/>
      <c r="W32" s="248">
        <v>28</v>
      </c>
      <c r="X32" s="263"/>
      <c r="Y32" s="248">
        <v>384.5</v>
      </c>
      <c r="Z32" s="259"/>
      <c r="AB32" s="256">
        <f t="shared" si="1"/>
        <v>6021.6900000000005</v>
      </c>
    </row>
    <row r="33" spans="1:41">
      <c r="A33" s="50" t="s">
        <v>123</v>
      </c>
      <c r="B33" s="49"/>
      <c r="C33" s="249">
        <f>SUM(C28:C32)</f>
        <v>5403678.2299999995</v>
      </c>
      <c r="D33" s="263"/>
      <c r="E33" s="249">
        <f>SUM(E28:E32)</f>
        <v>4542763.07</v>
      </c>
      <c r="F33" s="263"/>
      <c r="G33" s="249">
        <f>SUM(G28:G32)</f>
        <v>5354267.8100000005</v>
      </c>
      <c r="H33" s="263"/>
      <c r="I33" s="249">
        <f>SUM(I28:I32)</f>
        <v>4976881.7</v>
      </c>
      <c r="J33" s="263"/>
      <c r="K33" s="249">
        <f>SUM(K28:K32)</f>
        <v>3988483.6799999997</v>
      </c>
      <c r="L33" s="263"/>
      <c r="M33" s="249">
        <f>SUM(M28:M32)</f>
        <v>4841137.0999999996</v>
      </c>
      <c r="N33" s="263"/>
      <c r="O33" s="249">
        <f>SUM(O28:O32)</f>
        <v>6735402.9399999995</v>
      </c>
      <c r="P33" s="263"/>
      <c r="Q33" s="249">
        <f>SUM(Q28:Q32)</f>
        <v>5463260.6999999993</v>
      </c>
      <c r="R33" s="263"/>
      <c r="S33" s="249">
        <f>SUM(S28:S32)</f>
        <v>5827893.4400000004</v>
      </c>
      <c r="T33" s="263"/>
      <c r="U33" s="249">
        <f>SUM(U28:U32)</f>
        <v>7813552.6300000008</v>
      </c>
      <c r="V33" s="263"/>
      <c r="W33" s="249">
        <f>SUM(W28:W32)</f>
        <v>6934123.8299999991</v>
      </c>
      <c r="X33" s="263"/>
      <c r="Y33" s="249">
        <f>SUM(Y28:Y32)</f>
        <v>7385189.8900000006</v>
      </c>
      <c r="Z33" s="259"/>
      <c r="AB33" s="182">
        <f t="shared" si="1"/>
        <v>69266635.020000011</v>
      </c>
    </row>
    <row r="34" spans="1:41">
      <c r="B34" s="49"/>
      <c r="D34" s="263"/>
      <c r="F34" s="263"/>
      <c r="H34" s="263"/>
      <c r="J34" s="263"/>
      <c r="L34" s="263"/>
      <c r="M34" s="260"/>
      <c r="N34" s="263"/>
      <c r="P34" s="263"/>
      <c r="R34" s="263"/>
      <c r="T34" s="263"/>
      <c r="V34" s="263"/>
      <c r="X34" s="263"/>
      <c r="Z34" s="183"/>
    </row>
    <row r="35" spans="1:41">
      <c r="A35" s="50" t="s">
        <v>124</v>
      </c>
      <c r="B35" s="49"/>
      <c r="C35" s="182">
        <v>0</v>
      </c>
      <c r="D35" s="263"/>
      <c r="E35" s="182">
        <v>0</v>
      </c>
      <c r="F35" s="263"/>
      <c r="G35" s="182">
        <v>0</v>
      </c>
      <c r="H35" s="263"/>
      <c r="I35" s="182">
        <v>0</v>
      </c>
      <c r="J35" s="263"/>
      <c r="K35" s="182">
        <v>0</v>
      </c>
      <c r="L35" s="263"/>
      <c r="M35" s="182">
        <v>0</v>
      </c>
      <c r="N35" s="263"/>
      <c r="O35" s="182">
        <v>0</v>
      </c>
      <c r="P35" s="182"/>
      <c r="Q35" s="182">
        <v>0</v>
      </c>
      <c r="R35" s="263"/>
      <c r="S35" s="182">
        <v>0</v>
      </c>
      <c r="T35" s="263"/>
      <c r="U35" s="182">
        <v>0</v>
      </c>
      <c r="V35" s="263"/>
      <c r="W35" s="182">
        <v>0</v>
      </c>
      <c r="X35" s="263"/>
      <c r="Y35" s="182">
        <v>0</v>
      </c>
      <c r="Z35" s="183"/>
      <c r="AB35" s="250">
        <f>SUM(C35:Y35)</f>
        <v>0</v>
      </c>
      <c r="AD35" s="55"/>
    </row>
    <row r="36" spans="1:41">
      <c r="A36" s="242" t="s">
        <v>125</v>
      </c>
      <c r="B36" s="49"/>
      <c r="C36" s="252">
        <v>0</v>
      </c>
      <c r="D36" s="263"/>
      <c r="E36" s="252">
        <v>0</v>
      </c>
      <c r="F36" s="263"/>
      <c r="G36" s="252">
        <v>0</v>
      </c>
      <c r="H36" s="263"/>
      <c r="I36" s="252">
        <v>690749</v>
      </c>
      <c r="J36" s="263"/>
      <c r="K36" s="182">
        <v>0</v>
      </c>
      <c r="L36" s="263"/>
      <c r="M36" s="182">
        <v>0</v>
      </c>
      <c r="N36" s="263"/>
      <c r="O36" s="182">
        <v>0</v>
      </c>
      <c r="P36" s="182"/>
      <c r="Q36" s="182">
        <v>0</v>
      </c>
      <c r="R36" s="263"/>
      <c r="S36" s="182">
        <v>0</v>
      </c>
      <c r="T36" s="263"/>
      <c r="U36" s="182">
        <v>0</v>
      </c>
      <c r="V36" s="263"/>
      <c r="W36" s="182">
        <v>0</v>
      </c>
      <c r="X36" s="263"/>
      <c r="Y36" s="182">
        <v>0</v>
      </c>
      <c r="Z36" s="183"/>
      <c r="AB36" s="250">
        <f>SUM(C36:Y36)</f>
        <v>690749</v>
      </c>
    </row>
    <row r="37" spans="1:41">
      <c r="A37" s="242" t="s">
        <v>255</v>
      </c>
      <c r="B37" s="49"/>
      <c r="C37" s="182">
        <v>0</v>
      </c>
      <c r="D37" s="263"/>
      <c r="E37" s="182">
        <v>0</v>
      </c>
      <c r="F37" s="263"/>
      <c r="G37" s="182">
        <v>0</v>
      </c>
      <c r="H37" s="263"/>
      <c r="I37" s="182">
        <v>0</v>
      </c>
      <c r="J37" s="263"/>
      <c r="K37" s="182">
        <v>0</v>
      </c>
      <c r="L37" s="263"/>
      <c r="M37" s="182">
        <v>0</v>
      </c>
      <c r="N37" s="263"/>
      <c r="O37" s="182">
        <v>0</v>
      </c>
      <c r="P37" s="182"/>
      <c r="Q37" s="182">
        <v>0</v>
      </c>
      <c r="R37" s="263"/>
      <c r="S37" s="182">
        <v>0</v>
      </c>
      <c r="T37" s="263"/>
      <c r="U37" s="182">
        <v>0</v>
      </c>
      <c r="V37" s="263"/>
      <c r="W37" s="182">
        <v>0</v>
      </c>
      <c r="X37" s="263"/>
      <c r="Y37" s="182">
        <v>0</v>
      </c>
      <c r="Z37" s="183"/>
      <c r="AB37" s="250">
        <f>SUM(C37:Y37)</f>
        <v>0</v>
      </c>
    </row>
    <row r="38" spans="1:41">
      <c r="A38" s="50" t="s">
        <v>126</v>
      </c>
      <c r="B38" s="49"/>
      <c r="C38" s="248">
        <v>0</v>
      </c>
      <c r="D38" s="263"/>
      <c r="E38" s="248">
        <v>0</v>
      </c>
      <c r="F38" s="263"/>
      <c r="G38" s="248">
        <v>0</v>
      </c>
      <c r="H38" s="263"/>
      <c r="I38" s="248">
        <v>0</v>
      </c>
      <c r="J38" s="263"/>
      <c r="K38" s="248">
        <v>0</v>
      </c>
      <c r="L38" s="263"/>
      <c r="M38" s="248">
        <v>0</v>
      </c>
      <c r="N38" s="263"/>
      <c r="O38" s="248">
        <v>0</v>
      </c>
      <c r="P38" s="263"/>
      <c r="Q38" s="248">
        <v>0</v>
      </c>
      <c r="R38" s="263"/>
      <c r="S38" s="248">
        <v>0</v>
      </c>
      <c r="T38" s="263"/>
      <c r="U38" s="248">
        <v>0</v>
      </c>
      <c r="V38" s="263"/>
      <c r="W38" s="248">
        <v>0</v>
      </c>
      <c r="X38" s="263"/>
      <c r="Y38" s="248">
        <v>0</v>
      </c>
      <c r="Z38" s="183"/>
      <c r="AB38" s="256">
        <f>SUM(C38:Y38)</f>
        <v>0</v>
      </c>
    </row>
    <row r="39" spans="1:41">
      <c r="A39" s="50" t="s">
        <v>127</v>
      </c>
      <c r="B39" s="49"/>
      <c r="C39" s="249">
        <f>SUM(C35:C38)+C33</f>
        <v>5403678.2299999995</v>
      </c>
      <c r="D39" s="263"/>
      <c r="E39" s="249">
        <f>SUM(E35:E38)+E33</f>
        <v>4542763.07</v>
      </c>
      <c r="F39" s="263"/>
      <c r="G39" s="249">
        <f>SUM(G35:G38)+G33</f>
        <v>5354267.8100000005</v>
      </c>
      <c r="H39" s="263"/>
      <c r="I39" s="249">
        <f>SUM(I35:I38)+I33</f>
        <v>5667630.7000000002</v>
      </c>
      <c r="J39" s="263"/>
      <c r="K39" s="249">
        <f>SUM(K35:K38)+K33</f>
        <v>3988483.6799999997</v>
      </c>
      <c r="L39" s="263"/>
      <c r="M39" s="249">
        <f>SUM(M35:M38)+M33</f>
        <v>4841137.0999999996</v>
      </c>
      <c r="N39" s="263"/>
      <c r="O39" s="249">
        <f>SUM(O35:O38)+O33</f>
        <v>6735402.9399999995</v>
      </c>
      <c r="P39" s="263"/>
      <c r="Q39" s="249">
        <f>SUM(Q35:Q38)+Q33</f>
        <v>5463260.6999999993</v>
      </c>
      <c r="R39" s="263"/>
      <c r="S39" s="249">
        <f>SUM(S35:S38)+S33</f>
        <v>5827893.4400000004</v>
      </c>
      <c r="T39" s="263"/>
      <c r="U39" s="249">
        <f>SUM(U35:U38)+U33</f>
        <v>7813552.6300000008</v>
      </c>
      <c r="V39" s="263"/>
      <c r="W39" s="249">
        <f>SUM(W35:W38)+W33</f>
        <v>6934123.8299999991</v>
      </c>
      <c r="X39" s="263"/>
      <c r="Y39" s="249">
        <f>SUM(Y35:Y38)+Y33</f>
        <v>7385189.8900000006</v>
      </c>
      <c r="Z39" s="259"/>
      <c r="AB39" s="182">
        <f>SUM(C39:Y39)</f>
        <v>69957384.020000011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3"/>
      <c r="E40" s="252"/>
      <c r="F40" s="263"/>
      <c r="G40" s="252"/>
      <c r="H40" s="263"/>
      <c r="I40" s="252"/>
      <c r="J40" s="263"/>
      <c r="K40" s="252"/>
      <c r="L40" s="263"/>
      <c r="M40" s="252"/>
      <c r="N40" s="263"/>
      <c r="O40" s="252"/>
      <c r="P40" s="263"/>
      <c r="Q40" s="252"/>
      <c r="R40" s="263"/>
      <c r="S40" s="252"/>
      <c r="T40" s="263"/>
      <c r="U40" s="252"/>
      <c r="V40" s="263"/>
      <c r="W40" s="252"/>
      <c r="X40" s="263"/>
      <c r="Y40" s="252"/>
      <c r="Z40" s="259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9">
        <f>+C25-C39</f>
        <v>-384152.41000000015</v>
      </c>
      <c r="D41" s="263"/>
      <c r="E41" s="249">
        <f>+E25-E39</f>
        <v>529188.55999999959</v>
      </c>
      <c r="F41" s="263"/>
      <c r="G41" s="249">
        <f>+G25-G39</f>
        <v>-1639491.1600000006</v>
      </c>
      <c r="H41" s="263"/>
      <c r="I41" s="249">
        <f>+I25-I39</f>
        <v>473986.30999999959</v>
      </c>
      <c r="J41" s="263"/>
      <c r="K41" s="249">
        <f>+K25-K39</f>
        <v>11395023.459999999</v>
      </c>
      <c r="L41" s="263"/>
      <c r="M41" s="249">
        <f>+M25-M39</f>
        <v>-1947133.5099999998</v>
      </c>
      <c r="N41" s="263"/>
      <c r="O41" s="249">
        <f>+O25-O39</f>
        <v>2083116.25</v>
      </c>
      <c r="P41" s="263"/>
      <c r="Q41" s="249">
        <f>+Q25-Q39</f>
        <v>-1465099.1999999993</v>
      </c>
      <c r="R41" s="263"/>
      <c r="S41" s="249">
        <f>+S25-S39</f>
        <v>-2162113.8000000007</v>
      </c>
      <c r="T41" s="263"/>
      <c r="U41" s="182">
        <f>+U25-U39</f>
        <v>-4929381.8500000015</v>
      </c>
      <c r="V41" s="263"/>
      <c r="W41" s="182">
        <f>+W25-W39</f>
        <v>776069.83000000101</v>
      </c>
      <c r="Y41" s="182">
        <f>+Y25-Y39</f>
        <v>-2228975.92</v>
      </c>
      <c r="AB41" s="182">
        <f>SUM(C41:Y41)</f>
        <v>501036.55999999773</v>
      </c>
    </row>
    <row r="42" spans="1:41" ht="13.5" thickBot="1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41" ht="13.5" thickBot="1">
      <c r="A43" s="57" t="s">
        <v>129</v>
      </c>
      <c r="B43" s="53"/>
      <c r="C43" s="481">
        <f>+C7+C41</f>
        <v>14407213.609999992</v>
      </c>
      <c r="D43" s="268"/>
      <c r="E43" s="481">
        <f>+E7+E41</f>
        <v>14936402.169999991</v>
      </c>
      <c r="F43" s="268"/>
      <c r="G43" s="481">
        <f>+G7+G41</f>
        <v>13296911.00999999</v>
      </c>
      <c r="H43" s="268"/>
      <c r="I43" s="481">
        <f>+I7+I41</f>
        <v>13770897.319999989</v>
      </c>
      <c r="J43" s="268"/>
      <c r="K43" s="481">
        <f>+K7+K41</f>
        <v>25165920.779999986</v>
      </c>
      <c r="L43" s="268"/>
      <c r="M43" s="481">
        <f>+M7+M41</f>
        <v>23218787.269999988</v>
      </c>
      <c r="N43" s="268"/>
      <c r="O43" s="481">
        <f>+O7+O41</f>
        <v>25301903.519999988</v>
      </c>
      <c r="P43" s="268"/>
      <c r="Q43" s="481">
        <f>+Q7+Q41</f>
        <v>23836804.319999989</v>
      </c>
      <c r="R43" s="268"/>
      <c r="S43" s="481">
        <f>+S7+S41</f>
        <v>21674690.519999988</v>
      </c>
      <c r="T43" s="268"/>
      <c r="U43" s="481">
        <f>+U7+U41</f>
        <v>16745308.669999987</v>
      </c>
      <c r="V43" s="268"/>
      <c r="W43" s="481">
        <f>+W7+W41</f>
        <v>17521378.499999989</v>
      </c>
      <c r="X43" s="267"/>
      <c r="Y43" s="481">
        <f>+Y7+Y41</f>
        <v>15292402.579999989</v>
      </c>
      <c r="Z43" s="261"/>
      <c r="AA43" s="267"/>
      <c r="AB43" s="481">
        <f>+AB7+AB41</f>
        <v>15292402.579999991</v>
      </c>
    </row>
    <row r="44" spans="1:41">
      <c r="B44" s="49"/>
      <c r="C44" s="482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  <row r="45" spans="1:41">
      <c r="B45" s="49"/>
      <c r="C45" s="482"/>
      <c r="D45" s="263"/>
      <c r="F45" s="263"/>
      <c r="H45" s="263"/>
      <c r="J45" s="263"/>
      <c r="L45" s="263"/>
      <c r="N45" s="263"/>
      <c r="P45" s="263"/>
      <c r="R45" s="263"/>
      <c r="T45" s="263"/>
      <c r="V45" s="263"/>
      <c r="X45" s="263"/>
      <c r="Z45" s="183"/>
    </row>
    <row r="46" spans="1:41">
      <c r="A46" s="242" t="s">
        <v>252</v>
      </c>
      <c r="B46" s="49"/>
      <c r="C46" s="182">
        <v>12146308.390000001</v>
      </c>
      <c r="D46" s="263"/>
      <c r="E46" s="182">
        <f>+C46+C49</f>
        <v>12147670.890000001</v>
      </c>
      <c r="F46" s="263"/>
      <c r="G46" s="182">
        <f>+E46+E49</f>
        <v>12149077.720000001</v>
      </c>
      <c r="H46" s="263"/>
      <c r="I46" s="182">
        <f>+G46+G49</f>
        <v>12150446.550000001</v>
      </c>
      <c r="J46" s="263"/>
      <c r="K46" s="182">
        <f>+I46+I49</f>
        <v>12151822.48</v>
      </c>
      <c r="L46" s="263"/>
      <c r="M46" s="182">
        <f>+K46+K49</f>
        <v>12152994.310000001</v>
      </c>
      <c r="N46" s="263"/>
      <c r="O46" s="182">
        <f>+M46+M49</f>
        <v>12153957.550000001</v>
      </c>
      <c r="P46" s="263"/>
      <c r="Q46" s="182">
        <f>+O46+O49</f>
        <v>12155084.110000001</v>
      </c>
      <c r="R46" s="263"/>
      <c r="S46" s="182">
        <f>+Q46+Q49</f>
        <v>12156258.670000002</v>
      </c>
      <c r="T46" s="263"/>
      <c r="U46" s="182">
        <f>+S46+S49</f>
        <v>12157514.970000003</v>
      </c>
      <c r="V46" s="263"/>
      <c r="W46" s="182">
        <f>+U46+U49</f>
        <v>12158750.070000002</v>
      </c>
      <c r="X46" s="263"/>
      <c r="Y46" s="182">
        <f>+W46+W49</f>
        <v>12159994.330000002</v>
      </c>
      <c r="Z46" s="183"/>
      <c r="AB46" s="250">
        <f>+C46</f>
        <v>12146308.390000001</v>
      </c>
    </row>
    <row r="47" spans="1:41">
      <c r="A47" s="242" t="s">
        <v>253</v>
      </c>
      <c r="B47" s="49"/>
      <c r="C47" s="182">
        <v>1378273.11</v>
      </c>
      <c r="D47" s="263"/>
      <c r="E47" s="182">
        <f>+C47+C50</f>
        <v>1378317.3</v>
      </c>
      <c r="F47" s="263"/>
      <c r="G47" s="182">
        <f>+E47+E50</f>
        <v>1378368.08</v>
      </c>
      <c r="H47" s="263"/>
      <c r="I47" s="182">
        <f>+G47+G50</f>
        <v>1378414.01</v>
      </c>
      <c r="J47" s="263"/>
      <c r="K47" s="182">
        <f>+I47+I50</f>
        <v>1378455.75</v>
      </c>
      <c r="L47" s="263"/>
      <c r="M47" s="182">
        <f>+K47+K50</f>
        <v>1378491.23</v>
      </c>
      <c r="N47" s="263"/>
      <c r="O47" s="182">
        <f>+M47+M50</f>
        <v>1378524.8</v>
      </c>
      <c r="P47" s="263"/>
      <c r="Q47" s="182">
        <f>+O47+O50</f>
        <v>1378571.58</v>
      </c>
      <c r="R47" s="263"/>
      <c r="S47" s="182">
        <f>+Q47+Q50</f>
        <v>1378614.49</v>
      </c>
      <c r="T47" s="263"/>
      <c r="U47" s="182">
        <f>+S47+S50</f>
        <v>1378646.45</v>
      </c>
      <c r="V47" s="263"/>
      <c r="W47" s="182">
        <f>+U47+U50</f>
        <v>1378682.8799999999</v>
      </c>
      <c r="X47" s="263"/>
      <c r="Y47" s="182">
        <f>+W47+W50</f>
        <v>1378720.65</v>
      </c>
      <c r="Z47" s="183"/>
      <c r="AB47" s="250">
        <f>+C47</f>
        <v>1378273.11</v>
      </c>
    </row>
    <row r="48" spans="1:41">
      <c r="A48" s="242" t="s">
        <v>256</v>
      </c>
      <c r="B48" s="49"/>
      <c r="C48" s="182">
        <v>14695000.58</v>
      </c>
      <c r="D48" s="263"/>
      <c r="E48" s="182">
        <f>+C48+C51+C52+C53</f>
        <v>17500534.5</v>
      </c>
      <c r="F48" s="263"/>
      <c r="G48" s="182">
        <f>+E48+E51+E52</f>
        <v>16998464.489999998</v>
      </c>
      <c r="H48" s="263"/>
      <c r="I48" s="182">
        <f>+G48+G51+G52</f>
        <v>16362963.059999997</v>
      </c>
      <c r="J48" s="263"/>
      <c r="K48" s="182">
        <f>+I48+I51+I52</f>
        <v>15601719.859999998</v>
      </c>
      <c r="L48" s="263"/>
      <c r="M48" s="182">
        <f>+K48+K51+K52</f>
        <v>14687444.479999999</v>
      </c>
      <c r="N48" s="263"/>
      <c r="O48" s="182">
        <f>+M48+M51</f>
        <v>14688517.209999999</v>
      </c>
      <c r="P48" s="263"/>
      <c r="Q48" s="182">
        <f>+O48+O51+O52</f>
        <v>11717498.17</v>
      </c>
      <c r="R48" s="263"/>
      <c r="S48" s="182">
        <f>+Q48+Q51+Q52</f>
        <v>10411159.640000001</v>
      </c>
      <c r="T48" s="263"/>
      <c r="U48" s="182">
        <f>+S48+S51+S52</f>
        <v>8582895.1400000006</v>
      </c>
      <c r="V48" s="263"/>
      <c r="W48" s="182">
        <f>+U48+U51</f>
        <v>8583565.9800000004</v>
      </c>
      <c r="X48" s="263"/>
      <c r="Y48" s="182">
        <f>+W48+W51+W52</f>
        <v>5828600.9199999999</v>
      </c>
      <c r="Z48" s="183"/>
      <c r="AB48" s="250">
        <f>+C48</f>
        <v>14695000.58</v>
      </c>
    </row>
    <row r="49" spans="1:28">
      <c r="A49" s="242" t="s">
        <v>254</v>
      </c>
      <c r="B49" s="49"/>
      <c r="C49" s="182">
        <v>1362.5</v>
      </c>
      <c r="D49" s="263"/>
      <c r="E49" s="182">
        <v>1406.83</v>
      </c>
      <c r="F49" s="263"/>
      <c r="G49" s="182">
        <v>1368.83</v>
      </c>
      <c r="H49" s="263"/>
      <c r="I49" s="182">
        <v>1375.93</v>
      </c>
      <c r="J49" s="263"/>
      <c r="K49" s="182">
        <v>1171.83</v>
      </c>
      <c r="L49" s="263"/>
      <c r="M49" s="182">
        <v>963.24</v>
      </c>
      <c r="N49" s="263"/>
      <c r="O49" s="182">
        <v>1126.56</v>
      </c>
      <c r="P49" s="263"/>
      <c r="Q49" s="182">
        <v>1174.56</v>
      </c>
      <c r="R49" s="263"/>
      <c r="S49" s="182">
        <v>1256.3</v>
      </c>
      <c r="T49" s="263"/>
      <c r="U49" s="182">
        <v>1235.0999999999999</v>
      </c>
      <c r="V49" s="263"/>
      <c r="W49" s="182">
        <v>1244.26</v>
      </c>
      <c r="X49" s="263"/>
      <c r="Y49" s="182">
        <v>1195.52</v>
      </c>
      <c r="Z49" s="183"/>
      <c r="AB49" s="250">
        <f>SUM(C49:AA49)</f>
        <v>14881.46</v>
      </c>
    </row>
    <row r="50" spans="1:28">
      <c r="A50" s="242" t="s">
        <v>130</v>
      </c>
      <c r="B50" s="49"/>
      <c r="C50" s="182">
        <v>44.19</v>
      </c>
      <c r="D50" s="263"/>
      <c r="E50" s="182">
        <v>50.78</v>
      </c>
      <c r="F50" s="263"/>
      <c r="G50" s="182">
        <v>45.93</v>
      </c>
      <c r="H50" s="263"/>
      <c r="I50" s="182">
        <v>41.74</v>
      </c>
      <c r="J50" s="263"/>
      <c r="K50" s="182">
        <v>35.479999999999997</v>
      </c>
      <c r="L50" s="263"/>
      <c r="M50" s="182">
        <v>33.57</v>
      </c>
      <c r="N50" s="263"/>
      <c r="O50" s="182">
        <v>46.78</v>
      </c>
      <c r="P50" s="263"/>
      <c r="Q50" s="182">
        <v>42.91</v>
      </c>
      <c r="R50" s="263"/>
      <c r="S50" s="182">
        <v>31.96</v>
      </c>
      <c r="T50" s="263"/>
      <c r="U50" s="182">
        <v>36.43</v>
      </c>
      <c r="V50" s="263"/>
      <c r="W50" s="182">
        <v>37.770000000000003</v>
      </c>
      <c r="X50" s="263"/>
      <c r="Y50" s="182">
        <v>40.94</v>
      </c>
      <c r="Z50" s="183"/>
      <c r="AB50" s="250">
        <f>SUM(C50:AA50)</f>
        <v>488.47999999999996</v>
      </c>
    </row>
    <row r="51" spans="1:28">
      <c r="A51" s="242" t="s">
        <v>131</v>
      </c>
      <c r="B51" s="49"/>
      <c r="C51" s="182">
        <v>1136.17</v>
      </c>
      <c r="D51" s="263"/>
      <c r="E51" s="182">
        <v>1375.54</v>
      </c>
      <c r="F51" s="263"/>
      <c r="G51" s="182">
        <v>1297.4000000000001</v>
      </c>
      <c r="H51" s="263"/>
      <c r="I51" s="182">
        <v>1300.24</v>
      </c>
      <c r="J51" s="263"/>
      <c r="K51" s="182">
        <v>1256.73</v>
      </c>
      <c r="L51" s="263"/>
      <c r="M51" s="182">
        <v>1072.73</v>
      </c>
      <c r="N51" s="263"/>
      <c r="O51" s="182">
        <v>1156.6300000000001</v>
      </c>
      <c r="P51" s="263"/>
      <c r="Q51" s="182">
        <v>882.74</v>
      </c>
      <c r="R51" s="263"/>
      <c r="S51" s="182">
        <v>827.18</v>
      </c>
      <c r="T51" s="263"/>
      <c r="U51" s="182">
        <v>670.84</v>
      </c>
      <c r="V51" s="263"/>
      <c r="W51" s="182">
        <v>478.01</v>
      </c>
      <c r="X51" s="263"/>
      <c r="Y51" s="182">
        <v>398.67</v>
      </c>
      <c r="Z51" s="183"/>
      <c r="AB51" s="250">
        <f>SUM(C51:AA51)</f>
        <v>11852.88</v>
      </c>
    </row>
    <row r="52" spans="1:28">
      <c r="A52" s="50" t="s">
        <v>133</v>
      </c>
      <c r="C52" s="182">
        <v>-180602.25</v>
      </c>
      <c r="E52" s="182">
        <v>-503445.55</v>
      </c>
      <c r="G52" s="182">
        <f>-620431-16367.83</f>
        <v>-636798.82999999996</v>
      </c>
      <c r="I52" s="182">
        <v>-762543.44</v>
      </c>
      <c r="K52" s="182">
        <v>-915532.11</v>
      </c>
      <c r="M52" s="182">
        <v>0</v>
      </c>
      <c r="O52" s="182">
        <v>-2972175.67</v>
      </c>
      <c r="Q52" s="182">
        <v>-1307221.27</v>
      </c>
      <c r="S52" s="182">
        <v>-1829091.68</v>
      </c>
      <c r="U52" s="182">
        <v>0</v>
      </c>
      <c r="W52" s="182">
        <v>-2755443.07</v>
      </c>
      <c r="Y52" s="182">
        <v>-1384400.2</v>
      </c>
      <c r="AB52" s="250">
        <f>SUM(C52:AA52)</f>
        <v>-13247254.069999998</v>
      </c>
    </row>
    <row r="53" spans="1:28">
      <c r="A53" s="50" t="s">
        <v>132</v>
      </c>
      <c r="B53" s="49"/>
      <c r="C53" s="248">
        <v>2985000</v>
      </c>
      <c r="D53" s="263"/>
      <c r="E53" s="248">
        <v>0</v>
      </c>
      <c r="F53" s="263"/>
      <c r="G53" s="248">
        <v>0</v>
      </c>
      <c r="H53" s="263"/>
      <c r="I53" s="248">
        <v>0</v>
      </c>
      <c r="J53" s="263"/>
      <c r="K53" s="248">
        <v>0</v>
      </c>
      <c r="L53" s="263"/>
      <c r="M53" s="248">
        <v>0</v>
      </c>
      <c r="N53" s="263"/>
      <c r="O53" s="248"/>
      <c r="P53" s="263"/>
      <c r="Q53" s="248"/>
      <c r="R53" s="263"/>
      <c r="S53" s="248"/>
      <c r="T53" s="263"/>
      <c r="U53" s="248"/>
      <c r="V53" s="263"/>
      <c r="W53" s="248"/>
      <c r="X53" s="263"/>
      <c r="Y53" s="248"/>
      <c r="Z53" s="183"/>
      <c r="AB53" s="256">
        <f>SUM(C53:AA53)</f>
        <v>2985000</v>
      </c>
    </row>
    <row r="54" spans="1:28">
      <c r="A54" s="57" t="s">
        <v>134</v>
      </c>
      <c r="B54" s="53"/>
      <c r="C54" s="249">
        <f>SUM(C46:C53)</f>
        <v>31026522.690000001</v>
      </c>
      <c r="D54" s="268"/>
      <c r="E54" s="249">
        <f>SUM(E46:E53)</f>
        <v>30525910.289999999</v>
      </c>
      <c r="F54" s="268"/>
      <c r="G54" s="249">
        <f>SUM(G46:G53)</f>
        <v>29891823.619999997</v>
      </c>
      <c r="H54" s="268"/>
      <c r="I54" s="249">
        <f>SUM(I46:I53)</f>
        <v>29131998.089999992</v>
      </c>
      <c r="J54" s="268"/>
      <c r="K54" s="249">
        <f>SUM(K46:K53)</f>
        <v>28218930.019999996</v>
      </c>
      <c r="L54" s="268"/>
      <c r="M54" s="249">
        <f>SUM(M46:M53)</f>
        <v>28220999.559999999</v>
      </c>
      <c r="N54" s="268"/>
      <c r="O54" s="249">
        <f>SUM(O46:O53)</f>
        <v>25251153.859999999</v>
      </c>
      <c r="P54" s="268"/>
      <c r="Q54" s="249">
        <f>SUM(Q46:Q53)</f>
        <v>23946032.799999997</v>
      </c>
      <c r="R54" s="268"/>
      <c r="S54" s="249">
        <f>SUM(S46:S53)</f>
        <v>22119056.560000006</v>
      </c>
      <c r="T54" s="268"/>
      <c r="U54" s="249">
        <f>SUM(U46:U53)</f>
        <v>22120998.930000003</v>
      </c>
      <c r="V54" s="268"/>
      <c r="W54" s="249">
        <f>SUM(W46:W53)</f>
        <v>19367315.900000006</v>
      </c>
      <c r="X54" s="268"/>
      <c r="Y54" s="249">
        <f>SUM(Y46:Y53)</f>
        <v>17984550.830000006</v>
      </c>
      <c r="Z54" s="268"/>
      <c r="AB54" s="182">
        <f>SUM(AB46:AB53)</f>
        <v>17984550.829999998</v>
      </c>
    </row>
    <row r="55" spans="1:28" ht="13.5" thickBot="1">
      <c r="B55" s="49"/>
      <c r="D55" s="263"/>
      <c r="F55" s="263"/>
      <c r="H55" s="263"/>
      <c r="J55" s="263"/>
      <c r="L55" s="263"/>
      <c r="N55" s="263"/>
      <c r="P55" s="263"/>
      <c r="R55" s="263"/>
      <c r="T55" s="263"/>
      <c r="V55" s="263"/>
      <c r="X55" s="263"/>
      <c r="Z55" s="263"/>
    </row>
    <row r="56" spans="1:28" ht="13.5" thickBot="1">
      <c r="A56" s="52" t="s">
        <v>135</v>
      </c>
      <c r="B56" s="53"/>
      <c r="C56" s="481">
        <f>+C43+C54</f>
        <v>45433736.299999997</v>
      </c>
      <c r="D56" s="268"/>
      <c r="E56" s="481">
        <f>+E43+E54</f>
        <v>45462312.459999993</v>
      </c>
      <c r="F56" s="268"/>
      <c r="G56" s="481">
        <f>+G43+G54</f>
        <v>43188734.629999988</v>
      </c>
      <c r="H56" s="268"/>
      <c r="I56" s="481">
        <f>+I43+I54</f>
        <v>42902895.409999982</v>
      </c>
      <c r="J56" s="268"/>
      <c r="K56" s="481">
        <f>+K43+K54</f>
        <v>53384850.799999982</v>
      </c>
      <c r="L56" s="268"/>
      <c r="M56" s="481">
        <f>+M43+M54</f>
        <v>51439786.829999983</v>
      </c>
      <c r="N56" s="268"/>
      <c r="O56" s="481">
        <f>+O43+O54</f>
        <v>50553057.379999988</v>
      </c>
      <c r="P56" s="268"/>
      <c r="Q56" s="481">
        <f>+Q43+Q54</f>
        <v>47782837.11999999</v>
      </c>
      <c r="R56" s="268"/>
      <c r="S56" s="481">
        <f>+S43+S54</f>
        <v>43793747.079999998</v>
      </c>
      <c r="T56" s="268"/>
      <c r="U56" s="481">
        <f>+U43+U54</f>
        <v>38866307.599999994</v>
      </c>
      <c r="V56" s="268"/>
      <c r="W56" s="481">
        <f>+W43+W54</f>
        <v>36888694.399999991</v>
      </c>
      <c r="X56" s="267"/>
      <c r="Y56" s="481">
        <f>+Y43+Y54</f>
        <v>33276953.409999996</v>
      </c>
      <c r="Z56" s="261"/>
      <c r="AA56" s="267"/>
      <c r="AB56" s="481">
        <f>+AB43+AB54</f>
        <v>33276953.409999989</v>
      </c>
    </row>
    <row r="57" spans="1:28">
      <c r="B57" s="49"/>
      <c r="D57" s="263"/>
      <c r="F57" s="263"/>
      <c r="H57" s="263"/>
      <c r="J57" s="263"/>
      <c r="L57" s="263"/>
      <c r="N57" s="263"/>
      <c r="P57" s="263"/>
      <c r="R57" s="263"/>
      <c r="T57" s="263"/>
      <c r="V57" s="263"/>
      <c r="X57" s="263"/>
      <c r="Z57" s="183"/>
    </row>
    <row r="58" spans="1:28">
      <c r="B58" s="49"/>
      <c r="D58" s="263"/>
      <c r="F58" s="263"/>
      <c r="H58" s="263"/>
      <c r="J58" s="263"/>
      <c r="L58" s="263"/>
      <c r="N58" s="263"/>
      <c r="P58" s="263"/>
      <c r="R58" s="263"/>
      <c r="T58" s="263"/>
      <c r="V58" s="263"/>
      <c r="X58" s="263"/>
      <c r="Z58" s="183"/>
    </row>
    <row r="59" spans="1:28">
      <c r="B59" s="49"/>
      <c r="D59" s="263"/>
      <c r="F59" s="263"/>
      <c r="H59" s="263"/>
      <c r="J59" s="263"/>
      <c r="L59" s="263"/>
      <c r="N59" s="263"/>
      <c r="P59" s="263"/>
      <c r="R59" s="263"/>
      <c r="T59" s="263"/>
      <c r="V59" s="263"/>
      <c r="X59" s="263"/>
      <c r="Z59" s="183"/>
    </row>
    <row r="60" spans="1:28">
      <c r="B60" s="49"/>
      <c r="D60" s="263"/>
      <c r="F60" s="263"/>
      <c r="H60" s="263"/>
      <c r="J60" s="263"/>
      <c r="L60" s="263"/>
      <c r="N60" s="263"/>
      <c r="P60" s="263"/>
      <c r="R60" s="263"/>
      <c r="T60" s="263"/>
      <c r="V60" s="263"/>
      <c r="X60" s="263"/>
      <c r="Z60" s="183"/>
    </row>
    <row r="61" spans="1:28">
      <c r="B61" s="49"/>
      <c r="D61" s="263"/>
      <c r="F61" s="263"/>
      <c r="H61" s="263"/>
      <c r="J61" s="263"/>
      <c r="L61" s="263"/>
      <c r="N61" s="263"/>
      <c r="P61" s="263"/>
      <c r="R61" s="263"/>
      <c r="T61" s="263"/>
      <c r="V61" s="263"/>
      <c r="X61" s="263"/>
      <c r="Z61" s="183"/>
    </row>
    <row r="62" spans="1:28">
      <c r="B62" s="49"/>
      <c r="D62" s="263"/>
      <c r="F62" s="263"/>
      <c r="H62" s="263"/>
      <c r="J62" s="263"/>
      <c r="L62" s="263"/>
      <c r="N62" s="263"/>
      <c r="P62" s="263"/>
      <c r="R62" s="263"/>
      <c r="T62" s="263"/>
      <c r="V62" s="263"/>
      <c r="X62" s="263"/>
      <c r="Z62" s="183"/>
    </row>
    <row r="63" spans="1:28">
      <c r="B63" s="49"/>
      <c r="D63" s="263"/>
      <c r="F63" s="263"/>
      <c r="H63" s="263"/>
      <c r="J63" s="263"/>
      <c r="L63" s="263"/>
      <c r="N63" s="263"/>
      <c r="P63" s="263"/>
      <c r="R63" s="263"/>
      <c r="T63" s="263"/>
      <c r="V63" s="263"/>
      <c r="X63" s="263"/>
      <c r="Z63" s="183"/>
    </row>
    <row r="64" spans="1:28">
      <c r="B64" s="49"/>
      <c r="D64" s="263"/>
      <c r="F64" s="263"/>
      <c r="H64" s="263"/>
      <c r="J64" s="263"/>
      <c r="L64" s="263"/>
      <c r="N64" s="263"/>
      <c r="P64" s="263"/>
      <c r="R64" s="263"/>
      <c r="T64" s="263"/>
      <c r="V64" s="263"/>
      <c r="X64" s="263"/>
      <c r="Z64" s="183"/>
    </row>
  </sheetData>
  <phoneticPr fontId="10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D29" sqref="AD29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5" customWidth="1"/>
    <col min="5" max="5" width="13.7109375" style="182" customWidth="1"/>
    <col min="6" max="6" width="0.85546875" style="255" customWidth="1"/>
    <col min="7" max="7" width="13.7109375" style="182" customWidth="1"/>
    <col min="8" max="8" width="0.85546875" style="255" customWidth="1"/>
    <col min="9" max="9" width="13.7109375" style="182" customWidth="1"/>
    <col min="10" max="10" width="0.85546875" style="255" customWidth="1"/>
    <col min="11" max="11" width="14.7109375" style="182" customWidth="1"/>
    <col min="12" max="12" width="0.85546875" style="255" customWidth="1"/>
    <col min="13" max="13" width="15" style="182" customWidth="1"/>
    <col min="14" max="14" width="0.85546875" style="255" customWidth="1"/>
    <col min="15" max="15" width="14.28515625" style="182" customWidth="1"/>
    <col min="16" max="16" width="0.85546875" style="255" customWidth="1"/>
    <col min="17" max="17" width="15" style="182" customWidth="1"/>
    <col min="18" max="18" width="0.85546875" style="255" customWidth="1"/>
    <col min="19" max="19" width="14.42578125" style="182" customWidth="1"/>
    <col min="20" max="20" width="0.85546875" style="255" customWidth="1"/>
    <col min="21" max="21" width="14.85546875" style="182" customWidth="1"/>
    <col min="22" max="22" width="0.85546875" style="255" customWidth="1"/>
    <col min="23" max="23" width="13.7109375" style="182" customWidth="1"/>
    <col min="24" max="24" width="0.85546875" style="255" customWidth="1"/>
    <col min="25" max="25" width="13.7109375" style="182" customWidth="1"/>
    <col min="26" max="26" width="0.140625" style="182" hidden="1" customWidth="1"/>
    <col min="27" max="27" width="0.85546875" style="255" customWidth="1"/>
    <col min="28" max="28" width="14.7109375" style="182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236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269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8" t="s">
        <v>320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89</v>
      </c>
      <c r="D5" s="263"/>
      <c r="E5" s="243" t="s">
        <v>90</v>
      </c>
      <c r="F5" s="263"/>
      <c r="G5" s="243" t="s">
        <v>91</v>
      </c>
      <c r="H5" s="263"/>
      <c r="I5" s="243" t="s">
        <v>92</v>
      </c>
      <c r="J5" s="263"/>
      <c r="K5" s="243" t="s">
        <v>93</v>
      </c>
      <c r="L5" s="263"/>
      <c r="M5" s="243" t="s">
        <v>94</v>
      </c>
      <c r="N5" s="263"/>
      <c r="O5" s="243" t="s">
        <v>95</v>
      </c>
      <c r="P5" s="263"/>
      <c r="Q5" s="243" t="s">
        <v>96</v>
      </c>
      <c r="R5" s="263"/>
      <c r="S5" s="243" t="s">
        <v>97</v>
      </c>
      <c r="T5" s="263"/>
      <c r="U5" s="243" t="s">
        <v>98</v>
      </c>
      <c r="V5" s="263"/>
      <c r="W5" s="243" t="s">
        <v>99</v>
      </c>
      <c r="X5" s="263"/>
      <c r="Y5" s="243" t="s">
        <v>100</v>
      </c>
      <c r="Z5" s="183"/>
      <c r="AA5" s="266"/>
      <c r="AB5" s="243" t="s">
        <v>47</v>
      </c>
    </row>
    <row r="6" spans="1:28">
      <c r="B6" s="49"/>
      <c r="C6" s="247" t="s">
        <v>101</v>
      </c>
      <c r="D6" s="263"/>
      <c r="E6" s="247" t="s">
        <v>101</v>
      </c>
      <c r="F6" s="263"/>
      <c r="G6" s="247" t="s">
        <v>101</v>
      </c>
      <c r="H6" s="263"/>
      <c r="I6" s="247" t="s">
        <v>101</v>
      </c>
      <c r="J6" s="263"/>
      <c r="K6" s="247" t="s">
        <v>101</v>
      </c>
      <c r="L6" s="263"/>
      <c r="M6" s="247" t="s">
        <v>101</v>
      </c>
      <c r="N6" s="263"/>
      <c r="O6" s="247" t="s">
        <v>101</v>
      </c>
      <c r="P6" s="263"/>
      <c r="Q6" s="247" t="s">
        <v>101</v>
      </c>
      <c r="R6" s="263"/>
      <c r="S6" s="247" t="s">
        <v>101</v>
      </c>
      <c r="T6" s="263"/>
      <c r="U6" s="247" t="s">
        <v>101</v>
      </c>
      <c r="V6" s="263"/>
      <c r="W6" s="247" t="s">
        <v>101</v>
      </c>
      <c r="X6" s="263"/>
      <c r="Y6" s="247" t="s">
        <v>101</v>
      </c>
      <c r="Z6" s="183"/>
      <c r="AB6" s="248"/>
    </row>
    <row r="7" spans="1:28">
      <c r="A7" s="51" t="s">
        <v>102</v>
      </c>
      <c r="B7" s="49"/>
      <c r="C7" s="249">
        <v>3532632.49</v>
      </c>
      <c r="D7" s="263"/>
      <c r="E7" s="249">
        <f>+C27</f>
        <v>3575420.47</v>
      </c>
      <c r="F7" s="263"/>
      <c r="G7" s="249">
        <f>+E27</f>
        <v>3709333.8600000003</v>
      </c>
      <c r="H7" s="263"/>
      <c r="I7" s="249">
        <f>+G27</f>
        <v>4085702.9400000004</v>
      </c>
      <c r="J7" s="263"/>
      <c r="K7" s="249">
        <f>+I27</f>
        <v>302176.55000000028</v>
      </c>
      <c r="L7" s="263"/>
      <c r="M7" s="249">
        <f>+K27</f>
        <v>711463.92000000039</v>
      </c>
      <c r="N7" s="263"/>
      <c r="O7" s="249">
        <f>+M27</f>
        <v>1817147.9600000004</v>
      </c>
      <c r="P7" s="263"/>
      <c r="Q7" s="249">
        <f>+O27</f>
        <v>1979751.3300000005</v>
      </c>
      <c r="R7" s="263"/>
      <c r="S7" s="249">
        <f>+Q27</f>
        <v>2035131.2600000005</v>
      </c>
      <c r="T7" s="263"/>
      <c r="U7" s="249">
        <f>+S27</f>
        <v>2077146.0000000005</v>
      </c>
      <c r="V7" s="263"/>
      <c r="W7" s="249">
        <f>+U27</f>
        <v>2199297.5800000005</v>
      </c>
      <c r="X7" s="263"/>
      <c r="Y7" s="249">
        <f>+W27</f>
        <v>2290641.2000000007</v>
      </c>
      <c r="Z7" s="183"/>
      <c r="AB7" s="250">
        <f>+C7</f>
        <v>3532632.49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103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104</v>
      </c>
      <c r="B10" s="49"/>
      <c r="C10" s="182">
        <v>7937.08</v>
      </c>
      <c r="D10" s="263"/>
      <c r="E10" s="252">
        <v>132687.99</v>
      </c>
      <c r="F10" s="263"/>
      <c r="G10" s="252">
        <f>376369.08-1283.39</f>
        <v>375085.69</v>
      </c>
      <c r="H10" s="263"/>
      <c r="I10" s="182">
        <f>2216473.61-639.34</f>
        <v>2215834.27</v>
      </c>
      <c r="J10" s="263"/>
      <c r="K10" s="182">
        <f>6659287.37-706.94</f>
        <v>6658580.4299999997</v>
      </c>
      <c r="L10" s="263"/>
      <c r="M10" s="182">
        <f>1108184.04-481.58</f>
        <v>1107702.46</v>
      </c>
      <c r="N10" s="263"/>
      <c r="O10" s="182">
        <v>166955.89000000001</v>
      </c>
      <c r="P10" s="263"/>
      <c r="Q10" s="182">
        <v>56016.36</v>
      </c>
      <c r="R10" s="263"/>
      <c r="S10" s="182">
        <v>41315.14</v>
      </c>
      <c r="T10" s="263"/>
      <c r="U10" s="182">
        <v>121449.04</v>
      </c>
      <c r="V10" s="263"/>
      <c r="W10" s="182">
        <v>90579.44</v>
      </c>
      <c r="X10" s="263"/>
      <c r="Y10" s="182">
        <v>180121.18</v>
      </c>
      <c r="Z10" s="183"/>
      <c r="AB10" s="250">
        <f t="shared" ref="AB10:AB15" si="0">SUM(C10:Y10)</f>
        <v>11154264.970000001</v>
      </c>
    </row>
    <row r="11" spans="1:28">
      <c r="A11" s="50" t="s">
        <v>105</v>
      </c>
      <c r="B11" s="49"/>
      <c r="C11" s="253">
        <v>1164.9000000000001</v>
      </c>
      <c r="D11" s="263"/>
      <c r="E11" s="182">
        <v>1225.4000000000001</v>
      </c>
      <c r="F11" s="263"/>
      <c r="G11" s="182">
        <v>1283.3900000000001</v>
      </c>
      <c r="H11" s="263"/>
      <c r="I11" s="182">
        <v>639.34</v>
      </c>
      <c r="J11" s="263"/>
      <c r="K11" s="182">
        <v>706.94</v>
      </c>
      <c r="L11" s="263"/>
      <c r="M11" s="182">
        <v>481.58</v>
      </c>
      <c r="N11" s="263"/>
      <c r="O11" s="182">
        <v>647.48</v>
      </c>
      <c r="P11" s="263"/>
      <c r="Q11" s="182">
        <v>663.57</v>
      </c>
      <c r="R11" s="263"/>
      <c r="S11" s="182">
        <v>699.6</v>
      </c>
      <c r="T11" s="263"/>
      <c r="U11" s="182">
        <v>702.54</v>
      </c>
      <c r="V11" s="263"/>
      <c r="W11" s="182">
        <v>764.18</v>
      </c>
      <c r="X11" s="263"/>
      <c r="Y11" s="182">
        <v>809.34</v>
      </c>
      <c r="Z11" s="183"/>
      <c r="AB11" s="250">
        <f t="shared" si="0"/>
        <v>9788.260000000002</v>
      </c>
    </row>
    <row r="12" spans="1:28">
      <c r="A12" s="50" t="s">
        <v>314</v>
      </c>
      <c r="B12" s="49"/>
      <c r="C12" s="253">
        <v>41511</v>
      </c>
      <c r="D12" s="263"/>
      <c r="E12" s="182">
        <v>0</v>
      </c>
      <c r="F12" s="263"/>
      <c r="H12" s="263"/>
      <c r="J12" s="263"/>
      <c r="L12" s="263"/>
      <c r="N12" s="263"/>
      <c r="P12" s="263"/>
      <c r="R12" s="263"/>
      <c r="T12" s="263"/>
      <c r="V12" s="263"/>
      <c r="X12" s="263"/>
      <c r="Z12" s="183"/>
      <c r="AB12" s="250">
        <f t="shared" si="0"/>
        <v>41511</v>
      </c>
    </row>
    <row r="13" spans="1:28">
      <c r="A13" s="242" t="s">
        <v>313</v>
      </c>
      <c r="B13" s="49"/>
      <c r="C13" s="253">
        <v>0</v>
      </c>
      <c r="D13" s="263"/>
      <c r="E13" s="182">
        <v>0</v>
      </c>
      <c r="F13" s="263"/>
      <c r="H13" s="263"/>
      <c r="J13" s="263"/>
      <c r="L13" s="263"/>
      <c r="N13" s="263"/>
      <c r="P13" s="263"/>
      <c r="R13" s="263"/>
      <c r="T13" s="263"/>
      <c r="V13" s="263"/>
      <c r="X13" s="263"/>
      <c r="Z13" s="183"/>
      <c r="AB13" s="250">
        <f t="shared" si="0"/>
        <v>0</v>
      </c>
    </row>
    <row r="14" spans="1:28">
      <c r="A14" s="50" t="s">
        <v>115</v>
      </c>
      <c r="B14" s="49"/>
      <c r="C14" s="248">
        <v>0</v>
      </c>
      <c r="D14" s="263"/>
      <c r="E14" s="248">
        <v>0</v>
      </c>
      <c r="F14" s="263"/>
      <c r="G14" s="248"/>
      <c r="H14" s="263"/>
      <c r="I14" s="248"/>
      <c r="J14" s="263"/>
      <c r="K14" s="248"/>
      <c r="L14" s="263"/>
      <c r="M14" s="248"/>
      <c r="N14" s="263"/>
      <c r="O14" s="248"/>
      <c r="P14" s="263"/>
      <c r="Q14" s="248"/>
      <c r="R14" s="263"/>
      <c r="S14" s="248"/>
      <c r="T14" s="263"/>
      <c r="U14" s="248"/>
      <c r="V14" s="263"/>
      <c r="W14" s="248"/>
      <c r="X14" s="263"/>
      <c r="Y14" s="248"/>
      <c r="Z14" s="183"/>
      <c r="AB14" s="256">
        <f t="shared" si="0"/>
        <v>0</v>
      </c>
    </row>
    <row r="15" spans="1:28">
      <c r="A15" s="50" t="s">
        <v>116</v>
      </c>
      <c r="B15" s="49"/>
      <c r="C15" s="249">
        <f>SUM(C10:C14)</f>
        <v>50612.979999999996</v>
      </c>
      <c r="D15" s="263"/>
      <c r="E15" s="249">
        <f>SUM(E10:E14)</f>
        <v>133913.38999999998</v>
      </c>
      <c r="F15" s="263"/>
      <c r="G15" s="249">
        <f>SUM(G10:G14)</f>
        <v>376369.08</v>
      </c>
      <c r="H15" s="263"/>
      <c r="I15" s="249">
        <f>SUM(I10:I14)</f>
        <v>2216473.61</v>
      </c>
      <c r="J15" s="263"/>
      <c r="K15" s="249">
        <f>SUM(K10:K14)</f>
        <v>6659287.3700000001</v>
      </c>
      <c r="L15" s="263"/>
      <c r="M15" s="249">
        <f>SUM(M10:M14)</f>
        <v>1108184.04</v>
      </c>
      <c r="N15" s="263"/>
      <c r="O15" s="249">
        <f>SUM(O10:O14)</f>
        <v>167603.37000000002</v>
      </c>
      <c r="P15" s="263"/>
      <c r="Q15" s="249">
        <f>SUM(Q10:Q14)</f>
        <v>56679.93</v>
      </c>
      <c r="R15" s="263"/>
      <c r="S15" s="249">
        <f>SUM(S10:S14)</f>
        <v>42014.74</v>
      </c>
      <c r="T15" s="263"/>
      <c r="U15" s="249">
        <f>SUM(U10:U14)</f>
        <v>122151.57999999999</v>
      </c>
      <c r="V15" s="263"/>
      <c r="W15" s="249">
        <f>SUM(W10:W14)</f>
        <v>91343.62</v>
      </c>
      <c r="X15" s="263"/>
      <c r="Y15" s="249">
        <f>SUM(Y10:Y14)</f>
        <v>180930.52</v>
      </c>
      <c r="Z15" s="183"/>
      <c r="AB15" s="182">
        <f t="shared" si="0"/>
        <v>11205564.229999997</v>
      </c>
    </row>
    <row r="16" spans="1:28">
      <c r="B16" s="49"/>
      <c r="D16" s="263"/>
      <c r="F16" s="263"/>
      <c r="H16" s="263"/>
      <c r="J16" s="263"/>
      <c r="L16" s="263"/>
      <c r="N16" s="263"/>
      <c r="P16" s="263"/>
      <c r="R16" s="263"/>
      <c r="T16" s="263"/>
      <c r="V16" s="263"/>
      <c r="X16" s="263"/>
      <c r="Z16" s="183"/>
    </row>
    <row r="17" spans="1:41">
      <c r="A17" s="52" t="s">
        <v>117</v>
      </c>
      <c r="B17" s="49"/>
      <c r="D17" s="263"/>
      <c r="F17" s="263"/>
      <c r="H17" s="263"/>
      <c r="J17" s="263"/>
      <c r="L17" s="263"/>
      <c r="N17" s="263"/>
      <c r="P17" s="263"/>
      <c r="R17" s="263"/>
      <c r="T17" s="263"/>
      <c r="V17" s="263"/>
      <c r="X17" s="263"/>
      <c r="Z17" s="183"/>
    </row>
    <row r="18" spans="1:41">
      <c r="A18" s="50" t="s">
        <v>122</v>
      </c>
      <c r="B18" s="54"/>
      <c r="C18" s="258">
        <v>0</v>
      </c>
      <c r="D18" s="264"/>
      <c r="E18" s="258">
        <v>0</v>
      </c>
      <c r="F18" s="263"/>
      <c r="G18" s="248">
        <v>0</v>
      </c>
      <c r="H18" s="263"/>
      <c r="I18" s="248">
        <v>0</v>
      </c>
      <c r="J18" s="263"/>
      <c r="K18" s="248">
        <v>0</v>
      </c>
      <c r="L18" s="263"/>
      <c r="M18" s="248">
        <v>0</v>
      </c>
      <c r="N18" s="263"/>
      <c r="O18" s="248">
        <v>0</v>
      </c>
      <c r="P18" s="263"/>
      <c r="Q18" s="248">
        <v>0</v>
      </c>
      <c r="R18" s="263"/>
      <c r="S18" s="248">
        <v>0</v>
      </c>
      <c r="T18" s="263"/>
      <c r="U18" s="248">
        <v>0</v>
      </c>
      <c r="V18" s="263"/>
      <c r="W18" s="248">
        <v>0</v>
      </c>
      <c r="X18" s="263"/>
      <c r="Y18" s="248">
        <v>0</v>
      </c>
      <c r="Z18" s="259"/>
      <c r="AB18" s="256">
        <f>SUM(C18:Y18)</f>
        <v>0</v>
      </c>
    </row>
    <row r="19" spans="1:41">
      <c r="A19" s="50" t="s">
        <v>123</v>
      </c>
      <c r="B19" s="49"/>
      <c r="C19" s="249">
        <f>SUM(C18:C18)</f>
        <v>0</v>
      </c>
      <c r="D19" s="263"/>
      <c r="E19" s="249">
        <f>SUM(E18:E18)</f>
        <v>0</v>
      </c>
      <c r="F19" s="263"/>
      <c r="G19" s="249">
        <f>SUM(G18:G18)</f>
        <v>0</v>
      </c>
      <c r="H19" s="263"/>
      <c r="I19" s="249">
        <f>SUM(I18:I18)</f>
        <v>0</v>
      </c>
      <c r="J19" s="263"/>
      <c r="K19" s="249">
        <f>SUM(K18:K18)</f>
        <v>0</v>
      </c>
      <c r="L19" s="263"/>
      <c r="M19" s="249">
        <f>SUM(M18:M18)</f>
        <v>0</v>
      </c>
      <c r="N19" s="263"/>
      <c r="O19" s="249">
        <f>SUM(O18:O18)</f>
        <v>0</v>
      </c>
      <c r="P19" s="263"/>
      <c r="Q19" s="249">
        <f>SUM(Q18:Q18)</f>
        <v>0</v>
      </c>
      <c r="R19" s="263"/>
      <c r="S19" s="249">
        <f>SUM(S18:S18)</f>
        <v>0</v>
      </c>
      <c r="T19" s="263"/>
      <c r="U19" s="249">
        <f>SUM(U18:U18)</f>
        <v>0</v>
      </c>
      <c r="V19" s="263"/>
      <c r="W19" s="249"/>
      <c r="X19" s="263"/>
      <c r="Y19" s="249"/>
      <c r="Z19" s="259"/>
      <c r="AB19" s="182">
        <f>SUM(C19:Y19)</f>
        <v>0</v>
      </c>
    </row>
    <row r="20" spans="1:41">
      <c r="B20" s="49"/>
      <c r="D20" s="263"/>
      <c r="F20" s="263"/>
      <c r="H20" s="263"/>
      <c r="J20" s="263"/>
      <c r="L20" s="263"/>
      <c r="M20" s="260"/>
      <c r="N20" s="263"/>
      <c r="P20" s="263"/>
      <c r="R20" s="263"/>
      <c r="T20" s="263"/>
      <c r="V20" s="263"/>
      <c r="X20" s="263"/>
      <c r="Z20" s="183"/>
    </row>
    <row r="21" spans="1:41">
      <c r="A21" s="242" t="s">
        <v>255</v>
      </c>
      <c r="B21" s="49"/>
      <c r="C21" s="182">
        <v>0</v>
      </c>
      <c r="D21" s="263"/>
      <c r="E21" s="182">
        <v>0</v>
      </c>
      <c r="F21" s="263"/>
      <c r="G21" s="182">
        <v>0</v>
      </c>
      <c r="H21" s="263"/>
      <c r="I21" s="182">
        <v>6000000</v>
      </c>
      <c r="J21" s="263"/>
      <c r="K21" s="182">
        <f>4000000+2250000</f>
        <v>6250000</v>
      </c>
      <c r="L21" s="263"/>
      <c r="M21" s="182">
        <v>0</v>
      </c>
      <c r="N21" s="263"/>
      <c r="O21" s="182">
        <v>0</v>
      </c>
      <c r="P21" s="182"/>
      <c r="Q21" s="182">
        <v>0</v>
      </c>
      <c r="R21" s="263"/>
      <c r="S21" s="182">
        <v>0</v>
      </c>
      <c r="T21" s="263"/>
      <c r="U21" s="182">
        <v>0</v>
      </c>
      <c r="V21" s="263"/>
      <c r="W21" s="182">
        <v>0</v>
      </c>
      <c r="X21" s="263"/>
      <c r="Y21" s="182">
        <v>0</v>
      </c>
      <c r="Z21" s="183"/>
      <c r="AB21" s="250">
        <f>SUM(C21:Y21)</f>
        <v>12250000</v>
      </c>
    </row>
    <row r="22" spans="1:41">
      <c r="A22" s="242" t="s">
        <v>311</v>
      </c>
      <c r="B22" s="49"/>
      <c r="C22" s="248">
        <v>7825</v>
      </c>
      <c r="D22" s="263"/>
      <c r="E22" s="248">
        <v>0</v>
      </c>
      <c r="F22" s="263"/>
      <c r="G22" s="248">
        <v>0</v>
      </c>
      <c r="H22" s="263"/>
      <c r="I22" s="248">
        <v>0</v>
      </c>
      <c r="J22" s="263"/>
      <c r="K22" s="248">
        <v>0</v>
      </c>
      <c r="L22" s="263"/>
      <c r="M22" s="248">
        <v>2500</v>
      </c>
      <c r="N22" s="263"/>
      <c r="O22" s="248">
        <v>5000</v>
      </c>
      <c r="P22" s="263"/>
      <c r="Q22" s="248">
        <v>1300</v>
      </c>
      <c r="R22" s="263"/>
      <c r="S22" s="248">
        <v>0</v>
      </c>
      <c r="T22" s="263"/>
      <c r="U22" s="248">
        <v>0</v>
      </c>
      <c r="V22" s="263"/>
      <c r="W22" s="248">
        <v>0</v>
      </c>
      <c r="X22" s="263"/>
      <c r="Y22" s="248">
        <v>0</v>
      </c>
      <c r="Z22" s="183"/>
      <c r="AB22" s="256">
        <f>SUM(C22:Y22)</f>
        <v>16625</v>
      </c>
    </row>
    <row r="23" spans="1:41">
      <c r="A23" s="50" t="s">
        <v>127</v>
      </c>
      <c r="B23" s="49"/>
      <c r="C23" s="249">
        <f>SUM(C21:C22)+C19</f>
        <v>7825</v>
      </c>
      <c r="D23" s="263"/>
      <c r="E23" s="249">
        <f>SUM(E21:E22)+E19</f>
        <v>0</v>
      </c>
      <c r="F23" s="263"/>
      <c r="G23" s="249">
        <f>SUM(G21:G22)+G19</f>
        <v>0</v>
      </c>
      <c r="H23" s="263"/>
      <c r="I23" s="249">
        <f>SUM(I21:I22)+I19</f>
        <v>6000000</v>
      </c>
      <c r="J23" s="263"/>
      <c r="K23" s="249">
        <f>SUM(K21:K22)+K19</f>
        <v>6250000</v>
      </c>
      <c r="L23" s="263"/>
      <c r="M23" s="249">
        <f>SUM(M21:M22)+M19</f>
        <v>2500</v>
      </c>
      <c r="N23" s="263"/>
      <c r="O23" s="249">
        <f>SUM(O21:O22)+O19</f>
        <v>5000</v>
      </c>
      <c r="P23" s="263"/>
      <c r="Q23" s="249">
        <f>SUM(Q21:Q22)+Q19</f>
        <v>1300</v>
      </c>
      <c r="R23" s="263"/>
      <c r="S23" s="249">
        <f>SUM(S21:S22)+S19</f>
        <v>0</v>
      </c>
      <c r="T23" s="263"/>
      <c r="U23" s="249">
        <f>SUM(U21:U22)+U19</f>
        <v>0</v>
      </c>
      <c r="V23" s="263"/>
      <c r="W23" s="249">
        <f>SUM(W21:W22)+W19</f>
        <v>0</v>
      </c>
      <c r="X23" s="263"/>
      <c r="Y23" s="249">
        <f>SUM(Y19:Y22)</f>
        <v>0</v>
      </c>
      <c r="Z23" s="259"/>
      <c r="AB23" s="182">
        <f>SUM(C23:Y23)</f>
        <v>12266625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3"/>
      <c r="E24" s="252"/>
      <c r="F24" s="263"/>
      <c r="G24" s="252"/>
      <c r="H24" s="263"/>
      <c r="I24" s="252"/>
      <c r="J24" s="263"/>
      <c r="K24" s="252"/>
      <c r="L24" s="263"/>
      <c r="M24" s="252"/>
      <c r="N24" s="263"/>
      <c r="O24" s="252"/>
      <c r="P24" s="263"/>
      <c r="Q24" s="252"/>
      <c r="R24" s="263"/>
      <c r="S24" s="252"/>
      <c r="T24" s="263"/>
      <c r="U24" s="252"/>
      <c r="V24" s="263"/>
      <c r="W24" s="252"/>
      <c r="X24" s="263"/>
      <c r="Y24" s="252"/>
      <c r="Z24" s="259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9">
        <f>+C15-C23</f>
        <v>42787.979999999996</v>
      </c>
      <c r="D25" s="263"/>
      <c r="E25" s="249">
        <f>+E15-E23</f>
        <v>133913.38999999998</v>
      </c>
      <c r="F25" s="263"/>
      <c r="G25" s="249">
        <f>+G15-G23</f>
        <v>376369.08</v>
      </c>
      <c r="H25" s="263"/>
      <c r="I25" s="249">
        <f>+I15-I23</f>
        <v>-3783526.39</v>
      </c>
      <c r="J25" s="263"/>
      <c r="K25" s="249">
        <f>+K15-K23</f>
        <v>409287.37000000011</v>
      </c>
      <c r="L25" s="263"/>
      <c r="M25" s="249">
        <f>+M15-M23</f>
        <v>1105684.04</v>
      </c>
      <c r="N25" s="263"/>
      <c r="O25" s="249">
        <f>+O15-O23</f>
        <v>162603.37000000002</v>
      </c>
      <c r="P25" s="263"/>
      <c r="Q25" s="249">
        <f>+Q15-Q23</f>
        <v>55379.93</v>
      </c>
      <c r="R25" s="263"/>
      <c r="S25" s="249">
        <f>+S15-S23</f>
        <v>42014.74</v>
      </c>
      <c r="T25" s="263"/>
      <c r="U25" s="249">
        <f>+U15-U23</f>
        <v>122151.57999999999</v>
      </c>
      <c r="V25" s="263"/>
      <c r="W25" s="249">
        <f>+W15-W23</f>
        <v>91343.62</v>
      </c>
      <c r="Y25" s="249">
        <f>+Y15-Y23</f>
        <v>180930.52</v>
      </c>
      <c r="AB25" s="182">
        <f>SUM(C25:Y25)</f>
        <v>-1061060.77</v>
      </c>
    </row>
    <row r="26" spans="1:41" ht="13.5" thickBot="1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41" ht="13.5" thickBot="1">
      <c r="A27" s="57" t="s">
        <v>129</v>
      </c>
      <c r="B27" s="53"/>
      <c r="C27" s="481">
        <f>+C7+C25</f>
        <v>3575420.47</v>
      </c>
      <c r="D27" s="268"/>
      <c r="E27" s="481">
        <f>+E7+E25</f>
        <v>3709333.8600000003</v>
      </c>
      <c r="F27" s="268"/>
      <c r="G27" s="481">
        <f>+G7+G25</f>
        <v>4085702.9400000004</v>
      </c>
      <c r="H27" s="268"/>
      <c r="I27" s="481">
        <f>+I7+I25</f>
        <v>302176.55000000028</v>
      </c>
      <c r="J27" s="268"/>
      <c r="K27" s="481">
        <f>+K7+K25</f>
        <v>711463.92000000039</v>
      </c>
      <c r="L27" s="268"/>
      <c r="M27" s="481">
        <f>+M7+M25</f>
        <v>1817147.9600000004</v>
      </c>
      <c r="N27" s="268"/>
      <c r="O27" s="481">
        <f>+O7+O25</f>
        <v>1979751.3300000005</v>
      </c>
      <c r="P27" s="268"/>
      <c r="Q27" s="481">
        <f>+Q7+Q25</f>
        <v>2035131.2600000005</v>
      </c>
      <c r="R27" s="268"/>
      <c r="S27" s="481">
        <f>+S7+S25</f>
        <v>2077146.0000000005</v>
      </c>
      <c r="T27" s="268"/>
      <c r="U27" s="481">
        <f>+U7+U25</f>
        <v>2199297.5800000005</v>
      </c>
      <c r="V27" s="268"/>
      <c r="W27" s="481">
        <f>+W7+W25</f>
        <v>2290641.2000000007</v>
      </c>
      <c r="X27" s="267"/>
      <c r="Y27" s="481">
        <f>+Y7+Y25</f>
        <v>2471571.7200000007</v>
      </c>
      <c r="Z27" s="261"/>
      <c r="AA27" s="267"/>
      <c r="AB27" s="481">
        <f>+AB7+AB25</f>
        <v>2471571.7200000002</v>
      </c>
    </row>
    <row r="28" spans="1:41">
      <c r="B28" s="49"/>
      <c r="D28" s="263"/>
      <c r="F28" s="263"/>
      <c r="H28" s="263"/>
      <c r="J28" s="263"/>
      <c r="L28" s="263"/>
      <c r="N28" s="263"/>
      <c r="P28" s="263"/>
      <c r="R28" s="263"/>
      <c r="T28" s="263"/>
      <c r="V28" s="263"/>
      <c r="X28" s="263"/>
      <c r="Z28" s="183"/>
    </row>
    <row r="29" spans="1:41">
      <c r="B29" s="49"/>
      <c r="D29" s="263"/>
      <c r="F29" s="263"/>
      <c r="H29" s="263"/>
      <c r="J29" s="263"/>
      <c r="L29" s="263"/>
      <c r="N29" s="263"/>
      <c r="P29" s="263"/>
      <c r="R29" s="263"/>
      <c r="T29" s="263"/>
      <c r="V29" s="263"/>
      <c r="X29" s="263"/>
      <c r="Z29" s="183"/>
    </row>
    <row r="30" spans="1:41">
      <c r="A30" s="242" t="s">
        <v>270</v>
      </c>
      <c r="B30" s="49"/>
      <c r="C30" s="182">
        <f>7879427.71+128.76-7792209.4</f>
        <v>87347.069999999367</v>
      </c>
      <c r="D30" s="263"/>
      <c r="E30" s="182">
        <f>+C30+C31</f>
        <v>87349.949999999371</v>
      </c>
      <c r="F30" s="263"/>
      <c r="G30" s="182">
        <f>+E30+E31</f>
        <v>87353.659999999378</v>
      </c>
      <c r="H30" s="263"/>
      <c r="I30" s="182">
        <f>+G30+G31</f>
        <v>87356.84999999938</v>
      </c>
      <c r="J30" s="263"/>
      <c r="K30" s="182">
        <f>+I34</f>
        <v>6087467.1599999992</v>
      </c>
      <c r="L30" s="263"/>
      <c r="M30" s="182">
        <f>+K34</f>
        <v>12337685.52</v>
      </c>
      <c r="N30" s="263"/>
      <c r="O30" s="182">
        <f>+M30+M31+M33</f>
        <v>9495904.8900000006</v>
      </c>
      <c r="P30" s="263"/>
      <c r="Q30" s="182">
        <f>+O30+O31</f>
        <v>9496145.9900000002</v>
      </c>
      <c r="R30" s="263"/>
      <c r="S30" s="182">
        <f>+Q30+Q31</f>
        <v>9496408.120000001</v>
      </c>
      <c r="T30" s="263"/>
      <c r="U30" s="182">
        <f>+S30+S31</f>
        <v>9496605.2100000009</v>
      </c>
      <c r="V30" s="263"/>
      <c r="W30" s="182">
        <f>+U30+U31</f>
        <v>9496827.1300000008</v>
      </c>
      <c r="X30" s="263"/>
      <c r="Y30" s="182">
        <f>+W30+W31</f>
        <v>9497079.4700000007</v>
      </c>
      <c r="Z30" s="183"/>
      <c r="AB30" s="250">
        <f>+C30</f>
        <v>87347.069999999367</v>
      </c>
    </row>
    <row r="31" spans="1:41">
      <c r="A31" s="242" t="s">
        <v>271</v>
      </c>
      <c r="B31" s="49"/>
      <c r="C31" s="182">
        <v>2.88</v>
      </c>
      <c r="D31" s="263"/>
      <c r="E31" s="182">
        <v>3.71</v>
      </c>
      <c r="F31" s="263"/>
      <c r="G31" s="182">
        <v>3.19</v>
      </c>
      <c r="H31" s="263"/>
      <c r="I31" s="182">
        <v>110.31</v>
      </c>
      <c r="J31" s="263"/>
      <c r="K31" s="182">
        <v>218.36</v>
      </c>
      <c r="L31" s="263"/>
      <c r="M31" s="182">
        <v>229.39</v>
      </c>
      <c r="N31" s="263"/>
      <c r="O31" s="182">
        <v>241.1</v>
      </c>
      <c r="P31" s="263"/>
      <c r="Q31" s="182">
        <v>262.13</v>
      </c>
      <c r="R31" s="263"/>
      <c r="S31" s="182">
        <v>197.09</v>
      </c>
      <c r="T31" s="263"/>
      <c r="U31" s="182">
        <v>221.92</v>
      </c>
      <c r="V31" s="263"/>
      <c r="W31" s="182">
        <v>252.34</v>
      </c>
      <c r="X31" s="263"/>
      <c r="Y31" s="182">
        <v>143.72</v>
      </c>
      <c r="Z31" s="183"/>
      <c r="AB31" s="250">
        <f>SUM(C31:AA31)</f>
        <v>1886.14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6000000</v>
      </c>
      <c r="K32" s="182">
        <f>4000000+2250000</f>
        <v>6250000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50">
        <f>SUM(C32:AA32)</f>
        <v>12250000</v>
      </c>
    </row>
    <row r="33" spans="1:28">
      <c r="A33" s="50" t="s">
        <v>133</v>
      </c>
      <c r="B33" s="49"/>
      <c r="C33" s="248">
        <v>0</v>
      </c>
      <c r="D33" s="263"/>
      <c r="E33" s="248">
        <v>0</v>
      </c>
      <c r="F33" s="263"/>
      <c r="G33" s="248">
        <v>0</v>
      </c>
      <c r="H33" s="263"/>
      <c r="I33" s="248">
        <v>0</v>
      </c>
      <c r="J33" s="263"/>
      <c r="K33" s="248">
        <v>0</v>
      </c>
      <c r="L33" s="263"/>
      <c r="M33" s="248">
        <v>-2842010.02</v>
      </c>
      <c r="N33" s="263"/>
      <c r="O33" s="248">
        <v>0</v>
      </c>
      <c r="P33" s="263"/>
      <c r="Q33" s="248">
        <v>0</v>
      </c>
      <c r="R33" s="263"/>
      <c r="S33" s="248">
        <v>0</v>
      </c>
      <c r="T33" s="263"/>
      <c r="U33" s="248">
        <v>0</v>
      </c>
      <c r="V33" s="263"/>
      <c r="W33" s="248">
        <v>0</v>
      </c>
      <c r="X33" s="263"/>
      <c r="Y33" s="248">
        <v>-8256235.0199999996</v>
      </c>
      <c r="Z33" s="183"/>
      <c r="AB33" s="256">
        <f>SUM(C33:AA33)</f>
        <v>-11098245.039999999</v>
      </c>
    </row>
    <row r="34" spans="1:28">
      <c r="A34" s="57" t="s">
        <v>134</v>
      </c>
      <c r="B34" s="53"/>
      <c r="C34" s="249">
        <f>SUM(C30:C33)</f>
        <v>87349.949999999371</v>
      </c>
      <c r="D34" s="268"/>
      <c r="E34" s="249">
        <f>SUM(E30:E33)</f>
        <v>87353.659999999378</v>
      </c>
      <c r="F34" s="268"/>
      <c r="G34" s="249">
        <f>SUM(G30:G33)</f>
        <v>87356.84999999938</v>
      </c>
      <c r="H34" s="268"/>
      <c r="I34" s="249">
        <f>SUM(I30:I33)</f>
        <v>6087467.1599999992</v>
      </c>
      <c r="J34" s="268"/>
      <c r="K34" s="249">
        <f>SUM(K30:K33)</f>
        <v>12337685.52</v>
      </c>
      <c r="L34" s="268"/>
      <c r="M34" s="249">
        <f>SUM(M30:M33)</f>
        <v>9495904.8900000006</v>
      </c>
      <c r="N34" s="268"/>
      <c r="O34" s="249">
        <f>SUM(O30:O33)</f>
        <v>9496145.9900000002</v>
      </c>
      <c r="P34" s="268"/>
      <c r="Q34" s="249">
        <f>SUM(Q30:Q33)</f>
        <v>9496408.120000001</v>
      </c>
      <c r="R34" s="268"/>
      <c r="S34" s="249">
        <f>SUM(S30:S33)</f>
        <v>9496605.2100000009</v>
      </c>
      <c r="T34" s="268"/>
      <c r="U34" s="249">
        <f>SUM(U30:U33)</f>
        <v>9496827.1300000008</v>
      </c>
      <c r="V34" s="268"/>
      <c r="W34" s="249">
        <f>SUM(W30:W33)</f>
        <v>9497079.4700000007</v>
      </c>
      <c r="X34" s="268"/>
      <c r="Y34" s="249">
        <f>SUM(Y30:Y33)</f>
        <v>1240988.1700000018</v>
      </c>
      <c r="Z34" s="268"/>
      <c r="AB34" s="182">
        <f>SUM(AB30:AB33)</f>
        <v>1240988.17</v>
      </c>
    </row>
    <row r="35" spans="1:28" ht="13.5" thickBot="1">
      <c r="B35" s="49"/>
      <c r="D35" s="263"/>
      <c r="F35" s="263"/>
      <c r="H35" s="263"/>
      <c r="J35" s="263"/>
      <c r="L35" s="263"/>
      <c r="N35" s="263"/>
      <c r="P35" s="263"/>
      <c r="R35" s="263"/>
      <c r="T35" s="263"/>
      <c r="V35" s="263"/>
      <c r="X35" s="263"/>
      <c r="Z35" s="263"/>
    </row>
    <row r="36" spans="1:28" ht="13.5" thickBot="1">
      <c r="A36" s="52" t="s">
        <v>135</v>
      </c>
      <c r="B36" s="53"/>
      <c r="C36" s="481">
        <f>+C27+C34</f>
        <v>3662770.4199999995</v>
      </c>
      <c r="D36" s="268"/>
      <c r="E36" s="481">
        <f>+E27+E34</f>
        <v>3796687.5199999996</v>
      </c>
      <c r="F36" s="268"/>
      <c r="G36" s="481">
        <f>+G27+G34</f>
        <v>4173059.7899999996</v>
      </c>
      <c r="H36" s="268"/>
      <c r="I36" s="481">
        <f>+I27+I34</f>
        <v>6389643.709999999</v>
      </c>
      <c r="J36" s="268"/>
      <c r="K36" s="481">
        <f>+K27+K34</f>
        <v>13049149.439999999</v>
      </c>
      <c r="L36" s="268"/>
      <c r="M36" s="481">
        <f>+M27+M34</f>
        <v>11313052.850000001</v>
      </c>
      <c r="N36" s="268"/>
      <c r="O36" s="481">
        <f>+O27+O34</f>
        <v>11475897.32</v>
      </c>
      <c r="P36" s="268"/>
      <c r="Q36" s="481">
        <f>+Q27+Q34</f>
        <v>11531539.380000001</v>
      </c>
      <c r="R36" s="268"/>
      <c r="S36" s="481">
        <f>+S27+S34</f>
        <v>11573751.210000001</v>
      </c>
      <c r="T36" s="268"/>
      <c r="U36" s="481">
        <f>+U27+U34</f>
        <v>11696124.710000001</v>
      </c>
      <c r="V36" s="268"/>
      <c r="W36" s="481">
        <f>+W27+W34</f>
        <v>11787720.670000002</v>
      </c>
      <c r="X36" s="267"/>
      <c r="Y36" s="481">
        <f>+Y27+Y34</f>
        <v>3712559.8900000025</v>
      </c>
      <c r="Z36" s="261"/>
      <c r="AA36" s="267"/>
      <c r="AB36" s="481">
        <f>+AB27+AB34</f>
        <v>3712559.89</v>
      </c>
    </row>
    <row r="37" spans="1:28">
      <c r="B37" s="49"/>
      <c r="D37" s="263"/>
      <c r="F37" s="263"/>
      <c r="H37" s="263"/>
      <c r="J37" s="263"/>
      <c r="L37" s="263"/>
      <c r="N37" s="263"/>
      <c r="P37" s="263"/>
      <c r="R37" s="263"/>
      <c r="T37" s="263"/>
      <c r="V37" s="263"/>
      <c r="X37" s="263"/>
      <c r="Z37" s="183"/>
    </row>
    <row r="38" spans="1:28">
      <c r="B38" s="49"/>
      <c r="D38" s="263"/>
      <c r="F38" s="263"/>
      <c r="H38" s="263"/>
      <c r="J38" s="263"/>
      <c r="L38" s="263"/>
      <c r="N38" s="263"/>
      <c r="P38" s="263"/>
      <c r="R38" s="263"/>
      <c r="T38" s="263"/>
      <c r="V38" s="263"/>
      <c r="X38" s="263"/>
      <c r="Z38" s="183"/>
    </row>
    <row r="39" spans="1:28">
      <c r="B39" s="49"/>
      <c r="D39" s="263"/>
      <c r="F39" s="263"/>
      <c r="H39" s="263"/>
      <c r="J39" s="263"/>
      <c r="L39" s="263"/>
      <c r="N39" s="263"/>
      <c r="P39" s="263"/>
      <c r="R39" s="263"/>
      <c r="T39" s="263"/>
      <c r="V39" s="263"/>
      <c r="X39" s="263"/>
      <c r="Z39" s="183"/>
    </row>
    <row r="40" spans="1:28">
      <c r="B40" s="49"/>
      <c r="D40" s="263"/>
      <c r="F40" s="263"/>
      <c r="H40" s="263"/>
      <c r="J40" s="263"/>
      <c r="L40" s="263"/>
      <c r="N40" s="263"/>
      <c r="P40" s="263"/>
      <c r="R40" s="263"/>
      <c r="T40" s="263"/>
      <c r="V40" s="263"/>
      <c r="X40" s="263"/>
      <c r="Z40" s="183"/>
    </row>
    <row r="41" spans="1:28">
      <c r="B41" s="49"/>
      <c r="D41" s="263"/>
      <c r="F41" s="263"/>
      <c r="H41" s="263"/>
      <c r="J41" s="263"/>
      <c r="L41" s="263"/>
      <c r="N41" s="263"/>
      <c r="P41" s="263"/>
      <c r="R41" s="263"/>
      <c r="T41" s="263"/>
      <c r="V41" s="263"/>
      <c r="X41" s="263"/>
      <c r="Z41" s="183"/>
    </row>
    <row r="42" spans="1:28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28">
      <c r="B43" s="49"/>
      <c r="D43" s="263"/>
      <c r="F43" s="263"/>
      <c r="H43" s="263"/>
      <c r="J43" s="263"/>
      <c r="L43" s="263"/>
      <c r="N43" s="263"/>
      <c r="P43" s="263"/>
      <c r="R43" s="263"/>
      <c r="T43" s="263"/>
      <c r="V43" s="263"/>
      <c r="X43" s="263"/>
      <c r="Z43" s="183"/>
    </row>
    <row r="44" spans="1:28">
      <c r="B44" s="49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</sheetData>
  <phoneticPr fontId="10" type="noConversion"/>
  <pageMargins left="0.17" right="0.17" top="0.75" bottom="0.5" header="0.41" footer="0.37"/>
  <pageSetup scale="5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G34" sqref="G34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17" customWidth="1"/>
    <col min="6" max="6" width="4.5703125" style="60" customWidth="1"/>
    <col min="7" max="7" width="16.42578125" style="441" customWidth="1"/>
    <col min="8" max="8" width="13.5703125" style="442" customWidth="1"/>
    <col min="9" max="9" width="11.28515625" style="60" bestFit="1" customWidth="1"/>
    <col min="10" max="16384" width="9.140625" style="60"/>
  </cols>
  <sheetData>
    <row r="1" spans="1:8" ht="18" customHeight="1">
      <c r="A1" s="432" t="s">
        <v>262</v>
      </c>
      <c r="B1" s="433"/>
      <c r="C1" s="433"/>
      <c r="D1" s="434"/>
      <c r="E1" s="435"/>
      <c r="F1" s="59"/>
    </row>
    <row r="2" spans="1:8" ht="15.75" customHeight="1">
      <c r="A2" s="436" t="s">
        <v>305</v>
      </c>
      <c r="B2" s="433"/>
      <c r="C2" s="433"/>
      <c r="D2" s="434"/>
      <c r="E2" s="435"/>
      <c r="F2" s="59"/>
    </row>
    <row r="3" spans="1:8" ht="15" customHeight="1">
      <c r="A3" s="437" t="s">
        <v>334</v>
      </c>
      <c r="B3" s="433"/>
      <c r="C3" s="433"/>
      <c r="D3" s="434"/>
      <c r="E3" s="435"/>
      <c r="F3" s="59"/>
    </row>
    <row r="4" spans="1:8" ht="18" customHeight="1">
      <c r="A4" s="58" t="s">
        <v>85</v>
      </c>
      <c r="B4" s="58"/>
      <c r="C4" s="58"/>
      <c r="D4" s="62"/>
      <c r="E4" s="410"/>
      <c r="F4" s="63"/>
    </row>
    <row r="5" spans="1:8" ht="18" customHeight="1">
      <c r="A5" s="58"/>
      <c r="B5" s="58"/>
      <c r="C5" s="58"/>
      <c r="D5" s="62"/>
      <c r="E5" s="410"/>
      <c r="F5" s="63"/>
    </row>
    <row r="6" spans="1:8" ht="16.5" customHeight="1" thickBot="1">
      <c r="A6" s="64" t="s">
        <v>136</v>
      </c>
      <c r="B6" s="64"/>
      <c r="C6" s="65"/>
      <c r="D6" s="58"/>
      <c r="E6" s="410"/>
      <c r="F6" s="59"/>
    </row>
    <row r="7" spans="1:8" ht="16.5" customHeight="1">
      <c r="A7" s="430"/>
      <c r="B7" s="430"/>
      <c r="C7" s="431"/>
      <c r="D7" s="58"/>
      <c r="E7" s="410"/>
      <c r="F7" s="59"/>
    </row>
    <row r="8" spans="1:8" s="418" customFormat="1">
      <c r="A8" s="63" t="s">
        <v>137</v>
      </c>
      <c r="B8" s="63"/>
      <c r="C8" s="58"/>
      <c r="D8" s="66"/>
      <c r="E8" s="406">
        <f>+'GO Cash Flow'!AB43</f>
        <v>15292402.579999991</v>
      </c>
      <c r="F8" s="71"/>
      <c r="G8" s="452"/>
      <c r="H8" s="443" t="s">
        <v>85</v>
      </c>
    </row>
    <row r="9" spans="1:8" s="418" customFormat="1">
      <c r="A9" s="420"/>
      <c r="B9" s="420"/>
      <c r="C9" s="58"/>
      <c r="D9" s="66"/>
      <c r="E9" s="406"/>
      <c r="F9" s="71"/>
      <c r="G9" s="441"/>
      <c r="H9" s="443"/>
    </row>
    <row r="10" spans="1:8" s="418" customFormat="1">
      <c r="A10" s="421" t="s">
        <v>295</v>
      </c>
      <c r="B10" s="422" t="s">
        <v>297</v>
      </c>
      <c r="C10" s="69"/>
      <c r="D10" s="70"/>
      <c r="E10" s="408">
        <v>4444599.3899999997</v>
      </c>
      <c r="F10" s="71"/>
      <c r="G10" s="441"/>
      <c r="H10" s="443"/>
    </row>
    <row r="11" spans="1:8" s="418" customFormat="1">
      <c r="A11" s="422"/>
      <c r="B11" s="421" t="s">
        <v>263</v>
      </c>
      <c r="C11" s="58"/>
      <c r="D11" s="68"/>
      <c r="E11" s="407">
        <v>12161189.85</v>
      </c>
      <c r="F11" s="71"/>
      <c r="G11" s="441"/>
      <c r="H11" s="443"/>
    </row>
    <row r="12" spans="1:8" s="418" customFormat="1">
      <c r="A12" s="422"/>
      <c r="B12" s="422" t="s">
        <v>296</v>
      </c>
      <c r="C12" s="69"/>
      <c r="D12" s="70"/>
      <c r="E12" s="408">
        <v>1378761.59</v>
      </c>
      <c r="F12" s="71"/>
      <c r="G12" s="441"/>
      <c r="H12" s="443"/>
    </row>
    <row r="13" spans="1:8" s="418" customFormat="1">
      <c r="A13" s="422"/>
      <c r="B13" s="422"/>
      <c r="C13" s="69"/>
      <c r="D13" s="70"/>
      <c r="E13" s="409"/>
      <c r="F13" s="71"/>
      <c r="G13" s="441"/>
      <c r="H13" s="443"/>
    </row>
    <row r="14" spans="1:8" s="418" customFormat="1">
      <c r="A14" s="421" t="s">
        <v>295</v>
      </c>
      <c r="B14" s="422" t="s">
        <v>302</v>
      </c>
      <c r="C14" s="69"/>
      <c r="D14" s="70"/>
      <c r="E14" s="472">
        <f>4428.34+8451</f>
        <v>12879.34</v>
      </c>
      <c r="F14" s="71"/>
      <c r="G14" s="441"/>
      <c r="H14" s="443"/>
    </row>
    <row r="15" spans="1:8" s="418" customFormat="1">
      <c r="A15" s="421"/>
      <c r="B15" s="422" t="s">
        <v>303</v>
      </c>
      <c r="C15" s="69"/>
      <c r="D15" s="70"/>
      <c r="E15" s="409">
        <v>1512.9</v>
      </c>
      <c r="F15" s="71"/>
      <c r="G15" s="441"/>
      <c r="H15" s="443"/>
    </row>
    <row r="16" spans="1:8" s="418" customFormat="1">
      <c r="A16" s="421"/>
      <c r="B16" s="422"/>
      <c r="C16" s="69"/>
      <c r="D16" s="70"/>
      <c r="E16" s="409"/>
      <c r="F16" s="71"/>
      <c r="G16" s="441"/>
      <c r="H16" s="443"/>
    </row>
    <row r="17" spans="1:9" s="418" customFormat="1">
      <c r="A17" s="420" t="s">
        <v>299</v>
      </c>
      <c r="B17" s="420" t="s">
        <v>301</v>
      </c>
      <c r="C17" s="69"/>
      <c r="D17" s="70"/>
      <c r="E17" s="409">
        <f>-1197807.31-636.12</f>
        <v>-1198443.4300000002</v>
      </c>
      <c r="F17" s="71"/>
      <c r="G17" s="441"/>
      <c r="H17" s="443"/>
    </row>
    <row r="18" spans="1:9" s="418" customFormat="1">
      <c r="A18" s="420"/>
      <c r="B18" s="420"/>
      <c r="C18" s="423"/>
      <c r="D18" s="424"/>
      <c r="E18" s="480"/>
      <c r="F18" s="423"/>
      <c r="G18" s="441"/>
      <c r="H18" s="443"/>
    </row>
    <row r="19" spans="1:9" s="418" customFormat="1">
      <c r="A19" s="420"/>
      <c r="B19" s="420"/>
      <c r="C19" s="423"/>
      <c r="D19" s="424"/>
      <c r="E19" s="425"/>
      <c r="F19" s="423"/>
      <c r="G19" s="441"/>
      <c r="H19" s="443"/>
    </row>
    <row r="20" spans="1:9" s="418" customFormat="1" ht="17.25" customHeight="1" thickBot="1">
      <c r="A20" s="427" t="s">
        <v>138</v>
      </c>
      <c r="B20" s="427"/>
      <c r="C20" s="478"/>
      <c r="D20" s="478"/>
      <c r="E20" s="479">
        <f>SUM(E8:E18)</f>
        <v>32092902.219999991</v>
      </c>
      <c r="F20" s="76"/>
      <c r="G20" s="452"/>
      <c r="H20" s="486"/>
      <c r="I20" s="417"/>
    </row>
    <row r="21" spans="1:9" s="418" customFormat="1" ht="13.5" thickTop="1">
      <c r="A21" s="426"/>
      <c r="B21" s="426"/>
      <c r="C21" s="71"/>
      <c r="D21" s="71"/>
      <c r="E21" s="414"/>
      <c r="F21" s="76"/>
      <c r="G21" s="441"/>
      <c r="H21" s="443"/>
    </row>
    <row r="22" spans="1:9" s="418" customFormat="1">
      <c r="A22" s="426"/>
      <c r="B22" s="426"/>
      <c r="C22" s="71"/>
      <c r="D22" s="71"/>
      <c r="E22" s="414"/>
      <c r="F22" s="76"/>
      <c r="G22" s="441"/>
      <c r="H22" s="443"/>
    </row>
    <row r="23" spans="1:9">
      <c r="A23" s="67"/>
      <c r="B23" s="67"/>
      <c r="C23" s="59"/>
      <c r="D23" s="59"/>
      <c r="E23" s="414"/>
      <c r="F23" s="59"/>
    </row>
    <row r="24" spans="1:9" ht="16.5" customHeight="1" thickBot="1">
      <c r="A24" s="64" t="s">
        <v>139</v>
      </c>
      <c r="B24" s="64"/>
      <c r="C24" s="65"/>
      <c r="D24" s="58"/>
      <c r="E24" s="410"/>
      <c r="F24" s="59"/>
    </row>
    <row r="25" spans="1:9" ht="16.5" customHeight="1">
      <c r="A25" s="430"/>
      <c r="B25" s="430"/>
      <c r="C25" s="431"/>
      <c r="D25" s="58"/>
      <c r="E25" s="410"/>
      <c r="F25" s="59"/>
    </row>
    <row r="26" spans="1:9">
      <c r="A26" s="63" t="s">
        <v>137</v>
      </c>
      <c r="B26" s="63"/>
      <c r="C26" s="58"/>
      <c r="D26" s="66"/>
      <c r="E26" s="406">
        <f>+'Debt Srv Cash Flow'!AB27</f>
        <v>2471571.7200000002</v>
      </c>
      <c r="F26" s="71"/>
    </row>
    <row r="27" spans="1:9">
      <c r="A27" s="63"/>
      <c r="B27" s="63"/>
      <c r="C27" s="58"/>
      <c r="D27" s="66"/>
      <c r="E27" s="406"/>
      <c r="F27" s="59"/>
    </row>
    <row r="28" spans="1:9">
      <c r="A28" s="67" t="s">
        <v>295</v>
      </c>
      <c r="B28" s="67" t="s">
        <v>298</v>
      </c>
      <c r="C28" s="58"/>
      <c r="D28" s="68"/>
      <c r="E28" s="410">
        <v>1240988.17</v>
      </c>
      <c r="F28" s="71"/>
    </row>
    <row r="29" spans="1:9">
      <c r="A29" s="67"/>
      <c r="B29" s="67"/>
      <c r="C29" s="58"/>
      <c r="D29" s="68"/>
      <c r="E29" s="410"/>
      <c r="F29" s="59"/>
    </row>
    <row r="30" spans="1:9">
      <c r="A30" s="67" t="s">
        <v>295</v>
      </c>
      <c r="B30" s="67" t="s">
        <v>303</v>
      </c>
      <c r="C30" s="58"/>
      <c r="D30" s="68"/>
      <c r="E30" s="410">
        <v>686.88</v>
      </c>
      <c r="F30" s="71"/>
    </row>
    <row r="31" spans="1:9">
      <c r="A31" s="67"/>
      <c r="B31" s="67"/>
      <c r="C31" s="58"/>
      <c r="D31" s="68"/>
      <c r="E31" s="410"/>
      <c r="F31" s="59"/>
    </row>
    <row r="32" spans="1:9">
      <c r="A32" s="63" t="s">
        <v>299</v>
      </c>
      <c r="B32" s="63" t="s">
        <v>300</v>
      </c>
      <c r="C32" s="71"/>
      <c r="D32" s="72"/>
      <c r="E32" s="412">
        <v>0</v>
      </c>
      <c r="F32" s="59"/>
    </row>
    <row r="33" spans="1:8">
      <c r="A33" s="63"/>
      <c r="B33" s="63"/>
      <c r="C33" s="71"/>
      <c r="D33" s="72"/>
      <c r="E33" s="411"/>
      <c r="F33" s="59"/>
    </row>
    <row r="34" spans="1:8" ht="15.75" customHeight="1" thickBot="1">
      <c r="A34" s="427" t="s">
        <v>138</v>
      </c>
      <c r="B34" s="427"/>
      <c r="C34" s="478"/>
      <c r="D34" s="478"/>
      <c r="E34" s="479">
        <f>SUM(E26:E32)</f>
        <v>3713246.77</v>
      </c>
      <c r="F34" s="61"/>
      <c r="G34" s="452"/>
    </row>
    <row r="35" spans="1:8" ht="13.5" thickTop="1">
      <c r="A35" s="63"/>
      <c r="B35" s="63"/>
      <c r="C35" s="58"/>
      <c r="D35" s="71"/>
      <c r="E35" s="410"/>
      <c r="F35" s="59"/>
    </row>
    <row r="36" spans="1:8">
      <c r="A36" s="63"/>
      <c r="B36" s="63"/>
      <c r="C36" s="58"/>
      <c r="D36" s="71"/>
      <c r="E36" s="410"/>
      <c r="F36" s="59"/>
    </row>
    <row r="37" spans="1:8">
      <c r="A37" s="405"/>
      <c r="B37" s="405"/>
      <c r="C37" s="73"/>
      <c r="D37" s="419"/>
      <c r="E37" s="409"/>
      <c r="F37" s="74"/>
    </row>
    <row r="38" spans="1:8" ht="18.75" customHeight="1" thickBot="1">
      <c r="A38" s="427" t="s">
        <v>140</v>
      </c>
      <c r="B38" s="427"/>
      <c r="C38" s="75"/>
      <c r="D38" s="428"/>
      <c r="E38" s="415">
        <f>+E20+E34</f>
        <v>35806148.989999995</v>
      </c>
      <c r="F38" s="74"/>
      <c r="G38" s="60"/>
      <c r="H38" s="60"/>
    </row>
    <row r="39" spans="1:8" ht="18.75" customHeight="1" thickTop="1">
      <c r="A39" s="58"/>
      <c r="B39" s="58"/>
      <c r="C39" s="76"/>
      <c r="D39" s="429"/>
      <c r="E39" s="416"/>
      <c r="F39" s="74"/>
    </row>
    <row r="40" spans="1:8" ht="18.75" customHeight="1">
      <c r="A40" s="58"/>
      <c r="B40" s="58"/>
      <c r="C40" s="76"/>
      <c r="D40" s="429"/>
      <c r="E40" s="416"/>
      <c r="F40" s="74"/>
    </row>
    <row r="41" spans="1:8" ht="18.75" customHeight="1">
      <c r="A41" s="58"/>
      <c r="B41" s="58"/>
      <c r="C41" s="76"/>
      <c r="D41" s="429"/>
      <c r="E41" s="416"/>
      <c r="F41" s="74"/>
    </row>
    <row r="42" spans="1:8">
      <c r="A42" s="63"/>
      <c r="B42" s="63"/>
      <c r="C42" s="63"/>
      <c r="D42" s="63"/>
      <c r="E42" s="413"/>
      <c r="F42" s="181"/>
    </row>
    <row r="43" spans="1:8">
      <c r="D43" s="418"/>
    </row>
    <row r="44" spans="1:8">
      <c r="D44" s="418"/>
    </row>
    <row r="45" spans="1:8">
      <c r="D45" s="418"/>
    </row>
  </sheetData>
  <phoneticPr fontId="10" type="noConversion"/>
  <pageMargins left="1.25" right="0.75" top="1.02" bottom="0.4" header="0.5" footer="0.3"/>
  <pageSetup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7" workbookViewId="0">
      <selection activeCell="I44" sqref="I44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262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141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59" t="s">
        <v>337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265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142</v>
      </c>
      <c r="B7" s="82"/>
      <c r="C7" s="82"/>
      <c r="D7" s="82" t="s">
        <v>143</v>
      </c>
      <c r="E7" s="292"/>
      <c r="F7" s="83" t="s">
        <v>144</v>
      </c>
      <c r="G7" s="83" t="s">
        <v>145</v>
      </c>
      <c r="H7" s="83" t="s">
        <v>146</v>
      </c>
      <c r="I7" s="292"/>
      <c r="J7" s="82" t="s">
        <v>147</v>
      </c>
      <c r="K7" s="82" t="s">
        <v>148</v>
      </c>
      <c r="L7" s="292" t="s">
        <v>149</v>
      </c>
      <c r="M7" s="300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93" t="s">
        <v>155</v>
      </c>
      <c r="F8" s="87" t="s">
        <v>156</v>
      </c>
      <c r="G8" s="87" t="s">
        <v>156</v>
      </c>
      <c r="H8" s="87" t="s">
        <v>157</v>
      </c>
      <c r="I8" s="293" t="s">
        <v>158</v>
      </c>
      <c r="J8" s="86" t="s">
        <v>159</v>
      </c>
      <c r="K8" s="86" t="s">
        <v>41</v>
      </c>
      <c r="L8" s="293" t="s">
        <v>160</v>
      </c>
      <c r="M8" s="301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94" t="s">
        <v>165</v>
      </c>
      <c r="F9" s="90" t="s">
        <v>165</v>
      </c>
      <c r="G9" s="90" t="s">
        <v>165</v>
      </c>
      <c r="H9" s="90" t="s">
        <v>166</v>
      </c>
      <c r="I9" s="294" t="s">
        <v>165</v>
      </c>
      <c r="J9" s="89" t="s">
        <v>167</v>
      </c>
      <c r="K9" s="89" t="s">
        <v>167</v>
      </c>
      <c r="L9" s="294" t="s">
        <v>168</v>
      </c>
      <c r="M9" s="302" t="s">
        <v>33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41852</v>
      </c>
      <c r="B11" s="690" t="s">
        <v>263</v>
      </c>
      <c r="C11" s="689"/>
      <c r="D11" s="306" t="s">
        <v>171</v>
      </c>
      <c r="E11" s="295">
        <v>12159994.330000002</v>
      </c>
      <c r="F11" s="307">
        <v>1</v>
      </c>
      <c r="G11" s="307">
        <v>1</v>
      </c>
      <c r="H11" s="307">
        <v>0</v>
      </c>
      <c r="I11" s="295">
        <f>+E11</f>
        <v>12159994.330000002</v>
      </c>
      <c r="J11" s="305"/>
      <c r="K11" s="307"/>
      <c r="L11" s="308"/>
      <c r="M11" s="309"/>
      <c r="O11" s="91"/>
    </row>
    <row r="12" spans="1:15">
      <c r="A12" s="310"/>
      <c r="B12" s="691"/>
      <c r="C12" s="691"/>
      <c r="D12" s="306" t="s">
        <v>173</v>
      </c>
      <c r="E12" s="296">
        <v>0</v>
      </c>
      <c r="F12" s="307"/>
      <c r="G12" s="307"/>
      <c r="H12" s="307"/>
      <c r="I12" s="296">
        <f>+I11+E12</f>
        <v>12159994.330000002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264</v>
      </c>
      <c r="E13" s="296">
        <v>0</v>
      </c>
      <c r="F13" s="307"/>
      <c r="G13" s="307"/>
      <c r="H13" s="307"/>
      <c r="I13" s="296">
        <f>+I12+E13</f>
        <v>12159994.330000002</v>
      </c>
      <c r="J13" s="305"/>
      <c r="K13" s="307"/>
      <c r="L13" s="296"/>
      <c r="M13" s="312">
        <f>+E13</f>
        <v>0</v>
      </c>
      <c r="O13" s="91"/>
    </row>
    <row r="14" spans="1:15">
      <c r="A14" s="310">
        <v>41882</v>
      </c>
      <c r="B14" s="313"/>
      <c r="C14" s="305"/>
      <c r="D14" s="306" t="s">
        <v>105</v>
      </c>
      <c r="E14" s="297">
        <v>1195.52</v>
      </c>
      <c r="F14" s="307"/>
      <c r="G14" s="307"/>
      <c r="H14" s="307">
        <v>1.1999999999999999E-3</v>
      </c>
      <c r="I14" s="314">
        <f>+I13+E14</f>
        <v>12161189.850000001</v>
      </c>
      <c r="J14" s="305"/>
      <c r="K14" s="307"/>
      <c r="L14" s="297">
        <f>+E14</f>
        <v>1195.52</v>
      </c>
      <c r="M14" s="315"/>
      <c r="O14" s="91"/>
    </row>
    <row r="15" spans="1:15">
      <c r="A15" s="316"/>
      <c r="B15" s="317"/>
      <c r="C15" s="305"/>
      <c r="D15" s="305"/>
      <c r="E15" s="308"/>
      <c r="F15" s="307"/>
      <c r="G15" s="307"/>
      <c r="H15" s="307"/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12161189.850000001</v>
      </c>
      <c r="F16" s="336"/>
      <c r="G16" s="336"/>
      <c r="H16" s="336"/>
      <c r="I16" s="335">
        <f>I14</f>
        <v>12161189.850000001</v>
      </c>
      <c r="J16" s="337"/>
      <c r="K16" s="336"/>
      <c r="L16" s="335">
        <f>SUM(L14:L15)</f>
        <v>1195.52</v>
      </c>
      <c r="M16" s="338">
        <f>+M13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  <row r="21" spans="1:13" s="331" customFormat="1" ht="15.75" thickBot="1">
      <c r="A21" s="326" t="s">
        <v>265</v>
      </c>
      <c r="B21" s="326"/>
      <c r="C21" s="327"/>
      <c r="D21" s="327"/>
      <c r="E21" s="328"/>
      <c r="F21" s="329"/>
      <c r="G21" s="329"/>
      <c r="H21" s="329"/>
      <c r="I21" s="328"/>
      <c r="J21" s="327"/>
      <c r="K21" s="327"/>
      <c r="L21" s="328"/>
      <c r="M21" s="330"/>
    </row>
    <row r="22" spans="1:13">
      <c r="A22" s="81" t="s">
        <v>142</v>
      </c>
      <c r="B22" s="82"/>
      <c r="C22" s="82"/>
      <c r="D22" s="82" t="s">
        <v>143</v>
      </c>
      <c r="E22" s="292"/>
      <c r="F22" s="83" t="s">
        <v>144</v>
      </c>
      <c r="G22" s="83" t="s">
        <v>145</v>
      </c>
      <c r="H22" s="83" t="s">
        <v>146</v>
      </c>
      <c r="I22" s="292"/>
      <c r="J22" s="82" t="s">
        <v>147</v>
      </c>
      <c r="K22" s="82" t="s">
        <v>148</v>
      </c>
      <c r="L22" s="292" t="s">
        <v>149</v>
      </c>
      <c r="M22" s="300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93" t="s">
        <v>155</v>
      </c>
      <c r="F23" s="87" t="s">
        <v>156</v>
      </c>
      <c r="G23" s="87" t="s">
        <v>156</v>
      </c>
      <c r="H23" s="87" t="s">
        <v>157</v>
      </c>
      <c r="I23" s="293" t="s">
        <v>158</v>
      </c>
      <c r="J23" s="86" t="s">
        <v>159</v>
      </c>
      <c r="K23" s="86" t="s">
        <v>41</v>
      </c>
      <c r="L23" s="293" t="s">
        <v>160</v>
      </c>
      <c r="M23" s="301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94" t="s">
        <v>165</v>
      </c>
      <c r="F24" s="90" t="s">
        <v>165</v>
      </c>
      <c r="G24" s="90" t="s">
        <v>165</v>
      </c>
      <c r="H24" s="90" t="s">
        <v>166</v>
      </c>
      <c r="I24" s="294" t="s">
        <v>165</v>
      </c>
      <c r="J24" s="89" t="s">
        <v>167</v>
      </c>
      <c r="K24" s="89" t="s">
        <v>167</v>
      </c>
      <c r="L24" s="294" t="s">
        <v>168</v>
      </c>
      <c r="M24" s="302" t="s">
        <v>33</v>
      </c>
    </row>
    <row r="25" spans="1:13">
      <c r="A25" s="316"/>
      <c r="B25" s="317"/>
      <c r="C25" s="305"/>
      <c r="D25" s="305"/>
      <c r="E25" s="308"/>
      <c r="F25" s="307"/>
      <c r="G25" s="307"/>
      <c r="H25" s="307"/>
      <c r="I25" s="308"/>
      <c r="J25" s="305"/>
      <c r="K25" s="305"/>
      <c r="L25" s="308"/>
      <c r="M25" s="318"/>
    </row>
    <row r="26" spans="1:13">
      <c r="A26" s="304">
        <f>+A11</f>
        <v>41852</v>
      </c>
      <c r="B26" s="689" t="s">
        <v>170</v>
      </c>
      <c r="C26" s="689"/>
      <c r="D26" s="323" t="s">
        <v>171</v>
      </c>
      <c r="E26" s="295">
        <v>1378720.6499999997</v>
      </c>
      <c r="F26" s="307">
        <v>1</v>
      </c>
      <c r="G26" s="307">
        <v>1</v>
      </c>
      <c r="H26" s="307">
        <v>0</v>
      </c>
      <c r="I26" s="295">
        <f>E26</f>
        <v>1378720.6499999997</v>
      </c>
      <c r="J26" s="305"/>
      <c r="K26" s="307"/>
      <c r="L26" s="308"/>
      <c r="M26" s="309"/>
    </row>
    <row r="27" spans="1:13">
      <c r="A27" s="310"/>
      <c r="B27" s="313"/>
      <c r="C27" s="305"/>
      <c r="D27" s="323" t="s">
        <v>173</v>
      </c>
      <c r="E27" s="296">
        <v>0</v>
      </c>
      <c r="F27" s="307"/>
      <c r="G27" s="307"/>
      <c r="H27" s="307"/>
      <c r="I27" s="296">
        <f>+I26+E27</f>
        <v>1378720.6499999997</v>
      </c>
      <c r="J27" s="305"/>
      <c r="K27" s="307"/>
      <c r="L27" s="296"/>
      <c r="M27" s="324"/>
    </row>
    <row r="28" spans="1:13">
      <c r="A28" s="310"/>
      <c r="B28" s="313"/>
      <c r="C28" s="305"/>
      <c r="D28" s="306" t="s">
        <v>264</v>
      </c>
      <c r="E28" s="296">
        <v>0</v>
      </c>
      <c r="F28" s="307"/>
      <c r="G28" s="307"/>
      <c r="H28" s="307"/>
      <c r="I28" s="296">
        <f>+I27+E28</f>
        <v>1378720.6499999997</v>
      </c>
      <c r="J28" s="305"/>
      <c r="K28" s="307"/>
      <c r="L28" s="296"/>
      <c r="M28" s="324">
        <f>+E28</f>
        <v>0</v>
      </c>
    </row>
    <row r="29" spans="1:13">
      <c r="A29" s="310">
        <f>+A14</f>
        <v>41882</v>
      </c>
      <c r="B29" s="313"/>
      <c r="C29" s="305"/>
      <c r="D29" s="323" t="s">
        <v>105</v>
      </c>
      <c r="E29" s="297">
        <v>40.94</v>
      </c>
      <c r="F29" s="307"/>
      <c r="G29" s="307"/>
      <c r="H29" s="307">
        <v>3.5E-4</v>
      </c>
      <c r="I29" s="296">
        <f>+I28+E29</f>
        <v>1378761.5899999996</v>
      </c>
      <c r="J29" s="305"/>
      <c r="K29" s="307"/>
      <c r="L29" s="297">
        <f>E29</f>
        <v>40.94</v>
      </c>
      <c r="M29" s="325"/>
    </row>
    <row r="30" spans="1:13">
      <c r="A30" s="316"/>
      <c r="B30" s="317"/>
      <c r="C30" s="305"/>
      <c r="D30" s="305"/>
      <c r="E30" s="308"/>
      <c r="F30" s="307"/>
      <c r="G30" s="307"/>
      <c r="H30" s="307"/>
      <c r="I30" s="308"/>
      <c r="J30" s="305"/>
      <c r="K30" s="305"/>
      <c r="L30" s="308"/>
      <c r="M30" s="318"/>
    </row>
    <row r="31" spans="1:13" s="331" customFormat="1" ht="13.5" thickBot="1">
      <c r="A31" s="332"/>
      <c r="B31" s="333"/>
      <c r="C31" s="333"/>
      <c r="D31" s="334"/>
      <c r="E31" s="335">
        <f>E26+E27+E29</f>
        <v>1378761.5899999996</v>
      </c>
      <c r="F31" s="336"/>
      <c r="G31" s="336"/>
      <c r="H31" s="336"/>
      <c r="I31" s="335">
        <f>I29</f>
        <v>1378761.5899999996</v>
      </c>
      <c r="J31" s="337"/>
      <c r="K31" s="336"/>
      <c r="L31" s="335">
        <f>L29</f>
        <v>40.94</v>
      </c>
      <c r="M31" s="339">
        <f>+M28</f>
        <v>0</v>
      </c>
    </row>
    <row r="32" spans="1:13" ht="14.25" thickTop="1" thickBot="1">
      <c r="A32" s="319"/>
      <c r="B32" s="320"/>
      <c r="C32" s="320"/>
      <c r="D32" s="320"/>
      <c r="E32" s="321"/>
      <c r="F32" s="320"/>
      <c r="G32" s="320"/>
      <c r="H32" s="320"/>
      <c r="I32" s="321"/>
      <c r="J32" s="320"/>
      <c r="K32" s="320"/>
      <c r="L32" s="321"/>
      <c r="M32" s="322"/>
    </row>
    <row r="36" spans="1:13" s="331" customFormat="1" ht="15.75" thickBot="1">
      <c r="A36" s="326" t="s">
        <v>266</v>
      </c>
      <c r="B36" s="326"/>
      <c r="C36" s="327"/>
      <c r="D36" s="327"/>
      <c r="E36" s="328"/>
      <c r="F36" s="329"/>
      <c r="G36" s="329"/>
      <c r="H36" s="329"/>
      <c r="I36" s="328"/>
      <c r="J36" s="327"/>
      <c r="K36" s="327"/>
      <c r="L36" s="328"/>
      <c r="M36" s="330"/>
    </row>
    <row r="37" spans="1:13">
      <c r="A37" s="81" t="s">
        <v>142</v>
      </c>
      <c r="B37" s="82"/>
      <c r="C37" s="82"/>
      <c r="D37" s="82" t="s">
        <v>143</v>
      </c>
      <c r="E37" s="292"/>
      <c r="F37" s="83" t="s">
        <v>144</v>
      </c>
      <c r="G37" s="83" t="s">
        <v>145</v>
      </c>
      <c r="H37" s="83" t="s">
        <v>146</v>
      </c>
      <c r="I37" s="292"/>
      <c r="J37" s="82" t="s">
        <v>147</v>
      </c>
      <c r="K37" s="82" t="s">
        <v>148</v>
      </c>
      <c r="L37" s="292" t="s">
        <v>149</v>
      </c>
      <c r="M37" s="300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93" t="s">
        <v>155</v>
      </c>
      <c r="F38" s="87" t="s">
        <v>156</v>
      </c>
      <c r="G38" s="87" t="s">
        <v>156</v>
      </c>
      <c r="H38" s="87" t="s">
        <v>157</v>
      </c>
      <c r="I38" s="293" t="s">
        <v>158</v>
      </c>
      <c r="J38" s="86" t="s">
        <v>159</v>
      </c>
      <c r="K38" s="86" t="s">
        <v>41</v>
      </c>
      <c r="L38" s="293" t="s">
        <v>160</v>
      </c>
      <c r="M38" s="301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94" t="s">
        <v>165</v>
      </c>
      <c r="F39" s="90" t="s">
        <v>165</v>
      </c>
      <c r="G39" s="90" t="s">
        <v>165</v>
      </c>
      <c r="H39" s="90" t="s">
        <v>166</v>
      </c>
      <c r="I39" s="294" t="s">
        <v>165</v>
      </c>
      <c r="J39" s="89" t="s">
        <v>167</v>
      </c>
      <c r="K39" s="89" t="s">
        <v>167</v>
      </c>
      <c r="L39" s="294" t="s">
        <v>168</v>
      </c>
      <c r="M39" s="302" t="s">
        <v>33</v>
      </c>
    </row>
    <row r="40" spans="1:13">
      <c r="A40" s="316"/>
      <c r="B40" s="317"/>
      <c r="C40" s="305"/>
      <c r="D40" s="305"/>
      <c r="E40" s="308"/>
      <c r="F40" s="307"/>
      <c r="G40" s="307"/>
      <c r="H40" s="307"/>
      <c r="I40" s="308"/>
      <c r="J40" s="305"/>
      <c r="K40" s="305"/>
      <c r="L40" s="308"/>
      <c r="M40" s="318"/>
    </row>
    <row r="41" spans="1:13">
      <c r="A41" s="304">
        <f>+A11</f>
        <v>41852</v>
      </c>
      <c r="B41" s="689" t="s">
        <v>172</v>
      </c>
      <c r="C41" s="689"/>
      <c r="D41" s="323" t="s">
        <v>171</v>
      </c>
      <c r="E41" s="295">
        <v>5828600.9200000055</v>
      </c>
      <c r="F41" s="307">
        <v>1</v>
      </c>
      <c r="G41" s="307">
        <v>1</v>
      </c>
      <c r="H41" s="307">
        <v>0</v>
      </c>
      <c r="I41" s="295">
        <f>E41</f>
        <v>5828600.9200000055</v>
      </c>
      <c r="J41" s="305"/>
      <c r="K41" s="307"/>
      <c r="L41" s="308"/>
      <c r="M41" s="309"/>
    </row>
    <row r="42" spans="1:13">
      <c r="A42" s="310"/>
      <c r="B42" s="313"/>
      <c r="C42" s="305"/>
      <c r="D42" s="323" t="s">
        <v>173</v>
      </c>
      <c r="E42" s="296">
        <v>0</v>
      </c>
      <c r="F42" s="307"/>
      <c r="G42" s="307"/>
      <c r="H42" s="307"/>
      <c r="I42" s="296">
        <f>+I41+E42</f>
        <v>5828600.9200000055</v>
      </c>
      <c r="J42" s="305"/>
      <c r="K42" s="307"/>
      <c r="L42" s="296"/>
      <c r="M42" s="324"/>
    </row>
    <row r="43" spans="1:13">
      <c r="A43" s="310"/>
      <c r="B43" s="313"/>
      <c r="C43" s="305"/>
      <c r="D43" s="306" t="s">
        <v>264</v>
      </c>
      <c r="E43" s="296">
        <v>-1384400.2</v>
      </c>
      <c r="F43" s="307"/>
      <c r="G43" s="307"/>
      <c r="H43" s="307"/>
      <c r="I43" s="296">
        <f>+I42+E43</f>
        <v>4444200.7200000053</v>
      </c>
      <c r="J43" s="305"/>
      <c r="K43" s="307"/>
      <c r="L43" s="296"/>
      <c r="M43" s="324">
        <f>+E43</f>
        <v>-1384400.2</v>
      </c>
    </row>
    <row r="44" spans="1:13">
      <c r="A44" s="310">
        <f>+A14</f>
        <v>41882</v>
      </c>
      <c r="B44" s="313"/>
      <c r="C44" s="305"/>
      <c r="D44" s="323" t="s">
        <v>105</v>
      </c>
      <c r="E44" s="453">
        <v>398.67</v>
      </c>
      <c r="F44" s="307"/>
      <c r="G44" s="307"/>
      <c r="H44" s="307">
        <v>1E-3</v>
      </c>
      <c r="I44" s="296">
        <f>+I43+E44</f>
        <v>4444599.3900000053</v>
      </c>
      <c r="J44" s="305"/>
      <c r="K44" s="307"/>
      <c r="L44" s="297">
        <f>E44</f>
        <v>398.67</v>
      </c>
      <c r="M44" s="325"/>
    </row>
    <row r="45" spans="1:13">
      <c r="A45" s="316"/>
      <c r="B45" s="317"/>
      <c r="C45" s="305"/>
      <c r="D45" s="305"/>
      <c r="E45" s="444" t="s">
        <v>85</v>
      </c>
      <c r="F45" s="307"/>
      <c r="G45" s="307"/>
      <c r="H45" s="307"/>
      <c r="I45" s="308"/>
      <c r="J45" s="305"/>
      <c r="K45" s="305"/>
      <c r="L45" s="308"/>
      <c r="M45" s="318"/>
    </row>
    <row r="46" spans="1:13" s="331" customFormat="1" ht="13.5" thickBot="1">
      <c r="A46" s="332"/>
      <c r="B46" s="333"/>
      <c r="C46" s="333"/>
      <c r="D46" s="334"/>
      <c r="E46" s="335">
        <f>SUM(E41:E44)</f>
        <v>4444599.3900000053</v>
      </c>
      <c r="F46" s="336"/>
      <c r="G46" s="336"/>
      <c r="H46" s="336"/>
      <c r="I46" s="335">
        <f>I44</f>
        <v>4444599.3900000053</v>
      </c>
      <c r="J46" s="337"/>
      <c r="K46" s="336"/>
      <c r="L46" s="335">
        <f>L44</f>
        <v>398.67</v>
      </c>
      <c r="M46" s="339">
        <f>+M43</f>
        <v>-1384400.2</v>
      </c>
    </row>
    <row r="47" spans="1:13" ht="14.25" thickTop="1" thickBot="1">
      <c r="A47" s="319"/>
      <c r="B47" s="320"/>
      <c r="C47" s="320"/>
      <c r="D47" s="320"/>
      <c r="E47" s="321"/>
      <c r="F47" s="320"/>
      <c r="G47" s="320"/>
      <c r="H47" s="320"/>
      <c r="I47" s="321"/>
      <c r="J47" s="320"/>
      <c r="K47" s="320"/>
      <c r="L47" s="321"/>
      <c r="M47" s="322"/>
    </row>
  </sheetData>
  <mergeCells count="4">
    <mergeCell ref="B41:C41"/>
    <mergeCell ref="B26:C26"/>
    <mergeCell ref="B11:C11"/>
    <mergeCell ref="B12:C12"/>
  </mergeCells>
  <phoneticPr fontId="25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L21" sqref="L21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262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141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59" t="s">
        <v>338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267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142</v>
      </c>
      <c r="B7" s="82"/>
      <c r="C7" s="82"/>
      <c r="D7" s="82" t="s">
        <v>143</v>
      </c>
      <c r="E7" s="292"/>
      <c r="F7" s="83" t="s">
        <v>144</v>
      </c>
      <c r="G7" s="83" t="s">
        <v>145</v>
      </c>
      <c r="H7" s="83" t="s">
        <v>146</v>
      </c>
      <c r="I7" s="292"/>
      <c r="J7" s="82" t="s">
        <v>147</v>
      </c>
      <c r="K7" s="82" t="s">
        <v>148</v>
      </c>
      <c r="L7" s="292" t="s">
        <v>149</v>
      </c>
      <c r="M7" s="300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93" t="s">
        <v>155</v>
      </c>
      <c r="F8" s="87" t="s">
        <v>156</v>
      </c>
      <c r="G8" s="87" t="s">
        <v>156</v>
      </c>
      <c r="H8" s="87" t="s">
        <v>157</v>
      </c>
      <c r="I8" s="293" t="s">
        <v>158</v>
      </c>
      <c r="J8" s="86" t="s">
        <v>159</v>
      </c>
      <c r="K8" s="86" t="s">
        <v>41</v>
      </c>
      <c r="L8" s="293" t="s">
        <v>160</v>
      </c>
      <c r="M8" s="301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94" t="s">
        <v>165</v>
      </c>
      <c r="F9" s="90" t="s">
        <v>165</v>
      </c>
      <c r="G9" s="90" t="s">
        <v>165</v>
      </c>
      <c r="H9" s="90" t="s">
        <v>166</v>
      </c>
      <c r="I9" s="294" t="s">
        <v>165</v>
      </c>
      <c r="J9" s="89" t="s">
        <v>167</v>
      </c>
      <c r="K9" s="89" t="s">
        <v>167</v>
      </c>
      <c r="L9" s="294" t="s">
        <v>168</v>
      </c>
      <c r="M9" s="302" t="s">
        <v>33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41852</v>
      </c>
      <c r="B11" s="690" t="s">
        <v>268</v>
      </c>
      <c r="C11" s="689"/>
      <c r="D11" s="306" t="s">
        <v>171</v>
      </c>
      <c r="E11" s="295">
        <v>9497079.4700000007</v>
      </c>
      <c r="F11" s="307">
        <v>1</v>
      </c>
      <c r="G11" s="307">
        <v>1</v>
      </c>
      <c r="H11" s="307">
        <v>0</v>
      </c>
      <c r="I11" s="295">
        <f>+E11</f>
        <v>9497079.4700000007</v>
      </c>
      <c r="J11" s="305"/>
      <c r="K11" s="307"/>
      <c r="L11" s="308"/>
      <c r="M11" s="309"/>
      <c r="O11" s="91"/>
    </row>
    <row r="12" spans="1:15">
      <c r="A12" s="310"/>
      <c r="B12" s="691"/>
      <c r="C12" s="691"/>
      <c r="D12" s="306" t="s">
        <v>173</v>
      </c>
      <c r="E12" s="296">
        <v>0</v>
      </c>
      <c r="F12" s="307"/>
      <c r="G12" s="307"/>
      <c r="H12" s="307"/>
      <c r="I12" s="296">
        <f>+I11+E12</f>
        <v>9497079.4700000007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264</v>
      </c>
      <c r="E13" s="296">
        <v>-8256235.0199999996</v>
      </c>
      <c r="F13" s="307"/>
      <c r="G13" s="307"/>
      <c r="H13" s="307"/>
      <c r="I13" s="296">
        <f>+I12+E13</f>
        <v>1240844.4500000011</v>
      </c>
      <c r="J13" s="305"/>
      <c r="K13" s="307"/>
      <c r="L13" s="296"/>
      <c r="M13" s="312">
        <f>+E13</f>
        <v>-8256235.0199999996</v>
      </c>
      <c r="O13" s="91"/>
    </row>
    <row r="14" spans="1:15">
      <c r="A14" s="484">
        <v>41882</v>
      </c>
      <c r="B14" s="313"/>
      <c r="C14" s="305"/>
      <c r="D14" s="306" t="s">
        <v>105</v>
      </c>
      <c r="E14" s="297">
        <v>143.72</v>
      </c>
      <c r="F14" s="307"/>
      <c r="G14" s="307"/>
      <c r="H14" s="307">
        <v>3.5300000000000002E-4</v>
      </c>
      <c r="I14" s="296">
        <f>+I13+E14</f>
        <v>1240988.1700000011</v>
      </c>
      <c r="J14" s="305"/>
      <c r="K14" s="307"/>
      <c r="L14" s="297">
        <f>+E14</f>
        <v>143.72</v>
      </c>
      <c r="M14" s="315"/>
      <c r="O14" s="91"/>
    </row>
    <row r="15" spans="1:15">
      <c r="A15" s="483" t="s">
        <v>85</v>
      </c>
      <c r="B15" s="317"/>
      <c r="C15" s="305"/>
      <c r="D15" s="305"/>
      <c r="E15" s="308"/>
      <c r="F15" s="307"/>
      <c r="G15" s="307"/>
      <c r="H15" s="307" t="s">
        <v>85</v>
      </c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1240988.1700000011</v>
      </c>
      <c r="F16" s="336"/>
      <c r="G16" s="336"/>
      <c r="H16" s="336"/>
      <c r="I16" s="335">
        <f>I14</f>
        <v>1240988.1700000011</v>
      </c>
      <c r="J16" s="337"/>
      <c r="K16" s="336"/>
      <c r="L16" s="335">
        <f>SUM(L14:L15)</f>
        <v>143.72</v>
      </c>
      <c r="M16" s="338">
        <f>SUM(M12:M15)</f>
        <v>-8256235.0199999996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</sheetData>
  <mergeCells count="2">
    <mergeCell ref="B11:C11"/>
    <mergeCell ref="B12:C12"/>
  </mergeCells>
  <phoneticPr fontId="25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topLeftCell="AD1" workbookViewId="0">
      <selection activeCell="AC1" sqref="AC1:AP1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40" customWidth="1"/>
    <col min="4" max="4" width="0.85546875" style="146" customWidth="1"/>
    <col min="5" max="5" width="9.140625" style="146"/>
    <col min="6" max="6" width="17.5703125" style="340" customWidth="1"/>
    <col min="7" max="7" width="0.85546875" style="146" customWidth="1"/>
    <col min="8" max="8" width="9.140625" style="146"/>
    <col min="9" max="9" width="17.7109375" style="340" customWidth="1"/>
    <col min="10" max="10" width="0.85546875" style="340" customWidth="1"/>
    <col min="11" max="11" width="9.140625" style="146"/>
    <col min="12" max="12" width="17.5703125" style="340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40" customWidth="1"/>
    <col min="18" max="18" width="0.85546875" style="146" customWidth="1"/>
    <col min="19" max="19" width="9.140625" style="146"/>
    <col min="20" max="20" width="17.5703125" style="340" customWidth="1"/>
    <col min="21" max="21" width="0.85546875" style="146" customWidth="1"/>
    <col min="22" max="22" width="9.140625" style="146"/>
    <col min="23" max="23" width="17.5703125" style="340" customWidth="1"/>
    <col min="24" max="24" width="0.85546875" style="340" customWidth="1"/>
    <col min="25" max="25" width="9.140625" style="146"/>
    <col min="26" max="26" width="17.5703125" style="340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40" customWidth="1"/>
    <col min="32" max="32" width="0.85546875" style="146" customWidth="1"/>
    <col min="33" max="33" width="9.140625" style="146"/>
    <col min="34" max="34" width="17.5703125" style="340" customWidth="1"/>
    <col min="35" max="35" width="0.7109375" style="146" customWidth="1"/>
    <col min="36" max="36" width="9.7109375" style="146" customWidth="1"/>
    <col min="37" max="37" width="15.85546875" style="340" customWidth="1"/>
    <col min="38" max="38" width="0.85546875" style="146" customWidth="1"/>
    <col min="39" max="39" width="10.7109375" style="146" customWidth="1"/>
    <col min="40" max="40" width="17.7109375" style="340" customWidth="1"/>
    <col min="41" max="41" width="0.85546875" style="340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40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40" customWidth="1"/>
    <col min="52" max="52" width="0.85546875" style="146" customWidth="1"/>
    <col min="53" max="53" width="11.7109375" style="146" customWidth="1"/>
    <col min="54" max="54" width="16.140625" style="340" customWidth="1"/>
    <col min="55" max="55" width="0.85546875" style="340" customWidth="1"/>
    <col min="56" max="56" width="9.140625" style="146" customWidth="1"/>
    <col min="57" max="57" width="17.5703125" style="340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92" t="s">
        <v>236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 t="s">
        <v>236</v>
      </c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692"/>
      <c r="AA1" s="692"/>
      <c r="AB1" s="692"/>
      <c r="AC1" s="692" t="s">
        <v>236</v>
      </c>
      <c r="AD1" s="692"/>
      <c r="AE1" s="692"/>
      <c r="AF1" s="692"/>
      <c r="AG1" s="692"/>
      <c r="AH1" s="692"/>
      <c r="AI1" s="692"/>
      <c r="AJ1" s="692"/>
      <c r="AK1" s="692"/>
      <c r="AL1" s="692"/>
      <c r="AM1" s="692"/>
      <c r="AN1" s="692"/>
      <c r="AO1" s="692"/>
      <c r="AP1" s="692"/>
      <c r="AQ1" s="692" t="s">
        <v>236</v>
      </c>
      <c r="AR1" s="692"/>
      <c r="AS1" s="692"/>
      <c r="AT1" s="692"/>
      <c r="AU1" s="692"/>
      <c r="AV1" s="692"/>
      <c r="AW1" s="692"/>
      <c r="AX1" s="692"/>
      <c r="AY1" s="692"/>
      <c r="AZ1" s="692"/>
      <c r="BA1" s="692"/>
      <c r="BB1" s="692"/>
      <c r="BC1" s="692"/>
      <c r="BD1" s="692"/>
      <c r="BE1" s="355"/>
      <c r="BF1" s="356"/>
      <c r="BG1" s="356"/>
    </row>
    <row r="2" spans="1:59" ht="19.5">
      <c r="A2" s="692" t="s">
        <v>339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692" t="str">
        <f>A2</f>
        <v>Summary of Revenue &amp; Expenditures As Of  08/31/14</v>
      </c>
      <c r="P2" s="692"/>
      <c r="Q2" s="692"/>
      <c r="R2" s="692"/>
      <c r="S2" s="692"/>
      <c r="T2" s="692"/>
      <c r="U2" s="692"/>
      <c r="V2" s="692"/>
      <c r="W2" s="692"/>
      <c r="X2" s="692"/>
      <c r="Y2" s="692"/>
      <c r="Z2" s="692"/>
      <c r="AA2" s="692"/>
      <c r="AB2" s="692"/>
      <c r="AC2" s="692" t="str">
        <f>A2</f>
        <v>Summary of Revenue &amp; Expenditures As Of  08/31/14</v>
      </c>
      <c r="AD2" s="692"/>
      <c r="AE2" s="692"/>
      <c r="AF2" s="692"/>
      <c r="AG2" s="692"/>
      <c r="AH2" s="692"/>
      <c r="AI2" s="692"/>
      <c r="AJ2" s="692"/>
      <c r="AK2" s="692"/>
      <c r="AL2" s="692"/>
      <c r="AM2" s="692"/>
      <c r="AN2" s="692"/>
      <c r="AO2" s="692"/>
      <c r="AP2" s="692"/>
      <c r="AQ2" s="692" t="str">
        <f>A2</f>
        <v>Summary of Revenue &amp; Expenditures As Of  08/31/14</v>
      </c>
      <c r="AR2" s="692"/>
      <c r="AS2" s="692"/>
      <c r="AT2" s="692"/>
      <c r="AU2" s="692"/>
      <c r="AV2" s="692"/>
      <c r="AW2" s="692"/>
      <c r="AX2" s="692"/>
      <c r="AY2" s="692"/>
      <c r="AZ2" s="692"/>
      <c r="BA2" s="692"/>
      <c r="BB2" s="692"/>
      <c r="BC2" s="692"/>
      <c r="BD2" s="692"/>
      <c r="BE2" s="355"/>
      <c r="BF2" s="356"/>
      <c r="BG2" s="356"/>
    </row>
    <row r="3" spans="1:59" s="144" customFormat="1" ht="19.5">
      <c r="A3" s="694" t="s">
        <v>340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694"/>
      <c r="O3" s="694" t="str">
        <f>A3</f>
        <v>Accounting Period: 08</v>
      </c>
      <c r="P3" s="694"/>
      <c r="Q3" s="694"/>
      <c r="R3" s="694"/>
      <c r="S3" s="694"/>
      <c r="T3" s="694"/>
      <c r="U3" s="694"/>
      <c r="V3" s="694"/>
      <c r="W3" s="694"/>
      <c r="X3" s="694"/>
      <c r="Y3" s="694"/>
      <c r="Z3" s="694"/>
      <c r="AA3" s="694"/>
      <c r="AB3" s="694"/>
      <c r="AC3" s="694" t="str">
        <f>O3</f>
        <v>Accounting Period: 08</v>
      </c>
      <c r="AD3" s="694"/>
      <c r="AE3" s="694"/>
      <c r="AF3" s="694"/>
      <c r="AG3" s="694"/>
      <c r="AH3" s="694"/>
      <c r="AI3" s="694"/>
      <c r="AJ3" s="694"/>
      <c r="AK3" s="694"/>
      <c r="AL3" s="694"/>
      <c r="AM3" s="694"/>
      <c r="AN3" s="694"/>
      <c r="AO3" s="694"/>
      <c r="AP3" s="694"/>
      <c r="AQ3" s="694" t="str">
        <f>A3</f>
        <v>Accounting Period: 08</v>
      </c>
      <c r="AR3" s="694"/>
      <c r="AS3" s="694"/>
      <c r="AT3" s="694"/>
      <c r="AU3" s="694"/>
      <c r="AV3" s="694"/>
      <c r="AW3" s="694"/>
      <c r="AX3" s="694"/>
      <c r="AY3" s="694"/>
      <c r="AZ3" s="694"/>
      <c r="BA3" s="694"/>
      <c r="BB3" s="694"/>
      <c r="BC3" s="694"/>
      <c r="BD3" s="694"/>
      <c r="BE3" s="359"/>
      <c r="BF3" s="360"/>
      <c r="BG3" s="360"/>
    </row>
    <row r="4" spans="1:59" ht="20.25" thickBot="1">
      <c r="A4" s="693"/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693"/>
      <c r="AF4" s="693"/>
      <c r="AG4" s="693"/>
      <c r="AH4" s="693"/>
      <c r="AI4" s="693"/>
      <c r="AJ4" s="693"/>
      <c r="AK4" s="693"/>
      <c r="AL4" s="693"/>
      <c r="AM4" s="693"/>
      <c r="AN4" s="693"/>
      <c r="AO4" s="693"/>
      <c r="AP4" s="693"/>
      <c r="AQ4" s="693"/>
      <c r="AR4" s="693"/>
      <c r="AS4" s="693"/>
      <c r="AT4" s="693"/>
      <c r="AU4" s="693"/>
      <c r="AV4" s="693"/>
      <c r="AW4" s="693"/>
      <c r="AX4" s="693"/>
      <c r="AY4" s="693"/>
      <c r="AZ4" s="693"/>
      <c r="BA4" s="693"/>
      <c r="BB4" s="693"/>
      <c r="BC4" s="693"/>
      <c r="BD4" s="693"/>
      <c r="BE4" s="359"/>
      <c r="BF4" s="360"/>
      <c r="BG4" s="360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47"/>
      <c r="AB5" s="147"/>
      <c r="AD5" s="147"/>
      <c r="AE5" s="347"/>
      <c r="AF5" s="340"/>
      <c r="AG5" s="147"/>
      <c r="AH5" s="347"/>
      <c r="AK5" s="347"/>
      <c r="AN5" s="347"/>
      <c r="AO5" s="146"/>
      <c r="AP5" s="147"/>
      <c r="AR5" s="347"/>
      <c r="AS5" s="340"/>
      <c r="AT5" s="147"/>
      <c r="AU5" s="489"/>
      <c r="AV5" s="493"/>
      <c r="AW5" s="494"/>
      <c r="AX5" s="145"/>
      <c r="BA5" s="147"/>
      <c r="BB5" s="350"/>
      <c r="BD5" s="147"/>
      <c r="BE5" s="361"/>
      <c r="BF5" s="144"/>
      <c r="BG5" s="144"/>
    </row>
    <row r="6" spans="1:59" ht="13.5" thickBot="1">
      <c r="B6" s="145"/>
      <c r="C6" s="341" t="s">
        <v>272</v>
      </c>
      <c r="D6" s="148"/>
      <c r="E6" s="151" t="s">
        <v>183</v>
      </c>
      <c r="F6" s="341" t="s">
        <v>210</v>
      </c>
      <c r="G6" s="148"/>
      <c r="H6" s="151" t="s">
        <v>183</v>
      </c>
      <c r="I6" s="341" t="s">
        <v>211</v>
      </c>
      <c r="J6" s="341"/>
      <c r="K6" s="151" t="s">
        <v>183</v>
      </c>
      <c r="L6" s="341" t="s">
        <v>212</v>
      </c>
      <c r="M6" s="150"/>
      <c r="N6" s="151" t="s">
        <v>183</v>
      </c>
      <c r="P6" s="145"/>
      <c r="Q6" s="341" t="s">
        <v>273</v>
      </c>
      <c r="R6" s="148"/>
      <c r="S6" s="151" t="s">
        <v>183</v>
      </c>
      <c r="T6" s="341" t="s">
        <v>213</v>
      </c>
      <c r="U6" s="148"/>
      <c r="V6" s="151" t="s">
        <v>183</v>
      </c>
      <c r="W6" s="346" t="s">
        <v>214</v>
      </c>
      <c r="X6" s="346"/>
      <c r="Y6" s="151" t="s">
        <v>183</v>
      </c>
      <c r="Z6" s="348" t="s">
        <v>307</v>
      </c>
      <c r="AA6" s="148"/>
      <c r="AB6" s="151" t="s">
        <v>183</v>
      </c>
      <c r="AD6" s="145"/>
      <c r="AE6" s="348" t="s">
        <v>312</v>
      </c>
      <c r="AF6" s="148"/>
      <c r="AG6" s="151" t="s">
        <v>183</v>
      </c>
      <c r="AH6" s="348" t="s">
        <v>316</v>
      </c>
      <c r="AI6" s="148"/>
      <c r="AJ6" s="149" t="s">
        <v>183</v>
      </c>
      <c r="AK6" s="348" t="s">
        <v>277</v>
      </c>
      <c r="AL6" s="148"/>
      <c r="AM6" s="149" t="s">
        <v>183</v>
      </c>
      <c r="AN6" s="348" t="s">
        <v>215</v>
      </c>
      <c r="AO6" s="148"/>
      <c r="AP6" s="151" t="s">
        <v>183</v>
      </c>
      <c r="AR6" s="348" t="s">
        <v>216</v>
      </c>
      <c r="AS6" s="148"/>
      <c r="AT6" s="151" t="s">
        <v>183</v>
      </c>
      <c r="AU6" s="490" t="s">
        <v>288</v>
      </c>
      <c r="AV6" s="495"/>
      <c r="AW6" s="496" t="s">
        <v>183</v>
      </c>
      <c r="AX6" s="145"/>
      <c r="AY6" s="346" t="s">
        <v>278</v>
      </c>
      <c r="AZ6" s="148"/>
      <c r="BA6" s="151" t="s">
        <v>183</v>
      </c>
      <c r="BB6" s="348" t="s">
        <v>280</v>
      </c>
      <c r="BC6" s="148"/>
      <c r="BD6" s="151" t="s">
        <v>183</v>
      </c>
      <c r="BE6" s="363"/>
      <c r="BF6" s="364"/>
      <c r="BG6" s="362"/>
    </row>
    <row r="7" spans="1:59">
      <c r="B7" s="145"/>
      <c r="C7" s="342" t="s">
        <v>217</v>
      </c>
      <c r="E7" s="145"/>
      <c r="F7" s="342" t="s">
        <v>286</v>
      </c>
      <c r="H7" s="145"/>
      <c r="I7" s="342" t="s">
        <v>275</v>
      </c>
      <c r="J7" s="342"/>
      <c r="K7" s="145"/>
      <c r="L7" s="342" t="s">
        <v>276</v>
      </c>
      <c r="M7" s="153"/>
      <c r="N7" s="145"/>
      <c r="P7" s="145"/>
      <c r="Q7" s="342" t="s">
        <v>284</v>
      </c>
      <c r="S7" s="145"/>
      <c r="T7" s="342" t="s">
        <v>274</v>
      </c>
      <c r="V7" s="145"/>
      <c r="W7" s="342" t="s">
        <v>281</v>
      </c>
      <c r="X7" s="342"/>
      <c r="Y7" s="145"/>
      <c r="Z7" s="446" t="s">
        <v>308</v>
      </c>
      <c r="AB7" s="145"/>
      <c r="AD7" s="145"/>
      <c r="AE7" s="349" t="s">
        <v>309</v>
      </c>
      <c r="AG7" s="145"/>
      <c r="AH7" s="349" t="s">
        <v>317</v>
      </c>
      <c r="AK7" s="349" t="s">
        <v>306</v>
      </c>
      <c r="AN7" s="349" t="s">
        <v>218</v>
      </c>
      <c r="AO7" s="146"/>
      <c r="AP7" s="145"/>
      <c r="AR7" s="349" t="s">
        <v>219</v>
      </c>
      <c r="AT7" s="145"/>
      <c r="AU7" s="491" t="s">
        <v>332</v>
      </c>
      <c r="AV7" s="497"/>
      <c r="AW7" s="498"/>
      <c r="AX7" s="154"/>
      <c r="AY7" s="342" t="s">
        <v>279</v>
      </c>
      <c r="BA7" s="145"/>
      <c r="BB7" s="349" t="s">
        <v>220</v>
      </c>
      <c r="BC7" s="146"/>
      <c r="BD7" s="145"/>
      <c r="BE7" s="363"/>
      <c r="BF7" s="364"/>
      <c r="BG7" s="144"/>
    </row>
    <row r="8" spans="1:59">
      <c r="B8" s="145"/>
      <c r="E8" s="154"/>
      <c r="F8" s="342" t="s">
        <v>285</v>
      </c>
      <c r="H8" s="145"/>
      <c r="I8" s="152" t="s">
        <v>287</v>
      </c>
      <c r="J8" s="152"/>
      <c r="K8" s="145"/>
      <c r="L8" s="152" t="s">
        <v>287</v>
      </c>
      <c r="M8" s="153"/>
      <c r="N8" s="145"/>
      <c r="P8" s="145"/>
      <c r="Q8" s="342" t="s">
        <v>283</v>
      </c>
      <c r="S8" s="154"/>
      <c r="V8" s="145"/>
      <c r="W8" s="342" t="s">
        <v>282</v>
      </c>
      <c r="X8" s="342"/>
      <c r="Y8" s="145"/>
      <c r="Z8" s="350"/>
      <c r="AB8" s="145"/>
      <c r="AD8" s="145"/>
      <c r="AE8" s="350"/>
      <c r="AG8" s="145"/>
      <c r="AH8" s="350"/>
      <c r="AK8" s="350"/>
      <c r="AN8" s="349"/>
      <c r="AO8" s="146"/>
      <c r="AP8" s="145"/>
      <c r="AR8" s="349"/>
      <c r="AT8" s="145"/>
      <c r="AU8" s="491"/>
      <c r="AV8" s="497"/>
      <c r="AW8" s="498"/>
      <c r="AX8" s="154"/>
      <c r="AY8" s="342"/>
      <c r="BA8" s="154"/>
      <c r="BB8" s="349"/>
      <c r="BC8" s="146"/>
      <c r="BD8" s="145"/>
      <c r="BE8" s="363"/>
      <c r="BF8" s="364"/>
      <c r="BG8" s="144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50"/>
      <c r="AB9" s="145"/>
      <c r="AD9" s="145"/>
      <c r="AE9" s="350"/>
      <c r="AG9" s="145"/>
      <c r="AH9" s="350"/>
      <c r="AK9" s="350"/>
      <c r="AN9" s="350"/>
      <c r="AO9" s="146"/>
      <c r="AP9" s="145"/>
      <c r="AR9" s="350"/>
      <c r="AT9" s="145"/>
      <c r="AU9" s="511"/>
      <c r="AV9" s="497"/>
      <c r="AW9" s="498"/>
      <c r="AX9" s="154"/>
      <c r="BA9" s="154"/>
      <c r="BB9" s="350"/>
      <c r="BC9" s="146"/>
      <c r="BD9" s="145"/>
      <c r="BE9" s="361"/>
      <c r="BF9" s="364"/>
      <c r="BG9" s="144"/>
    </row>
    <row r="10" spans="1:59" s="158" customFormat="1">
      <c r="A10" s="155" t="s">
        <v>221</v>
      </c>
      <c r="B10" s="156"/>
      <c r="C10" s="492">
        <f>174182+51281494</f>
        <v>51455676</v>
      </c>
      <c r="E10" s="160">
        <v>1</v>
      </c>
      <c r="F10" s="343">
        <v>310056</v>
      </c>
      <c r="H10" s="160">
        <v>1</v>
      </c>
      <c r="I10" s="343">
        <v>1087826</v>
      </c>
      <c r="J10" s="343"/>
      <c r="K10" s="160">
        <v>1</v>
      </c>
      <c r="L10" s="343">
        <v>21843</v>
      </c>
      <c r="M10" s="157"/>
      <c r="N10" s="160">
        <v>1</v>
      </c>
      <c r="O10" s="155" t="s">
        <v>221</v>
      </c>
      <c r="P10" s="156"/>
      <c r="Q10" s="343">
        <v>44438</v>
      </c>
      <c r="S10" s="160">
        <v>1</v>
      </c>
      <c r="T10" s="343">
        <v>52263</v>
      </c>
      <c r="V10" s="160">
        <v>1</v>
      </c>
      <c r="W10" s="343">
        <v>110310</v>
      </c>
      <c r="X10" s="343"/>
      <c r="Y10" s="160">
        <v>1</v>
      </c>
      <c r="Z10" s="352">
        <v>7791</v>
      </c>
      <c r="AB10" s="160">
        <v>1</v>
      </c>
      <c r="AC10" s="155" t="s">
        <v>221</v>
      </c>
      <c r="AD10" s="156"/>
      <c r="AE10" s="352">
        <v>4025</v>
      </c>
      <c r="AG10" s="160">
        <v>1</v>
      </c>
      <c r="AH10" s="352">
        <v>0</v>
      </c>
      <c r="AJ10" s="159">
        <v>1</v>
      </c>
      <c r="AK10" s="352">
        <v>502182</v>
      </c>
      <c r="AM10" s="159">
        <v>1</v>
      </c>
      <c r="AN10" s="352">
        <v>2838264</v>
      </c>
      <c r="AP10" s="160">
        <v>1</v>
      </c>
      <c r="AQ10" s="155" t="s">
        <v>221</v>
      </c>
      <c r="AR10" s="352">
        <v>19376972</v>
      </c>
      <c r="AT10" s="160">
        <v>1</v>
      </c>
      <c r="AU10" s="512">
        <v>18180345</v>
      </c>
      <c r="AV10" s="499"/>
      <c r="AW10" s="500">
        <v>1</v>
      </c>
      <c r="AX10" s="160"/>
      <c r="AY10" s="343">
        <v>591189</v>
      </c>
      <c r="BA10" s="160">
        <v>1</v>
      </c>
      <c r="BB10" s="343">
        <v>34000</v>
      </c>
      <c r="BD10" s="160">
        <v>1</v>
      </c>
      <c r="BE10" s="365"/>
      <c r="BF10" s="366"/>
      <c r="BG10" s="161"/>
    </row>
    <row r="11" spans="1:59">
      <c r="A11" s="152" t="s">
        <v>222</v>
      </c>
      <c r="B11" s="154"/>
      <c r="C11" s="340">
        <f>520+2311872.75</f>
        <v>2312392.75</v>
      </c>
      <c r="E11" s="145"/>
      <c r="F11" s="340">
        <v>59114.39</v>
      </c>
      <c r="H11" s="163"/>
      <c r="I11" s="340">
        <v>105155.24</v>
      </c>
      <c r="K11" s="163"/>
      <c r="L11" s="340">
        <v>3130.83</v>
      </c>
      <c r="M11" s="164"/>
      <c r="N11" s="163"/>
      <c r="O11" s="152" t="s">
        <v>222</v>
      </c>
      <c r="P11" s="154"/>
      <c r="Q11" s="340">
        <v>3874.3</v>
      </c>
      <c r="S11" s="145"/>
      <c r="T11" s="340">
        <v>9046.0300000000007</v>
      </c>
      <c r="V11" s="163"/>
      <c r="W11" s="340">
        <v>24168.29</v>
      </c>
      <c r="Y11" s="163"/>
      <c r="Z11" s="350">
        <v>0</v>
      </c>
      <c r="AB11" s="163"/>
      <c r="AC11" s="152" t="s">
        <v>222</v>
      </c>
      <c r="AD11" s="154"/>
      <c r="AE11" s="350">
        <v>0</v>
      </c>
      <c r="AG11" s="163"/>
      <c r="AH11" s="350">
        <v>0</v>
      </c>
      <c r="AJ11" s="162"/>
      <c r="AK11" s="350">
        <v>10101.75</v>
      </c>
      <c r="AM11" s="162"/>
      <c r="AN11" s="350">
        <v>123713.57</v>
      </c>
      <c r="AO11" s="146"/>
      <c r="AP11" s="163"/>
      <c r="AQ11" s="152" t="s">
        <v>222</v>
      </c>
      <c r="AR11" s="350">
        <v>174222.72</v>
      </c>
      <c r="AT11" s="163"/>
      <c r="AU11" s="511">
        <v>398.67</v>
      </c>
      <c r="AV11" s="497"/>
      <c r="AW11" s="501"/>
      <c r="AX11" s="163"/>
      <c r="AY11" s="340">
        <v>43788.06</v>
      </c>
      <c r="BA11" s="145"/>
      <c r="BB11" s="340">
        <v>0</v>
      </c>
      <c r="BC11" s="146"/>
      <c r="BD11" s="163"/>
      <c r="BE11" s="361"/>
      <c r="BF11" s="367"/>
      <c r="BG11" s="165"/>
    </row>
    <row r="12" spans="1:59" ht="13.5" thickBot="1">
      <c r="A12" s="152" t="s">
        <v>223</v>
      </c>
      <c r="B12" s="145"/>
      <c r="C12" s="344">
        <f>163872.27+55401367.53</f>
        <v>55565239.800000004</v>
      </c>
      <c r="D12" s="148"/>
      <c r="E12" s="167">
        <f>C12/C10</f>
        <v>1.0798660929068351</v>
      </c>
      <c r="F12" s="344">
        <v>287712.48</v>
      </c>
      <c r="G12" s="148"/>
      <c r="H12" s="167">
        <f>F12/F10</f>
        <v>0.92793714683799045</v>
      </c>
      <c r="I12" s="344">
        <v>817288.45</v>
      </c>
      <c r="J12" s="344"/>
      <c r="K12" s="167">
        <f>I12/I10</f>
        <v>0.7513043905918777</v>
      </c>
      <c r="L12" s="344">
        <v>11613.06</v>
      </c>
      <c r="M12" s="166"/>
      <c r="N12" s="167">
        <f>L12/L10</f>
        <v>0.53166048619695094</v>
      </c>
      <c r="O12" s="152" t="s">
        <v>223</v>
      </c>
      <c r="P12" s="145"/>
      <c r="Q12" s="344">
        <v>38743.03</v>
      </c>
      <c r="R12" s="148"/>
      <c r="S12" s="167">
        <f>Q12/Q10</f>
        <v>0.87184459246590751</v>
      </c>
      <c r="T12" s="344">
        <v>49546.5</v>
      </c>
      <c r="U12" s="148"/>
      <c r="V12" s="167">
        <f>T12/T10</f>
        <v>0.94802250157855461</v>
      </c>
      <c r="W12" s="344">
        <v>102074.6</v>
      </c>
      <c r="X12" s="344"/>
      <c r="Y12" s="167">
        <f>W12/W10</f>
        <v>0.92534312392348839</v>
      </c>
      <c r="Z12" s="351">
        <v>7791</v>
      </c>
      <c r="AA12" s="148"/>
      <c r="AB12" s="167">
        <f>Z12/Z10</f>
        <v>1</v>
      </c>
      <c r="AC12" s="152" t="s">
        <v>223</v>
      </c>
      <c r="AD12" s="145"/>
      <c r="AE12" s="351">
        <v>4025</v>
      </c>
      <c r="AF12" s="148"/>
      <c r="AG12" s="167">
        <f>AE12/AE10</f>
        <v>1</v>
      </c>
      <c r="AH12" s="351">
        <v>0</v>
      </c>
      <c r="AI12" s="148"/>
      <c r="AJ12" s="167" t="e">
        <f>AH12/AH10</f>
        <v>#DIV/0!</v>
      </c>
      <c r="AK12" s="351">
        <v>502181.38</v>
      </c>
      <c r="AL12" s="148"/>
      <c r="AM12" s="167">
        <f>AK12/AK10</f>
        <v>0.99999876538784749</v>
      </c>
      <c r="AN12" s="351">
        <v>3122104.3199999998</v>
      </c>
      <c r="AO12" s="148"/>
      <c r="AP12" s="167">
        <f>AN12/AN10</f>
        <v>1.1000049044063553</v>
      </c>
      <c r="AQ12" s="152" t="s">
        <v>223</v>
      </c>
      <c r="AR12" s="351">
        <v>19567164.57</v>
      </c>
      <c r="AS12" s="148"/>
      <c r="AT12" s="167">
        <f>AR12/AR10</f>
        <v>1.0098153916927783</v>
      </c>
      <c r="AU12" s="513">
        <v>18192197.5</v>
      </c>
      <c r="AV12" s="495"/>
      <c r="AW12" s="167">
        <f>AU12/AU10</f>
        <v>1.0006519403234646</v>
      </c>
      <c r="AX12" s="163"/>
      <c r="AY12" s="344">
        <v>581978.09</v>
      </c>
      <c r="AZ12" s="148"/>
      <c r="BA12" s="167">
        <f>AY12/AY10</f>
        <v>0.98441968642853639</v>
      </c>
      <c r="BB12" s="344">
        <v>4633.1099999999997</v>
      </c>
      <c r="BC12" s="148"/>
      <c r="BD12" s="167">
        <f>BB12/BB10</f>
        <v>0.13626794117647059</v>
      </c>
      <c r="BE12" s="361"/>
      <c r="BF12" s="367"/>
      <c r="BG12" s="165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50"/>
      <c r="AB13" s="163"/>
      <c r="AC13" s="152"/>
      <c r="AD13" s="145"/>
      <c r="AE13" s="350"/>
      <c r="AG13" s="163"/>
      <c r="AH13" s="350"/>
      <c r="AJ13" s="162"/>
      <c r="AK13" s="350"/>
      <c r="AM13" s="162"/>
      <c r="AN13" s="350"/>
      <c r="AO13" s="146"/>
      <c r="AP13" s="163"/>
      <c r="AQ13" s="152"/>
      <c r="AR13" s="350"/>
      <c r="AT13" s="163"/>
      <c r="AU13" s="511"/>
      <c r="AV13" s="497"/>
      <c r="AW13" s="501"/>
      <c r="AX13" s="163"/>
      <c r="BA13" s="163"/>
      <c r="BC13" s="146"/>
      <c r="BD13" s="163"/>
      <c r="BE13" s="361"/>
      <c r="BF13" s="367"/>
      <c r="BG13" s="165"/>
    </row>
    <row r="14" spans="1:59" s="451" customFormat="1">
      <c r="A14" s="152" t="s">
        <v>224</v>
      </c>
      <c r="B14" s="447"/>
      <c r="C14" s="342">
        <v>0</v>
      </c>
      <c r="D14" s="152"/>
      <c r="E14" s="170">
        <f>C14/C10</f>
        <v>0</v>
      </c>
      <c r="F14" s="342">
        <f>F10-F12</f>
        <v>22343.520000000019</v>
      </c>
      <c r="G14" s="152"/>
      <c r="H14" s="170">
        <f>F14/F10</f>
        <v>7.2062853162009499E-2</v>
      </c>
      <c r="I14" s="342">
        <f>I10-I12</f>
        <v>270537.55000000005</v>
      </c>
      <c r="J14" s="342"/>
      <c r="K14" s="170">
        <f>I14/I10</f>
        <v>0.2486956094081223</v>
      </c>
      <c r="L14" s="342">
        <f>L10-L12</f>
        <v>10229.94</v>
      </c>
      <c r="M14" s="448"/>
      <c r="N14" s="170">
        <f>L14/L10</f>
        <v>0.46833951380304906</v>
      </c>
      <c r="O14" s="152" t="s">
        <v>224</v>
      </c>
      <c r="P14" s="447"/>
      <c r="Q14" s="342">
        <f>Q10-Q12</f>
        <v>5694.9700000000012</v>
      </c>
      <c r="R14" s="152"/>
      <c r="S14" s="170">
        <f>Q14/Q10</f>
        <v>0.12815540753409246</v>
      </c>
      <c r="T14" s="342">
        <f>T10-T12</f>
        <v>2716.5</v>
      </c>
      <c r="U14" s="152"/>
      <c r="V14" s="170">
        <f>T14/T10</f>
        <v>5.1977498421445383E-2</v>
      </c>
      <c r="W14" s="342">
        <f>W10-W12</f>
        <v>8235.3999999999942</v>
      </c>
      <c r="X14" s="342"/>
      <c r="Y14" s="170">
        <f>W14/W10</f>
        <v>7.46568760765116E-2</v>
      </c>
      <c r="Z14" s="349">
        <f>Z10-Z12</f>
        <v>0</v>
      </c>
      <c r="AA14" s="152"/>
      <c r="AB14" s="170"/>
      <c r="AC14" s="152" t="s">
        <v>224</v>
      </c>
      <c r="AD14" s="447"/>
      <c r="AE14" s="349">
        <f>AE10-AE12</f>
        <v>0</v>
      </c>
      <c r="AF14" s="152"/>
      <c r="AG14" s="170"/>
      <c r="AH14" s="349">
        <f>AH10-AH12</f>
        <v>0</v>
      </c>
      <c r="AI14" s="152"/>
      <c r="AJ14" s="170" t="e">
        <f>AH14/AH10</f>
        <v>#DIV/0!</v>
      </c>
      <c r="AK14" s="349">
        <f>AK10-AK12</f>
        <v>0.61999999999534339</v>
      </c>
      <c r="AL14" s="152"/>
      <c r="AM14" s="170">
        <f>AK14/AK10</f>
        <v>1.2346121525569284E-6</v>
      </c>
      <c r="AN14" s="491">
        <f>IF(AN10-AN12&lt;0,0,AN10-AN12)</f>
        <v>0</v>
      </c>
      <c r="AO14" s="152" t="s">
        <v>349</v>
      </c>
      <c r="AP14" s="170">
        <f>AN14/AN10</f>
        <v>0</v>
      </c>
      <c r="AQ14" s="152" t="s">
        <v>224</v>
      </c>
      <c r="AR14" s="349">
        <v>0</v>
      </c>
      <c r="AS14" s="152"/>
      <c r="AT14" s="170">
        <f>AR14/AR10</f>
        <v>0</v>
      </c>
      <c r="AU14" s="491">
        <f>IF(AU10-AU12&lt;0,0,AU10-AU12)</f>
        <v>0</v>
      </c>
      <c r="AV14" s="503"/>
      <c r="AW14" s="170">
        <f>AU14/AU10</f>
        <v>0</v>
      </c>
      <c r="AX14" s="449"/>
      <c r="AY14" s="342">
        <f>AY10-AY12</f>
        <v>9210.9100000000326</v>
      </c>
      <c r="AZ14" s="152"/>
      <c r="BA14" s="170">
        <f>AY14/AY10</f>
        <v>1.5580313571463665E-2</v>
      </c>
      <c r="BB14" s="342">
        <f>BB10-BB12</f>
        <v>29366.89</v>
      </c>
      <c r="BC14" s="152"/>
      <c r="BD14" s="170">
        <f>BB14/BB10</f>
        <v>0.86373205882352944</v>
      </c>
      <c r="BE14" s="363"/>
      <c r="BF14" s="450"/>
      <c r="BG14" s="171"/>
    </row>
    <row r="15" spans="1:59">
      <c r="A15" s="152"/>
      <c r="B15" s="145"/>
      <c r="E15" s="163"/>
      <c r="H15" s="163"/>
      <c r="I15" s="272"/>
      <c r="J15" s="272"/>
      <c r="K15" s="163"/>
      <c r="M15" s="164"/>
      <c r="N15" s="163"/>
      <c r="O15" s="152"/>
      <c r="P15" s="145"/>
      <c r="Q15" s="272"/>
      <c r="S15" s="163"/>
      <c r="V15" s="163"/>
      <c r="Y15" s="163"/>
      <c r="Z15" s="350"/>
      <c r="AB15" s="163"/>
      <c r="AC15" s="152"/>
      <c r="AD15" s="145"/>
      <c r="AE15" s="350"/>
      <c r="AG15" s="163"/>
      <c r="AH15" s="350"/>
      <c r="AJ15" s="162"/>
      <c r="AK15" s="350"/>
      <c r="AM15" s="162"/>
      <c r="AN15" s="350"/>
      <c r="AO15" s="146"/>
      <c r="AP15" s="163"/>
      <c r="AQ15" s="152"/>
      <c r="AR15" s="350"/>
      <c r="AT15" s="163"/>
      <c r="AU15" s="511"/>
      <c r="AV15" s="497"/>
      <c r="AW15" s="501"/>
      <c r="AX15" s="163"/>
      <c r="BA15" s="163"/>
      <c r="BC15" s="146"/>
      <c r="BD15" s="163"/>
      <c r="BE15" s="361"/>
      <c r="BF15" s="367"/>
      <c r="BG15" s="165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50"/>
      <c r="AB16" s="163"/>
      <c r="AC16" s="152"/>
      <c r="AD16" s="145"/>
      <c r="AE16" s="350"/>
      <c r="AG16" s="163"/>
      <c r="AH16" s="350"/>
      <c r="AJ16" s="162"/>
      <c r="AK16" s="350"/>
      <c r="AM16" s="162"/>
      <c r="AN16" s="350"/>
      <c r="AO16" s="146"/>
      <c r="AP16" s="163"/>
      <c r="AQ16" s="152"/>
      <c r="AR16" s="350"/>
      <c r="AT16" s="163"/>
      <c r="AU16" s="511"/>
      <c r="AV16" s="497"/>
      <c r="AW16" s="501"/>
      <c r="AX16" s="163"/>
      <c r="BA16" s="163"/>
      <c r="BC16" s="146"/>
      <c r="BD16" s="163"/>
      <c r="BE16" s="361"/>
      <c r="BF16" s="367"/>
      <c r="BG16" s="165"/>
    </row>
    <row r="17" spans="1:59">
      <c r="A17" s="152" t="s">
        <v>225</v>
      </c>
      <c r="B17" s="145"/>
      <c r="C17" s="340">
        <f>1100412+55614913</f>
        <v>56715325</v>
      </c>
      <c r="E17" s="163">
        <v>1</v>
      </c>
      <c r="F17" s="340">
        <v>310056</v>
      </c>
      <c r="H17" s="163">
        <v>1</v>
      </c>
      <c r="I17" s="340">
        <v>1087826</v>
      </c>
      <c r="K17" s="163">
        <v>1</v>
      </c>
      <c r="L17" s="340">
        <v>21843</v>
      </c>
      <c r="M17" s="164"/>
      <c r="N17" s="163">
        <v>1</v>
      </c>
      <c r="O17" s="152" t="s">
        <v>225</v>
      </c>
      <c r="P17" s="145"/>
      <c r="Q17" s="340">
        <v>44438</v>
      </c>
      <c r="S17" s="163">
        <v>1</v>
      </c>
      <c r="T17" s="340">
        <v>52263</v>
      </c>
      <c r="V17" s="163">
        <v>1</v>
      </c>
      <c r="W17" s="340">
        <v>110310</v>
      </c>
      <c r="Y17" s="163">
        <v>1</v>
      </c>
      <c r="Z17" s="350">
        <v>7791</v>
      </c>
      <c r="AB17" s="163">
        <v>1</v>
      </c>
      <c r="AC17" s="152" t="s">
        <v>225</v>
      </c>
      <c r="AD17" s="145"/>
      <c r="AE17" s="350">
        <v>4025</v>
      </c>
      <c r="AG17" s="163">
        <v>1</v>
      </c>
      <c r="AH17" s="350">
        <v>0</v>
      </c>
      <c r="AJ17" s="162">
        <v>1</v>
      </c>
      <c r="AK17" s="350">
        <v>512540</v>
      </c>
      <c r="AM17" s="162">
        <v>1</v>
      </c>
      <c r="AN17" s="350">
        <v>3471764</v>
      </c>
      <c r="AO17" s="146"/>
      <c r="AP17" s="163">
        <v>1</v>
      </c>
      <c r="AQ17" s="152" t="s">
        <v>225</v>
      </c>
      <c r="AR17" s="350">
        <v>19488131</v>
      </c>
      <c r="AT17" s="163">
        <v>1</v>
      </c>
      <c r="AU17" s="511">
        <v>18180345</v>
      </c>
      <c r="AV17" s="497"/>
      <c r="AW17" s="501">
        <v>1</v>
      </c>
      <c r="AX17" s="163"/>
      <c r="AY17" s="340">
        <v>701189</v>
      </c>
      <c r="BA17" s="163">
        <v>1</v>
      </c>
      <c r="BB17" s="340">
        <v>34000</v>
      </c>
      <c r="BC17" s="146"/>
      <c r="BD17" s="163">
        <v>1</v>
      </c>
      <c r="BE17" s="361"/>
      <c r="BF17" s="367"/>
      <c r="BG17" s="165"/>
    </row>
    <row r="18" spans="1:59">
      <c r="A18" s="152" t="s">
        <v>226</v>
      </c>
      <c r="B18" s="145"/>
      <c r="C18" s="340">
        <f>90815.63+7779426.59</f>
        <v>7870242.2199999997</v>
      </c>
      <c r="E18" s="163"/>
      <c r="F18" s="340">
        <v>43858.99</v>
      </c>
      <c r="H18" s="163"/>
      <c r="I18" s="340">
        <v>79221.149999999994</v>
      </c>
      <c r="K18" s="163"/>
      <c r="L18" s="340">
        <v>3130.83</v>
      </c>
      <c r="M18" s="164"/>
      <c r="N18" s="163"/>
      <c r="O18" s="152" t="s">
        <v>226</v>
      </c>
      <c r="P18" s="145"/>
      <c r="Q18" s="340">
        <v>0</v>
      </c>
      <c r="S18" s="163"/>
      <c r="T18" s="340">
        <v>9033.5400000000009</v>
      </c>
      <c r="V18" s="163"/>
      <c r="W18" s="340">
        <v>9731.11</v>
      </c>
      <c r="Y18" s="163"/>
      <c r="Z18" s="350">
        <v>7791</v>
      </c>
      <c r="AB18" s="163"/>
      <c r="AC18" s="152" t="s">
        <v>226</v>
      </c>
      <c r="AD18" s="145"/>
      <c r="AE18" s="350"/>
      <c r="AG18" s="163"/>
      <c r="AH18" s="350">
        <v>0</v>
      </c>
      <c r="AJ18" s="162"/>
      <c r="AK18" s="350">
        <v>106608.79</v>
      </c>
      <c r="AM18" s="162"/>
      <c r="AN18" s="350">
        <v>817836.24</v>
      </c>
      <c r="AO18" s="146"/>
      <c r="AP18" s="163"/>
      <c r="AQ18" s="152" t="s">
        <v>226</v>
      </c>
      <c r="AR18" s="350">
        <v>8259585.0199999996</v>
      </c>
      <c r="AT18" s="163"/>
      <c r="AU18" s="511">
        <v>2594045.63</v>
      </c>
      <c r="AV18" s="497"/>
      <c r="AW18" s="501"/>
      <c r="AX18" s="163"/>
      <c r="AY18" s="340">
        <v>112694.78</v>
      </c>
      <c r="BA18" s="163"/>
      <c r="BB18" s="340">
        <v>2470.54</v>
      </c>
      <c r="BC18" s="146"/>
      <c r="BD18" s="163"/>
      <c r="BE18" s="361"/>
      <c r="BF18" s="367"/>
      <c r="BG18" s="165"/>
    </row>
    <row r="19" spans="1:59" ht="13.5" thickBot="1">
      <c r="A19" s="152" t="s">
        <v>227</v>
      </c>
      <c r="B19" s="145"/>
      <c r="C19" s="344">
        <f>1084703.89+51086563.48</f>
        <v>52171267.369999997</v>
      </c>
      <c r="D19" s="148"/>
      <c r="E19" s="167">
        <f>C19/C17</f>
        <v>0.91987954525518456</v>
      </c>
      <c r="F19" s="344">
        <v>287712.48</v>
      </c>
      <c r="G19" s="148"/>
      <c r="H19" s="167">
        <f>F19/F17</f>
        <v>0.92793714683799045</v>
      </c>
      <c r="I19" s="445">
        <v>817294.5</v>
      </c>
      <c r="J19" s="344"/>
      <c r="K19" s="167">
        <f>I19/I17</f>
        <v>0.75130995214308172</v>
      </c>
      <c r="L19" s="344">
        <v>11613.06</v>
      </c>
      <c r="M19" s="166"/>
      <c r="N19" s="167">
        <f>L19/L17</f>
        <v>0.53166048619695094</v>
      </c>
      <c r="O19" s="152" t="str">
        <f>A19</f>
        <v>Exp./Encumbrances to Date</v>
      </c>
      <c r="P19" s="145"/>
      <c r="Q19" s="344">
        <v>38743.03</v>
      </c>
      <c r="R19" s="148"/>
      <c r="S19" s="167">
        <f>Q19/Q17</f>
        <v>0.87184459246590751</v>
      </c>
      <c r="T19" s="344">
        <v>49546.5</v>
      </c>
      <c r="U19" s="148"/>
      <c r="V19" s="167">
        <f>T19/T17</f>
        <v>0.94802250157855461</v>
      </c>
      <c r="W19" s="344">
        <v>102074.6</v>
      </c>
      <c r="X19" s="344"/>
      <c r="Y19" s="167">
        <f>W19/W17</f>
        <v>0.92534312392348839</v>
      </c>
      <c r="Z19" s="351">
        <v>7791</v>
      </c>
      <c r="AA19" s="148"/>
      <c r="AB19" s="167">
        <f>Z19/Z17</f>
        <v>1</v>
      </c>
      <c r="AC19" s="152" t="str">
        <f>A19</f>
        <v>Exp./Encumbrances to Date</v>
      </c>
      <c r="AD19" s="145"/>
      <c r="AE19" s="351">
        <v>4025</v>
      </c>
      <c r="AF19" s="148"/>
      <c r="AG19" s="167">
        <f>AE19/AE17</f>
        <v>1</v>
      </c>
      <c r="AH19" s="351">
        <v>0</v>
      </c>
      <c r="AI19" s="148"/>
      <c r="AJ19" s="167" t="e">
        <f>AH19/AH17</f>
        <v>#DIV/0!</v>
      </c>
      <c r="AK19" s="351">
        <v>487614.95</v>
      </c>
      <c r="AL19" s="148"/>
      <c r="AM19" s="167">
        <f>AK19/AK17</f>
        <v>0.95136955164474968</v>
      </c>
      <c r="AN19" s="351">
        <v>3159227.7</v>
      </c>
      <c r="AO19" s="148"/>
      <c r="AP19" s="167">
        <f>AN19/AN17</f>
        <v>0.90997766553256509</v>
      </c>
      <c r="AQ19" s="152" t="str">
        <f>+A19</f>
        <v>Exp./Encumbrances to Date</v>
      </c>
      <c r="AR19" s="351">
        <v>19478077.100000001</v>
      </c>
      <c r="AS19" s="148"/>
      <c r="AT19" s="167">
        <f>AR19/AR17</f>
        <v>0.99948410137431865</v>
      </c>
      <c r="AU19" s="513">
        <v>16341643.74</v>
      </c>
      <c r="AV19" s="495"/>
      <c r="AW19" s="502">
        <f>AU19/AU17</f>
        <v>0.89886323609370455</v>
      </c>
      <c r="AX19" s="163"/>
      <c r="AY19" s="344">
        <v>689567.17</v>
      </c>
      <c r="AZ19" s="148"/>
      <c r="BA19" s="167">
        <f>AY19/AY17</f>
        <v>0.98342553862082838</v>
      </c>
      <c r="BB19" s="344">
        <v>28660.95</v>
      </c>
      <c r="BC19" s="148"/>
      <c r="BD19" s="167">
        <f>BB19/BB17</f>
        <v>0.84296911764705884</v>
      </c>
      <c r="BE19" s="361"/>
      <c r="BF19" s="367"/>
      <c r="BG19" s="165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50"/>
      <c r="AB20" s="163"/>
      <c r="AC20" s="152"/>
      <c r="AD20" s="145"/>
      <c r="AE20" s="350"/>
      <c r="AG20" s="163"/>
      <c r="AH20" s="350"/>
      <c r="AJ20" s="162"/>
      <c r="AK20" s="350"/>
      <c r="AM20" s="162"/>
      <c r="AN20" s="350"/>
      <c r="AO20" s="146"/>
      <c r="AP20" s="163"/>
      <c r="AQ20" s="152"/>
      <c r="AR20" s="350"/>
      <c r="AT20" s="163"/>
      <c r="AU20" s="511"/>
      <c r="AV20" s="497"/>
      <c r="AW20" s="501"/>
      <c r="AX20" s="163"/>
      <c r="BA20" s="163"/>
      <c r="BC20" s="146"/>
      <c r="BD20" s="163"/>
      <c r="BE20" s="361"/>
      <c r="BF20" s="367"/>
      <c r="BG20" s="165"/>
    </row>
    <row r="21" spans="1:59">
      <c r="A21" s="152" t="s">
        <v>228</v>
      </c>
      <c r="B21" s="145"/>
      <c r="C21" s="342">
        <f>C17-C19</f>
        <v>4544057.6300000027</v>
      </c>
      <c r="D21" s="152"/>
      <c r="E21" s="170">
        <f>C21/C17</f>
        <v>8.0120454744815495E-2</v>
      </c>
      <c r="F21" s="342">
        <f>F17-F19</f>
        <v>22343.520000000019</v>
      </c>
      <c r="G21" s="152"/>
      <c r="H21" s="170">
        <f>F21/F17</f>
        <v>7.2062853162009499E-2</v>
      </c>
      <c r="I21" s="342">
        <f>I17-I19</f>
        <v>270531.5</v>
      </c>
      <c r="J21" s="342"/>
      <c r="K21" s="170">
        <f>I21/I17</f>
        <v>0.24869004785691828</v>
      </c>
      <c r="L21" s="342">
        <f>L17-L19</f>
        <v>10229.94</v>
      </c>
      <c r="M21" s="169"/>
      <c r="N21" s="170">
        <f>L21/L17</f>
        <v>0.46833951380304906</v>
      </c>
      <c r="O21" s="152" t="s">
        <v>228</v>
      </c>
      <c r="P21" s="145"/>
      <c r="Q21" s="342">
        <f>Q17-Q19</f>
        <v>5694.9700000000012</v>
      </c>
      <c r="R21" s="152"/>
      <c r="S21" s="170">
        <f>Q21/Q17</f>
        <v>0.12815540753409246</v>
      </c>
      <c r="T21" s="342">
        <f>T17-T19</f>
        <v>2716.5</v>
      </c>
      <c r="U21" s="152"/>
      <c r="V21" s="170">
        <f>T21/T17</f>
        <v>5.1977498421445383E-2</v>
      </c>
      <c r="W21" s="342">
        <f>W17-W19</f>
        <v>8235.3999999999942</v>
      </c>
      <c r="X21" s="342"/>
      <c r="Y21" s="170">
        <f>W21/W17</f>
        <v>7.46568760765116E-2</v>
      </c>
      <c r="Z21" s="349">
        <f>Z17-Z19</f>
        <v>0</v>
      </c>
      <c r="AA21" s="152"/>
      <c r="AB21" s="170"/>
      <c r="AC21" s="152" t="s">
        <v>228</v>
      </c>
      <c r="AD21" s="145"/>
      <c r="AE21" s="349">
        <f>AE17-AE19</f>
        <v>0</v>
      </c>
      <c r="AF21" s="152"/>
      <c r="AG21" s="170"/>
      <c r="AH21" s="349">
        <f>AH17-AH19</f>
        <v>0</v>
      </c>
      <c r="AI21" s="152"/>
      <c r="AJ21" s="168" t="e">
        <f>AH21/AH17</f>
        <v>#DIV/0!</v>
      </c>
      <c r="AK21" s="349">
        <f>AK17-AK19</f>
        <v>24925.049999999988</v>
      </c>
      <c r="AL21" s="152"/>
      <c r="AM21" s="168">
        <f>AK21/AK17</f>
        <v>4.8630448355250301E-2</v>
      </c>
      <c r="AN21" s="349">
        <f>AN17-AN19</f>
        <v>312536.29999999981</v>
      </c>
      <c r="AO21" s="152"/>
      <c r="AP21" s="170">
        <f>AN21/AN17</f>
        <v>9.0022334467434947E-2</v>
      </c>
      <c r="AQ21" s="152" t="s">
        <v>228</v>
      </c>
      <c r="AR21" s="349">
        <f>AR17-AR19</f>
        <v>10053.89999999851</v>
      </c>
      <c r="AS21" s="152"/>
      <c r="AT21" s="170">
        <f>AR21/AR17</f>
        <v>5.1589862568137042E-4</v>
      </c>
      <c r="AU21" s="491">
        <f>AU17-AU19</f>
        <v>1838701.2599999998</v>
      </c>
      <c r="AV21" s="503"/>
      <c r="AW21" s="504">
        <f>AU21/AU17</f>
        <v>0.1011367639062955</v>
      </c>
      <c r="AX21" s="163"/>
      <c r="AY21" s="342">
        <f>AY17-AY19</f>
        <v>11621.829999999958</v>
      </c>
      <c r="AZ21" s="152"/>
      <c r="BA21" s="170">
        <f>AY21/AY17</f>
        <v>1.6574461379171606E-2</v>
      </c>
      <c r="BB21" s="342">
        <f>BB17-BB19</f>
        <v>5339.0499999999993</v>
      </c>
      <c r="BC21" s="152"/>
      <c r="BD21" s="170">
        <f>BB21/BB17</f>
        <v>0.15703088235294116</v>
      </c>
      <c r="BE21" s="363"/>
      <c r="BF21" s="368"/>
      <c r="BG21" s="171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50"/>
      <c r="AB22" s="163"/>
      <c r="AD22" s="145"/>
      <c r="AE22" s="350"/>
      <c r="AG22" s="163"/>
      <c r="AH22" s="350"/>
      <c r="AJ22" s="162"/>
      <c r="AK22" s="350"/>
      <c r="AM22" s="162"/>
      <c r="AN22" s="350"/>
      <c r="AO22" s="146"/>
      <c r="AP22" s="163"/>
      <c r="AR22" s="350"/>
      <c r="AT22" s="163"/>
      <c r="AU22" s="511"/>
      <c r="AV22" s="497"/>
      <c r="AW22" s="501"/>
      <c r="AX22" s="163"/>
      <c r="BA22" s="163"/>
      <c r="BC22" s="146"/>
      <c r="BD22" s="163"/>
      <c r="BE22" s="361"/>
      <c r="BF22" s="367"/>
      <c r="BG22" s="165"/>
    </row>
    <row r="23" spans="1:59">
      <c r="A23" s="152" t="s">
        <v>229</v>
      </c>
      <c r="B23" s="145"/>
      <c r="E23" s="145"/>
      <c r="H23" s="145"/>
      <c r="K23" s="145"/>
      <c r="M23" s="153"/>
      <c r="N23" s="145"/>
      <c r="O23" s="152" t="s">
        <v>229</v>
      </c>
      <c r="P23" s="145"/>
      <c r="S23" s="145"/>
      <c r="V23" s="145"/>
      <c r="Y23" s="145"/>
      <c r="Z23" s="350"/>
      <c r="AB23" s="145"/>
      <c r="AC23" s="152" t="s">
        <v>229</v>
      </c>
      <c r="AD23" s="145"/>
      <c r="AE23" s="350"/>
      <c r="AG23" s="145"/>
      <c r="AH23" s="350"/>
      <c r="AK23" s="350"/>
      <c r="AN23" s="350"/>
      <c r="AO23" s="146"/>
      <c r="AP23" s="145"/>
      <c r="AQ23" s="152" t="s">
        <v>229</v>
      </c>
      <c r="AR23" s="350"/>
      <c r="AT23" s="145"/>
      <c r="AU23" s="511"/>
      <c r="AV23" s="497"/>
      <c r="AW23" s="498"/>
      <c r="AX23" s="145"/>
      <c r="BA23" s="145"/>
      <c r="BC23" s="146"/>
      <c r="BD23" s="145"/>
      <c r="BE23" s="361"/>
      <c r="BF23" s="364"/>
      <c r="BG23" s="144"/>
    </row>
    <row r="24" spans="1:59">
      <c r="A24" s="172" t="s">
        <v>230</v>
      </c>
      <c r="B24" s="145"/>
      <c r="C24" s="508">
        <f>C12-C19</f>
        <v>3393972.4300000072</v>
      </c>
      <c r="D24" s="173"/>
      <c r="E24" s="174"/>
      <c r="F24" s="342">
        <f>F12-F19</f>
        <v>0</v>
      </c>
      <c r="G24" s="173"/>
      <c r="H24" s="174"/>
      <c r="I24" s="273">
        <f>I12-I19</f>
        <v>-6.0500000000465661</v>
      </c>
      <c r="J24" s="273"/>
      <c r="K24" s="174"/>
      <c r="L24" s="273">
        <f>L12-L19</f>
        <v>0</v>
      </c>
      <c r="M24" s="175"/>
      <c r="N24" s="176"/>
      <c r="O24" s="152" t="s">
        <v>231</v>
      </c>
      <c r="P24" s="145"/>
      <c r="Q24" s="273">
        <f>Q12-Q19</f>
        <v>0</v>
      </c>
      <c r="R24" s="173"/>
      <c r="S24" s="174"/>
      <c r="T24" s="273">
        <f>T12-T19</f>
        <v>0</v>
      </c>
      <c r="U24" s="173"/>
      <c r="V24" s="174"/>
      <c r="W24" s="273">
        <f>W12-W19</f>
        <v>0</v>
      </c>
      <c r="X24" s="273"/>
      <c r="Y24" s="174"/>
      <c r="Z24" s="349">
        <f>Z12-Z19</f>
        <v>0</v>
      </c>
      <c r="AA24" s="173"/>
      <c r="AB24" s="174"/>
      <c r="AC24" s="172" t="str">
        <f>A24</f>
        <v>Actual Expenditures &amp; Encumbrances:</v>
      </c>
      <c r="AD24" s="145"/>
      <c r="AE24" s="349">
        <f>AE12-AE19</f>
        <v>0</v>
      </c>
      <c r="AF24" s="173"/>
      <c r="AG24" s="174"/>
      <c r="AH24" s="349">
        <f>AH12-AH19</f>
        <v>0</v>
      </c>
      <c r="AI24" s="173"/>
      <c r="AJ24" s="173"/>
      <c r="AK24" s="349">
        <f>AK12-AK19</f>
        <v>14566.429999999993</v>
      </c>
      <c r="AL24" s="173"/>
      <c r="AM24" s="173"/>
      <c r="AN24" s="349">
        <f>AN12-AN19</f>
        <v>-37123.380000000354</v>
      </c>
      <c r="AO24" s="173"/>
      <c r="AP24" s="174"/>
      <c r="AQ24" s="172" t="str">
        <f>+A24</f>
        <v>Actual Expenditures &amp; Encumbrances:</v>
      </c>
      <c r="AR24" s="349">
        <f>AR12-AR19</f>
        <v>89087.469999998808</v>
      </c>
      <c r="AS24" s="173"/>
      <c r="AT24" s="174"/>
      <c r="AU24" s="491">
        <f>AU12-AU19</f>
        <v>1850553.7599999998</v>
      </c>
      <c r="AV24" s="505"/>
      <c r="AW24" s="506"/>
      <c r="AX24" s="174"/>
      <c r="AY24" s="273">
        <f>AY12-AY19</f>
        <v>-107589.08000000007</v>
      </c>
      <c r="AZ24" s="173"/>
      <c r="BA24" s="174"/>
      <c r="BB24" s="273">
        <f>BB12-BB19</f>
        <v>-24027.84</v>
      </c>
      <c r="BC24" s="173"/>
      <c r="BD24" s="174"/>
      <c r="BE24" s="370"/>
      <c r="BF24" s="353"/>
      <c r="BG24" s="177"/>
    </row>
    <row r="25" spans="1:59">
      <c r="B25" s="145"/>
      <c r="E25" s="145"/>
      <c r="H25" s="145"/>
      <c r="K25" s="145"/>
      <c r="L25" s="272"/>
      <c r="M25" s="153"/>
      <c r="N25" s="145"/>
      <c r="P25" s="145"/>
      <c r="S25" s="145"/>
      <c r="T25" s="272"/>
      <c r="V25" s="145"/>
      <c r="Y25" s="145"/>
      <c r="Z25" s="350"/>
      <c r="AB25" s="145"/>
      <c r="AD25" s="145"/>
      <c r="AE25" s="350"/>
      <c r="AG25" s="145"/>
      <c r="AH25" s="350"/>
      <c r="AK25" s="350"/>
      <c r="AN25" s="350"/>
      <c r="AO25" s="146"/>
      <c r="AP25" s="145"/>
      <c r="AR25" s="350"/>
      <c r="AT25" s="145"/>
      <c r="AU25" s="511"/>
      <c r="AV25" s="497"/>
      <c r="AW25" s="498"/>
      <c r="AX25" s="145"/>
      <c r="AY25" s="272"/>
      <c r="BA25" s="145"/>
      <c r="BB25" s="272"/>
      <c r="BC25" s="146"/>
      <c r="BD25" s="145"/>
      <c r="BE25" s="369"/>
      <c r="BF25" s="364"/>
      <c r="BG25" s="144"/>
    </row>
    <row r="26" spans="1:59">
      <c r="B26" s="145"/>
      <c r="E26" s="145"/>
      <c r="H26" s="145"/>
      <c r="K26" s="145"/>
      <c r="L26" s="272"/>
      <c r="M26" s="153"/>
      <c r="N26" s="145"/>
      <c r="P26" s="145"/>
      <c r="S26" s="145"/>
      <c r="V26" s="145"/>
      <c r="Y26" s="145"/>
      <c r="Z26" s="350"/>
      <c r="AB26" s="145"/>
      <c r="AD26" s="145"/>
      <c r="AE26" s="350"/>
      <c r="AG26" s="145"/>
      <c r="AH26" s="350"/>
      <c r="AK26" s="350"/>
      <c r="AN26" s="350"/>
      <c r="AO26" s="146"/>
      <c r="AP26" s="145"/>
      <c r="AR26" s="350"/>
      <c r="AT26" s="145"/>
      <c r="AU26" s="511"/>
      <c r="AV26" s="497"/>
      <c r="AW26" s="498"/>
      <c r="AX26" s="145"/>
      <c r="AY26" s="272"/>
      <c r="BA26" s="145"/>
      <c r="BB26" s="272"/>
      <c r="BC26" s="146"/>
      <c r="BD26" s="145"/>
      <c r="BE26" s="369"/>
      <c r="BF26" s="364"/>
      <c r="BG26" s="144"/>
    </row>
    <row r="27" spans="1:59">
      <c r="A27" s="152"/>
      <c r="B27" s="145"/>
      <c r="C27" s="357"/>
      <c r="E27" s="145"/>
      <c r="H27" s="145"/>
      <c r="K27" s="145"/>
      <c r="L27" s="272"/>
      <c r="M27" s="153"/>
      <c r="N27" s="145"/>
      <c r="P27" s="145"/>
      <c r="S27" s="145"/>
      <c r="V27" s="145"/>
      <c r="Y27" s="145"/>
      <c r="Z27" s="350"/>
      <c r="AB27" s="145"/>
      <c r="AD27" s="145"/>
      <c r="AE27" s="350"/>
      <c r="AF27" s="340"/>
      <c r="AG27" s="145"/>
      <c r="AH27" s="350"/>
      <c r="AK27" s="350"/>
      <c r="AN27" s="350"/>
      <c r="AO27" s="146"/>
      <c r="AP27" s="145"/>
      <c r="AR27" s="350"/>
      <c r="AS27" s="340"/>
      <c r="AT27" s="145"/>
      <c r="AU27" s="511"/>
      <c r="AV27" s="493"/>
      <c r="AW27" s="498"/>
      <c r="AX27" s="145"/>
      <c r="AY27" s="272"/>
      <c r="BA27" s="145"/>
      <c r="BB27" s="272"/>
      <c r="BC27" s="146"/>
      <c r="BD27" s="145"/>
      <c r="BE27" s="369"/>
      <c r="BF27" s="364"/>
      <c r="BG27" s="144"/>
    </row>
    <row r="28" spans="1:59">
      <c r="A28" s="152"/>
      <c r="B28" s="145"/>
      <c r="C28" s="273"/>
      <c r="E28" s="145"/>
      <c r="F28" s="354"/>
      <c r="H28" s="145"/>
      <c r="K28" s="145"/>
      <c r="L28" s="272"/>
      <c r="M28" s="153"/>
      <c r="N28" s="145"/>
      <c r="P28" s="145"/>
      <c r="S28" s="145"/>
      <c r="V28" s="145"/>
      <c r="Y28" s="145"/>
      <c r="Z28" s="350"/>
      <c r="AB28" s="145"/>
      <c r="AD28" s="145"/>
      <c r="AE28" s="350"/>
      <c r="AF28" s="340"/>
      <c r="AG28" s="145"/>
      <c r="AH28" s="350"/>
      <c r="AK28" s="350"/>
      <c r="AN28" s="350"/>
      <c r="AO28" s="146"/>
      <c r="AP28" s="145"/>
      <c r="AR28" s="350"/>
      <c r="AS28" s="340"/>
      <c r="AT28" s="145"/>
      <c r="AU28" s="511"/>
      <c r="AV28" s="493"/>
      <c r="AW28" s="498"/>
      <c r="AX28" s="145"/>
      <c r="AY28" s="272"/>
      <c r="BA28" s="145"/>
      <c r="BB28" s="272"/>
      <c r="BC28" s="146"/>
      <c r="BD28" s="145"/>
      <c r="BE28" s="369"/>
      <c r="BF28" s="364"/>
      <c r="BG28" s="144"/>
    </row>
    <row r="29" spans="1:59">
      <c r="A29" s="152"/>
      <c r="B29" s="145"/>
      <c r="E29" s="145"/>
      <c r="F29" s="342"/>
      <c r="H29" s="145"/>
      <c r="K29" s="145"/>
      <c r="L29" s="272"/>
      <c r="M29" s="153"/>
      <c r="N29" s="145"/>
      <c r="P29" s="145"/>
      <c r="S29" s="145"/>
      <c r="V29" s="145"/>
      <c r="Y29" s="145"/>
      <c r="Z29" s="350"/>
      <c r="AB29" s="145"/>
      <c r="AD29" s="145"/>
      <c r="AE29" s="350"/>
      <c r="AF29" s="340"/>
      <c r="AG29" s="145"/>
      <c r="AH29" s="350"/>
      <c r="AK29" s="350"/>
      <c r="AN29" s="350"/>
      <c r="AO29" s="146"/>
      <c r="AP29" s="145"/>
      <c r="AR29" s="350"/>
      <c r="AS29" s="340"/>
      <c r="AT29" s="145"/>
      <c r="AU29" s="511"/>
      <c r="AV29" s="493"/>
      <c r="AW29" s="498"/>
      <c r="AX29" s="145"/>
      <c r="AY29" s="272"/>
      <c r="BA29" s="145"/>
      <c r="BB29" s="350"/>
      <c r="BC29" s="146"/>
      <c r="BD29" s="145"/>
      <c r="BE29" s="369"/>
      <c r="BF29" s="364"/>
      <c r="BG29" s="144"/>
    </row>
    <row r="30" spans="1:59">
      <c r="AU30" s="493"/>
      <c r="AV30" s="497"/>
      <c r="AW30" s="497"/>
      <c r="BE30" s="361"/>
      <c r="BF30" s="144"/>
      <c r="BG30" s="144"/>
    </row>
    <row r="31" spans="1:59">
      <c r="AU31" s="493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45" t="s">
        <v>235</v>
      </c>
      <c r="W35" s="340" t="s">
        <v>85</v>
      </c>
      <c r="Z35" s="345" t="s">
        <v>232</v>
      </c>
      <c r="AN35" s="345" t="s">
        <v>233</v>
      </c>
      <c r="AO35" s="345"/>
      <c r="BB35" s="345" t="s">
        <v>234</v>
      </c>
      <c r="BE35" s="358"/>
    </row>
    <row r="36" spans="1:57">
      <c r="A36" s="180"/>
    </row>
    <row r="37" spans="1:57">
      <c r="A37" s="180"/>
      <c r="Z37" s="345"/>
      <c r="AN37" s="345"/>
      <c r="AO37" s="345"/>
    </row>
  </sheetData>
  <mergeCells count="16">
    <mergeCell ref="A1:N1"/>
    <mergeCell ref="A2:N2"/>
    <mergeCell ref="A4:N4"/>
    <mergeCell ref="O1:AB1"/>
    <mergeCell ref="O2:AB2"/>
    <mergeCell ref="O4:AB4"/>
    <mergeCell ref="A3:N3"/>
    <mergeCell ref="O3:AB3"/>
    <mergeCell ref="AC1:AP1"/>
    <mergeCell ref="AC2:AP2"/>
    <mergeCell ref="AC4:AP4"/>
    <mergeCell ref="AQ1:BD1"/>
    <mergeCell ref="AQ2:BD2"/>
    <mergeCell ref="AQ4:BD4"/>
    <mergeCell ref="AC3:AP3"/>
    <mergeCell ref="AQ3:BD3"/>
  </mergeCells>
  <phoneticPr fontId="10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topLeftCell="F10" zoomScale="75" zoomScaleNormal="75" zoomScaleSheetLayoutView="75" workbookViewId="0">
      <selection activeCell="Y51" sqref="Y51:AA51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83" customWidth="1"/>
    <col min="15" max="15" width="18.85546875" style="97" customWidth="1"/>
    <col min="16" max="16" width="6" style="97" customWidth="1"/>
    <col min="17" max="17" width="20.140625" style="383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83" customWidth="1"/>
    <col min="26" max="26" width="13.7109375" style="97" customWidth="1"/>
    <col min="27" max="27" width="18.85546875" style="383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85"/>
      <c r="O1" s="93"/>
      <c r="P1" s="93"/>
      <c r="Q1" s="385"/>
      <c r="R1" s="93" t="s">
        <v>175</v>
      </c>
      <c r="S1" s="94"/>
      <c r="T1" s="92"/>
      <c r="U1" s="93"/>
      <c r="V1" s="93"/>
      <c r="W1" s="93"/>
      <c r="X1" s="93"/>
      <c r="Y1" s="385"/>
      <c r="Z1" s="95" t="s">
        <v>85</v>
      </c>
      <c r="AA1" s="385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80"/>
      <c r="O2" s="99"/>
      <c r="P2" s="99"/>
      <c r="Q2" s="380"/>
      <c r="R2" s="99"/>
      <c r="S2" s="100"/>
      <c r="T2" s="98"/>
      <c r="U2" s="99"/>
      <c r="V2" s="99"/>
      <c r="W2" s="99"/>
      <c r="X2" s="99"/>
      <c r="Y2" s="380"/>
      <c r="AA2" s="380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80"/>
      <c r="O3" s="99"/>
      <c r="P3" s="99"/>
      <c r="Q3" s="380"/>
      <c r="R3" s="99"/>
      <c r="S3" s="100"/>
      <c r="T3" s="98"/>
      <c r="U3" s="99"/>
      <c r="V3" s="99"/>
      <c r="W3" s="99"/>
      <c r="X3" s="99"/>
      <c r="Y3" s="380"/>
      <c r="AA3" s="380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80"/>
      <c r="O4" s="99"/>
      <c r="P4" s="99"/>
      <c r="Q4" s="380"/>
      <c r="R4" s="99"/>
      <c r="S4" s="100"/>
      <c r="T4" s="98"/>
      <c r="U4" s="99"/>
      <c r="V4" s="99"/>
      <c r="W4" s="99"/>
      <c r="X4" s="99"/>
      <c r="Y4" s="380"/>
      <c r="AA4" s="380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80"/>
      <c r="O5" s="99"/>
      <c r="P5" s="99"/>
      <c r="Q5" s="380"/>
      <c r="R5" s="99"/>
      <c r="S5" s="100"/>
      <c r="T5" s="98"/>
      <c r="U5" s="99"/>
      <c r="V5" s="99"/>
      <c r="W5" s="99"/>
      <c r="X5" s="99"/>
      <c r="Y5" s="380"/>
      <c r="AA5" s="380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80"/>
      <c r="O6" s="99"/>
      <c r="P6" s="99"/>
      <c r="Q6" s="380"/>
      <c r="R6" s="99"/>
      <c r="S6" s="100"/>
      <c r="T6" s="98"/>
      <c r="U6" s="99"/>
      <c r="V6" s="99"/>
      <c r="W6" s="99"/>
      <c r="X6" s="99"/>
      <c r="Y6" s="380"/>
      <c r="AA6" s="380"/>
      <c r="AB6" s="100"/>
      <c r="AC6" s="96"/>
    </row>
    <row r="7" spans="1:29">
      <c r="A7" s="98"/>
      <c r="B7" s="401" t="s">
        <v>289</v>
      </c>
      <c r="C7" s="401"/>
      <c r="D7" s="402"/>
      <c r="E7" s="401"/>
      <c r="F7" s="401"/>
      <c r="G7" s="401"/>
      <c r="H7" s="401"/>
      <c r="I7" s="100"/>
      <c r="J7" s="98"/>
      <c r="K7" s="401" t="s">
        <v>289</v>
      </c>
      <c r="L7" s="401"/>
      <c r="M7" s="401"/>
      <c r="N7" s="403"/>
      <c r="O7" s="401"/>
      <c r="P7" s="401"/>
      <c r="Q7" s="403"/>
      <c r="R7" s="401"/>
      <c r="S7" s="100"/>
      <c r="T7" s="98"/>
      <c r="U7" s="401" t="s">
        <v>289</v>
      </c>
      <c r="V7" s="402"/>
      <c r="W7" s="401"/>
      <c r="X7" s="402"/>
      <c r="Y7" s="403"/>
      <c r="Z7" s="402"/>
      <c r="AA7" s="403"/>
      <c r="AB7" s="100"/>
      <c r="AC7" s="96"/>
    </row>
    <row r="8" spans="1:29">
      <c r="A8" s="98"/>
      <c r="B8" s="401" t="s">
        <v>177</v>
      </c>
      <c r="C8" s="401"/>
      <c r="D8" s="402"/>
      <c r="E8" s="401"/>
      <c r="F8" s="401"/>
      <c r="G8" s="401"/>
      <c r="H8" s="401"/>
      <c r="I8" s="100"/>
      <c r="J8" s="98"/>
      <c r="K8" s="403" t="s">
        <v>178</v>
      </c>
      <c r="L8" s="401"/>
      <c r="M8" s="401"/>
      <c r="N8" s="403"/>
      <c r="O8" s="404"/>
      <c r="P8" s="401"/>
      <c r="Q8" s="403"/>
      <c r="R8" s="401"/>
      <c r="S8" s="100"/>
      <c r="T8" s="98"/>
      <c r="U8" s="401" t="s">
        <v>179</v>
      </c>
      <c r="V8" s="402"/>
      <c r="W8" s="401"/>
      <c r="X8" s="402"/>
      <c r="Y8" s="403"/>
      <c r="Z8" s="402"/>
      <c r="AA8" s="403"/>
      <c r="AB8" s="100"/>
      <c r="AC8" s="96"/>
    </row>
    <row r="9" spans="1:29">
      <c r="A9" s="98" t="s">
        <v>85</v>
      </c>
      <c r="B9" s="404">
        <v>41882</v>
      </c>
      <c r="C9" s="401"/>
      <c r="D9" s="402"/>
      <c r="E9" s="401"/>
      <c r="F9" s="401"/>
      <c r="G9" s="401"/>
      <c r="H9" s="401"/>
      <c r="I9" s="100"/>
      <c r="J9" s="98"/>
      <c r="K9" s="404">
        <v>41882</v>
      </c>
      <c r="L9" s="401"/>
      <c r="M9" s="401"/>
      <c r="N9" s="403"/>
      <c r="O9" s="404"/>
      <c r="P9" s="401"/>
      <c r="Q9" s="403"/>
      <c r="R9" s="401"/>
      <c r="S9" s="100"/>
      <c r="T9" s="98"/>
      <c r="U9" s="509">
        <v>41882</v>
      </c>
      <c r="V9" s="404"/>
      <c r="W9" s="404"/>
      <c r="X9" s="402"/>
      <c r="Y9" s="403"/>
      <c r="Z9" s="402"/>
      <c r="AA9" s="403"/>
      <c r="AB9" s="100"/>
      <c r="AC9" s="96"/>
    </row>
    <row r="10" spans="1:29">
      <c r="A10" s="98"/>
      <c r="B10" s="401"/>
      <c r="C10" s="401"/>
      <c r="D10" s="402"/>
      <c r="E10" s="401"/>
      <c r="F10" s="401"/>
      <c r="G10" s="401"/>
      <c r="H10" s="401"/>
      <c r="I10" s="100"/>
      <c r="J10" s="98"/>
      <c r="K10" s="401"/>
      <c r="L10" s="401"/>
      <c r="M10" s="401"/>
      <c r="N10" s="403"/>
      <c r="O10" s="401"/>
      <c r="P10" s="401"/>
      <c r="Q10" s="403"/>
      <c r="R10" s="401"/>
      <c r="S10" s="100"/>
      <c r="T10" s="98"/>
      <c r="U10" s="401"/>
      <c r="V10" s="401"/>
      <c r="W10" s="401"/>
      <c r="X10" s="402"/>
      <c r="Y10" s="403"/>
      <c r="Z10" s="402"/>
      <c r="AA10" s="403"/>
      <c r="AB10" s="100"/>
      <c r="AC10" s="96"/>
    </row>
    <row r="11" spans="1:29">
      <c r="A11" s="98"/>
      <c r="B11" s="401" t="s">
        <v>290</v>
      </c>
      <c r="C11" s="401"/>
      <c r="D11" s="402"/>
      <c r="E11" s="401"/>
      <c r="F11" s="401"/>
      <c r="G11" s="401"/>
      <c r="H11" s="401"/>
      <c r="I11" s="100"/>
      <c r="J11" s="98"/>
      <c r="K11" s="401" t="s">
        <v>290</v>
      </c>
      <c r="L11" s="401"/>
      <c r="M11" s="401"/>
      <c r="N11" s="403"/>
      <c r="O11" s="401"/>
      <c r="P11" s="401"/>
      <c r="Q11" s="403"/>
      <c r="R11" s="401"/>
      <c r="S11" s="100"/>
      <c r="T11" s="98"/>
      <c r="U11" s="401" t="s">
        <v>290</v>
      </c>
      <c r="V11" s="402"/>
      <c r="W11" s="401"/>
      <c r="X11" s="402"/>
      <c r="Y11" s="403"/>
      <c r="Z11" s="402"/>
      <c r="AA11" s="403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80"/>
      <c r="O12" s="99"/>
      <c r="P12" s="99"/>
      <c r="Q12" s="380"/>
      <c r="R12" s="99"/>
      <c r="S12" s="100"/>
      <c r="T12" s="98"/>
      <c r="U12" s="99"/>
      <c r="V12" s="99"/>
      <c r="W12" s="99"/>
      <c r="X12" s="99"/>
      <c r="Y12" s="380"/>
      <c r="Z12" s="99"/>
      <c r="AA12" s="380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86" t="s">
        <v>85</v>
      </c>
      <c r="O13" s="102" t="s">
        <v>85</v>
      </c>
      <c r="P13" s="102" t="s">
        <v>85</v>
      </c>
      <c r="Q13" s="386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86" t="s">
        <v>85</v>
      </c>
      <c r="Z13" s="104" t="s">
        <v>85</v>
      </c>
      <c r="AA13" s="386" t="s">
        <v>85</v>
      </c>
      <c r="AB13" s="103" t="s">
        <v>85</v>
      </c>
      <c r="AC13" s="96"/>
    </row>
    <row r="14" spans="1:29">
      <c r="A14" s="98"/>
      <c r="B14" s="438"/>
      <c r="C14" s="438"/>
      <c r="D14" s="438"/>
      <c r="E14" s="438"/>
      <c r="F14" s="438"/>
      <c r="G14" s="438"/>
      <c r="H14" s="438"/>
      <c r="I14" s="100"/>
      <c r="J14" s="98"/>
      <c r="K14" s="438"/>
      <c r="L14" s="438"/>
      <c r="M14" s="438"/>
      <c r="N14" s="440" t="s">
        <v>324</v>
      </c>
      <c r="O14" s="438"/>
      <c r="P14" s="438"/>
      <c r="Q14" s="440" t="s">
        <v>315</v>
      </c>
      <c r="R14" s="438"/>
      <c r="S14" s="100"/>
      <c r="T14" s="98"/>
      <c r="U14" s="438"/>
      <c r="V14" s="438"/>
      <c r="W14" s="438"/>
      <c r="X14" s="438"/>
      <c r="Y14" s="439"/>
      <c r="Z14" s="139"/>
      <c r="AA14" s="439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293</v>
      </c>
      <c r="I15" s="100"/>
      <c r="J15" s="98" t="s">
        <v>85</v>
      </c>
      <c r="K15" s="99" t="s">
        <v>85</v>
      </c>
      <c r="L15" s="99"/>
      <c r="M15" s="99"/>
      <c r="N15" s="387" t="s">
        <v>294</v>
      </c>
      <c r="O15" s="105" t="s">
        <v>291</v>
      </c>
      <c r="P15" s="99"/>
      <c r="Q15" s="387" t="s">
        <v>294</v>
      </c>
      <c r="R15" s="105" t="s">
        <v>291</v>
      </c>
      <c r="S15" s="100" t="s">
        <v>85</v>
      </c>
      <c r="T15" s="98"/>
      <c r="U15" s="99"/>
      <c r="V15" s="99"/>
      <c r="W15" s="99"/>
      <c r="Y15" s="387" t="s">
        <v>184</v>
      </c>
      <c r="AA15" s="387" t="s">
        <v>185</v>
      </c>
      <c r="AB15" s="100"/>
      <c r="AC15" s="96"/>
    </row>
    <row r="16" spans="1:29">
      <c r="A16" s="98"/>
      <c r="B16" s="106"/>
      <c r="C16" s="106"/>
      <c r="D16" s="475" t="s">
        <v>341</v>
      </c>
      <c r="E16" s="106" t="s">
        <v>85</v>
      </c>
      <c r="F16" s="476" t="s">
        <v>342</v>
      </c>
      <c r="G16" s="99"/>
      <c r="H16" s="105" t="s">
        <v>292</v>
      </c>
      <c r="I16" s="100"/>
      <c r="J16" s="98"/>
      <c r="K16" s="106"/>
      <c r="L16" s="106"/>
      <c r="M16" s="106"/>
      <c r="N16" s="510" t="s">
        <v>343</v>
      </c>
      <c r="O16" s="107" t="s">
        <v>292</v>
      </c>
      <c r="P16" s="106"/>
      <c r="Q16" s="474" t="s">
        <v>344</v>
      </c>
      <c r="R16" s="107" t="s">
        <v>292</v>
      </c>
      <c r="S16" s="100" t="s">
        <v>85</v>
      </c>
      <c r="T16" s="98"/>
      <c r="U16" s="106"/>
      <c r="V16" s="106"/>
      <c r="W16" s="106"/>
      <c r="Y16" s="382" t="s">
        <v>85</v>
      </c>
      <c r="AA16" s="383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80"/>
      <c r="O17" s="99"/>
      <c r="P17" s="99"/>
      <c r="Q17" s="380"/>
      <c r="R17" s="99"/>
      <c r="S17" s="100"/>
      <c r="T17" s="98"/>
      <c r="U17" s="99"/>
      <c r="V17" s="99"/>
      <c r="W17" s="99"/>
      <c r="Y17" s="380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80"/>
      <c r="O18" s="99"/>
      <c r="P18" s="99"/>
      <c r="Q18" s="380"/>
      <c r="R18" s="99"/>
      <c r="S18" s="100"/>
      <c r="T18" s="98"/>
      <c r="U18" s="99" t="s">
        <v>187</v>
      </c>
      <c r="V18" s="99"/>
      <c r="W18" s="99"/>
      <c r="Y18" s="380"/>
      <c r="AA18" s="380"/>
      <c r="AB18" s="100"/>
      <c r="AC18" s="96"/>
    </row>
    <row r="19" spans="1:29">
      <c r="A19" s="98"/>
      <c r="B19" s="99" t="s">
        <v>188</v>
      </c>
      <c r="C19" s="99"/>
      <c r="D19" s="380">
        <f>12211.96+23133.25-2442.35</f>
        <v>32902.86</v>
      </c>
      <c r="E19" s="380"/>
      <c r="F19" s="380">
        <f>20981857.95+23984.13-50050.57</f>
        <v>20955791.509999998</v>
      </c>
      <c r="G19" s="99" t="s">
        <v>85</v>
      </c>
      <c r="H19" s="113">
        <f>ROUND((+F19+F20)/F61,6)</f>
        <v>0.99134699999999998</v>
      </c>
      <c r="I19" s="100"/>
      <c r="J19" s="98"/>
      <c r="K19" s="99" t="s">
        <v>189</v>
      </c>
      <c r="L19" s="99"/>
      <c r="M19" s="99"/>
      <c r="N19" s="380">
        <f>+F19+F20</f>
        <v>31030691.339999996</v>
      </c>
      <c r="O19" s="113">
        <f>+N19/N61</f>
        <v>0.99134731153825717</v>
      </c>
      <c r="P19" s="99"/>
      <c r="Q19" s="380">
        <f>28154142.04+18446.98-61882.76</f>
        <v>28110706.259999998</v>
      </c>
      <c r="R19" s="113">
        <f>+Q19/Q57</f>
        <v>0.99387384974561155</v>
      </c>
      <c r="S19" s="100" t="s">
        <v>85</v>
      </c>
      <c r="T19" s="98"/>
      <c r="U19" s="99"/>
      <c r="V19" s="99"/>
      <c r="W19" s="99"/>
      <c r="Y19" s="380"/>
      <c r="AA19" s="380"/>
      <c r="AB19" s="100"/>
      <c r="AC19" s="96"/>
    </row>
    <row r="20" spans="1:29">
      <c r="A20" s="98"/>
      <c r="B20" s="99" t="s">
        <v>190</v>
      </c>
      <c r="C20" s="99"/>
      <c r="D20" s="380">
        <f>5871.15+11121.76-1174.21</f>
        <v>15818.7</v>
      </c>
      <c r="E20" s="380"/>
      <c r="F20" s="380">
        <f>10087431.71+11530.83-24062.71</f>
        <v>10074899.83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80" t="s">
        <v>85</v>
      </c>
      <c r="O20" s="114"/>
      <c r="P20" s="99"/>
      <c r="Q20" s="380" t="s">
        <v>85</v>
      </c>
      <c r="R20" s="105" t="s">
        <v>85</v>
      </c>
      <c r="S20" s="100"/>
      <c r="T20" s="98"/>
      <c r="U20" s="99"/>
      <c r="V20" s="99"/>
      <c r="W20" s="99"/>
      <c r="Y20" s="380"/>
      <c r="AA20" s="380"/>
      <c r="AB20" s="100"/>
      <c r="AC20" s="96"/>
    </row>
    <row r="21" spans="1:29">
      <c r="A21" s="98"/>
      <c r="B21" s="99" t="s">
        <v>191</v>
      </c>
      <c r="C21" s="99"/>
      <c r="D21" s="380">
        <v>0</v>
      </c>
      <c r="E21" s="380"/>
      <c r="F21" s="380">
        <v>0</v>
      </c>
      <c r="G21" s="99"/>
      <c r="H21" s="99"/>
      <c r="I21" s="100"/>
      <c r="J21" s="98"/>
      <c r="K21" s="99"/>
      <c r="L21" s="99"/>
      <c r="M21" s="99"/>
      <c r="N21" s="380"/>
      <c r="O21" s="114"/>
      <c r="P21" s="99"/>
      <c r="Q21" s="380"/>
      <c r="R21" s="105"/>
      <c r="S21" s="100"/>
      <c r="T21" s="98"/>
      <c r="U21" s="99"/>
      <c r="V21" s="99"/>
      <c r="W21" s="99"/>
      <c r="Y21" s="380"/>
      <c r="AA21" s="380"/>
      <c r="AB21" s="100"/>
      <c r="AC21" s="96"/>
    </row>
    <row r="22" spans="1:29">
      <c r="A22" s="98"/>
      <c r="B22" s="99" t="s">
        <v>192</v>
      </c>
      <c r="C22" s="99"/>
      <c r="D22" s="380">
        <f>913.93+581.86+858.16+33.36-1.67</f>
        <v>2385.64</v>
      </c>
      <c r="E22" s="380"/>
      <c r="F22" s="380">
        <f>940.69+16511.71+50480.73+1264.52+5123.38-256.19-346.5</f>
        <v>73718.340000000011</v>
      </c>
      <c r="G22" s="99"/>
      <c r="H22" s="99"/>
      <c r="I22" s="100"/>
      <c r="J22" s="98"/>
      <c r="K22" s="99" t="s">
        <v>193</v>
      </c>
      <c r="L22" s="99"/>
      <c r="M22" s="99"/>
      <c r="N22" s="380">
        <f>+F22+F23</f>
        <v>106293.6</v>
      </c>
      <c r="O22" s="114"/>
      <c r="P22" s="99"/>
      <c r="Q22" s="380">
        <f>408.02+27245.49+79461.04+4088.7+3300.75-165.02+21542</f>
        <v>135880.97999999998</v>
      </c>
      <c r="R22" s="105"/>
      <c r="S22" s="100"/>
      <c r="T22" s="98"/>
      <c r="U22" s="115" t="s">
        <v>345</v>
      </c>
      <c r="V22" s="99"/>
      <c r="W22" s="99"/>
      <c r="Y22" s="388">
        <v>311460.1599999998</v>
      </c>
      <c r="Z22" s="116"/>
      <c r="AA22" s="388">
        <v>888794.37000000081</v>
      </c>
      <c r="AB22" s="100"/>
      <c r="AC22" s="96"/>
    </row>
    <row r="23" spans="1:29">
      <c r="A23" s="98"/>
      <c r="B23" s="99" t="s">
        <v>194</v>
      </c>
      <c r="C23" s="99"/>
      <c r="D23" s="380">
        <f>439.38+278.59+410.63</f>
        <v>1128.5999999999999</v>
      </c>
      <c r="E23" s="380"/>
      <c r="F23" s="380">
        <f>452.25+7915.68+24207.33</f>
        <v>32575.260000000002</v>
      </c>
      <c r="G23" s="99"/>
      <c r="H23" s="113"/>
      <c r="I23" s="100"/>
      <c r="J23" s="98"/>
      <c r="K23" s="99"/>
      <c r="L23" s="99"/>
      <c r="M23" s="99"/>
      <c r="N23" s="380" t="s">
        <v>85</v>
      </c>
      <c r="O23" s="114"/>
      <c r="P23" s="99"/>
      <c r="Q23" s="380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80">
        <v>0</v>
      </c>
      <c r="E24" s="380"/>
      <c r="F24" s="380">
        <v>0</v>
      </c>
      <c r="G24" s="99"/>
      <c r="H24" s="113"/>
      <c r="I24" s="100"/>
      <c r="J24" s="98"/>
      <c r="K24" s="99"/>
      <c r="L24" s="99"/>
      <c r="M24" s="99"/>
      <c r="N24" s="380"/>
      <c r="O24" s="114"/>
      <c r="P24" s="99"/>
      <c r="Q24" s="380"/>
      <c r="R24" s="114"/>
      <c r="S24" s="100"/>
      <c r="T24" s="98"/>
      <c r="U24" s="99" t="s">
        <v>198</v>
      </c>
      <c r="V24" s="99"/>
      <c r="W24" s="99"/>
      <c r="Y24" s="380">
        <v>48721.56</v>
      </c>
      <c r="Z24" s="126"/>
      <c r="AA24" s="380">
        <f>444892.89-48721.56</f>
        <v>396171.33</v>
      </c>
      <c r="AB24" s="100"/>
      <c r="AC24" s="96"/>
    </row>
    <row r="25" spans="1:29">
      <c r="A25" s="98"/>
      <c r="B25" s="99" t="s">
        <v>196</v>
      </c>
      <c r="C25" s="99"/>
      <c r="D25" s="380">
        <v>2011.18</v>
      </c>
      <c r="E25" s="380"/>
      <c r="F25" s="380">
        <v>17699.310000000001</v>
      </c>
      <c r="G25" s="99"/>
      <c r="H25" s="113"/>
      <c r="I25" s="100"/>
      <c r="J25" s="98"/>
      <c r="K25" s="99" t="s">
        <v>197</v>
      </c>
      <c r="L25" s="99"/>
      <c r="M25" s="99"/>
      <c r="N25" s="380">
        <f>+F25</f>
        <v>17699.310000000001</v>
      </c>
      <c r="O25" s="114"/>
      <c r="P25" s="99"/>
      <c r="Q25" s="458">
        <v>22724.19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80"/>
      <c r="E26" s="380"/>
      <c r="F26" s="380"/>
      <c r="G26" s="99"/>
      <c r="H26" s="99"/>
      <c r="I26" s="100"/>
      <c r="J26" s="98"/>
      <c r="K26" s="99" t="s">
        <v>85</v>
      </c>
      <c r="L26" s="99"/>
      <c r="M26" s="99"/>
      <c r="N26" s="380" t="s">
        <v>199</v>
      </c>
      <c r="O26" s="114"/>
      <c r="P26" s="99" t="s">
        <v>85</v>
      </c>
      <c r="Q26" s="380" t="s">
        <v>85</v>
      </c>
      <c r="R26" s="105"/>
      <c r="S26" s="100"/>
      <c r="T26" s="98"/>
      <c r="U26" s="99" t="s">
        <v>201</v>
      </c>
      <c r="V26" s="99"/>
      <c r="W26" s="99"/>
      <c r="Y26" s="396">
        <v>8103.82</v>
      </c>
      <c r="Z26" s="97" t="s">
        <v>85</v>
      </c>
      <c r="AA26" s="380">
        <f>59222.5-8103.82</f>
        <v>51118.68</v>
      </c>
      <c r="AB26" s="100"/>
      <c r="AC26" s="96"/>
    </row>
    <row r="27" spans="1:29">
      <c r="A27" s="98"/>
      <c r="B27" s="99" t="s">
        <v>200</v>
      </c>
      <c r="C27" s="99"/>
      <c r="D27" s="381">
        <f>SUM(D19:D26)</f>
        <v>54246.979999999996</v>
      </c>
      <c r="E27" s="380" t="s">
        <v>85</v>
      </c>
      <c r="F27" s="381">
        <f>SUM(F19:F26)</f>
        <v>31154684.249999996</v>
      </c>
      <c r="G27" s="99"/>
      <c r="H27" s="113">
        <f>ROUND(+F27/F61,6)</f>
        <v>0.995309</v>
      </c>
      <c r="I27" s="100"/>
      <c r="J27" s="98"/>
      <c r="K27" s="99" t="s">
        <v>200</v>
      </c>
      <c r="L27" s="99"/>
      <c r="M27" s="99"/>
      <c r="N27" s="381">
        <f>SUM(N19:N26)</f>
        <v>31154684.249999996</v>
      </c>
      <c r="O27" s="113">
        <f>+N27/N61</f>
        <v>0.99530855225414983</v>
      </c>
      <c r="P27" s="99"/>
      <c r="Q27" s="381">
        <f>SUM(Q19:Q26)</f>
        <v>28269311.43</v>
      </c>
      <c r="R27" s="113">
        <f>+Q27/Q57</f>
        <v>0.99948144741460931</v>
      </c>
      <c r="S27" s="100"/>
      <c r="T27" s="98"/>
      <c r="Y27" s="400"/>
      <c r="AA27" s="400"/>
      <c r="AB27" s="117"/>
      <c r="AC27" s="96"/>
    </row>
    <row r="28" spans="1:29">
      <c r="A28" s="98"/>
      <c r="B28" s="99"/>
      <c r="C28" s="99"/>
      <c r="D28" s="380"/>
      <c r="E28" s="380"/>
      <c r="F28" s="380"/>
      <c r="G28" s="99"/>
      <c r="H28" s="113"/>
      <c r="I28" s="100"/>
      <c r="J28" s="98"/>
      <c r="K28" s="99"/>
      <c r="L28" s="99"/>
      <c r="M28" s="99"/>
      <c r="N28" s="380" t="s">
        <v>85</v>
      </c>
      <c r="O28" s="114"/>
      <c r="P28" s="99"/>
      <c r="Q28" s="380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80"/>
      <c r="E29" s="380"/>
      <c r="F29" s="380"/>
      <c r="G29" s="99"/>
      <c r="H29" s="113"/>
      <c r="I29" s="100"/>
      <c r="J29" s="98"/>
      <c r="K29" s="99"/>
      <c r="L29" s="99"/>
      <c r="M29" s="99"/>
      <c r="N29" s="380"/>
      <c r="O29" s="114"/>
      <c r="P29" s="99"/>
      <c r="Q29" s="380"/>
      <c r="R29" s="114"/>
      <c r="S29" s="100"/>
      <c r="T29" s="98"/>
      <c r="U29" s="115" t="s">
        <v>346</v>
      </c>
      <c r="V29" s="99"/>
      <c r="W29" s="99"/>
      <c r="X29" s="97" t="s">
        <v>85</v>
      </c>
      <c r="Y29" s="380">
        <f>+Y22-Y24+Y26</f>
        <v>270842.41999999981</v>
      </c>
      <c r="Z29" s="119"/>
      <c r="AA29" s="380">
        <f>+AA22-AA24+AA26</f>
        <v>543741.72000000079</v>
      </c>
      <c r="AB29" s="117"/>
      <c r="AC29" s="96"/>
    </row>
    <row r="30" spans="1:29" ht="15.75" thickTop="1">
      <c r="A30" s="98"/>
      <c r="B30" s="99" t="s">
        <v>202</v>
      </c>
      <c r="C30" s="99"/>
      <c r="D30" s="382"/>
      <c r="E30" s="380"/>
      <c r="F30" s="380"/>
      <c r="G30" s="99"/>
      <c r="H30" s="99"/>
      <c r="I30" s="100"/>
      <c r="J30" s="98"/>
      <c r="K30" s="99" t="s">
        <v>203</v>
      </c>
      <c r="L30" s="99"/>
      <c r="M30" s="99"/>
      <c r="N30" s="380" t="s">
        <v>85</v>
      </c>
      <c r="O30" s="114"/>
      <c r="P30" s="99"/>
      <c r="Q30" s="380" t="s">
        <v>85</v>
      </c>
      <c r="R30" s="114"/>
      <c r="S30" s="100"/>
      <c r="T30" s="96"/>
      <c r="Y30" s="386"/>
      <c r="AA30" s="386"/>
      <c r="AB30" s="117"/>
      <c r="AC30" s="96"/>
    </row>
    <row r="31" spans="1:29">
      <c r="A31" s="98"/>
      <c r="C31" s="99"/>
      <c r="D31" s="380"/>
      <c r="E31" s="380"/>
      <c r="F31" s="380" t="s">
        <v>85</v>
      </c>
      <c r="G31" s="99"/>
      <c r="H31" s="99"/>
      <c r="I31" s="100"/>
      <c r="J31" s="98"/>
      <c r="K31" s="99"/>
      <c r="L31" s="99"/>
      <c r="M31" s="99"/>
      <c r="N31" s="380"/>
      <c r="O31" s="105"/>
      <c r="P31" s="99"/>
      <c r="Q31" s="380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83">
        <f>1822.94+265975.71</f>
        <v>267798.65000000002</v>
      </c>
      <c r="E32" s="383"/>
      <c r="F32" s="383">
        <f>114354.92+441975.21-19505.02</f>
        <v>536825.11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80">
        <f>+F32+F33</f>
        <v>790820.49</v>
      </c>
      <c r="O32" s="114"/>
      <c r="P32" s="99"/>
      <c r="Q32" s="380">
        <f>214375.94+121202.33-23679.57-291.39</f>
        <v>311607.31</v>
      </c>
      <c r="R32" s="114"/>
      <c r="S32" s="100" t="s">
        <v>85</v>
      </c>
      <c r="T32" s="98"/>
      <c r="U32" s="99"/>
      <c r="V32" s="99"/>
      <c r="W32" s="99"/>
      <c r="Y32" s="380" t="s">
        <v>85</v>
      </c>
      <c r="AA32" s="380" t="s">
        <v>85</v>
      </c>
      <c r="AB32" s="117"/>
      <c r="AC32" s="96"/>
    </row>
    <row r="33" spans="1:29">
      <c r="A33" s="98"/>
      <c r="B33" s="99" t="s">
        <v>204</v>
      </c>
      <c r="C33" s="99"/>
      <c r="D33" s="380">
        <f>844.4+127528.28</f>
        <v>128372.68</v>
      </c>
      <c r="E33" s="380"/>
      <c r="F33" s="380">
        <f>51739.55+211633.19-9377.36</f>
        <v>253995.38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80"/>
      <c r="O33" s="114"/>
      <c r="P33" s="99"/>
      <c r="Q33" s="380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80">
        <v>0</v>
      </c>
      <c r="E34" s="380"/>
      <c r="F34" s="380">
        <v>0</v>
      </c>
      <c r="G34" s="99" t="s">
        <v>85</v>
      </c>
      <c r="H34" s="99"/>
      <c r="I34" s="100"/>
      <c r="J34" s="98"/>
      <c r="K34" s="99"/>
      <c r="L34" s="99"/>
      <c r="M34" s="99"/>
      <c r="N34" s="380"/>
      <c r="O34" s="114"/>
      <c r="P34" s="99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80">
        <f>57573.53+699.21+201.57+10.98</f>
        <v>58485.29</v>
      </c>
      <c r="E35" s="380"/>
      <c r="F35" s="380">
        <f>96588.48+33271.22+11476.66+183.22+85.46+487.69-24.38</f>
        <v>142068.34999999998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80">
        <f>+F35+F36</f>
        <v>206555.72999999998</v>
      </c>
      <c r="O35" s="114"/>
      <c r="P35" s="99"/>
      <c r="Q35" s="380">
        <f>23023.41+38397.76+24418.43+52.36+277.09-13.87</f>
        <v>86155.180000000008</v>
      </c>
      <c r="R35" s="114"/>
      <c r="S35" s="100" t="s">
        <v>85</v>
      </c>
      <c r="T35" s="98"/>
      <c r="U35" s="99" t="s">
        <v>85</v>
      </c>
      <c r="V35" s="99"/>
      <c r="W35" s="99"/>
      <c r="Y35" s="380"/>
      <c r="Z35" s="120" t="s">
        <v>85</v>
      </c>
      <c r="AA35" s="397"/>
      <c r="AB35" s="117"/>
      <c r="AC35" s="96"/>
    </row>
    <row r="36" spans="1:29">
      <c r="A36" s="98"/>
      <c r="B36" s="99" t="s">
        <v>194</v>
      </c>
      <c r="C36" s="99"/>
      <c r="D36" s="380">
        <f>27558.42+298.2+93.06</f>
        <v>27949.68</v>
      </c>
      <c r="E36" s="380"/>
      <c r="F36" s="380">
        <f>46139.42+13253.92+5094.04</f>
        <v>64487.38</v>
      </c>
      <c r="G36" s="99"/>
      <c r="H36" s="113"/>
      <c r="I36" s="100"/>
      <c r="J36" s="98"/>
      <c r="K36" s="99"/>
      <c r="L36" s="99"/>
      <c r="M36" s="99"/>
      <c r="N36" s="380" t="s">
        <v>85</v>
      </c>
      <c r="O36" s="114"/>
      <c r="P36" s="99"/>
      <c r="Q36" s="380" t="s">
        <v>85</v>
      </c>
      <c r="R36" s="114"/>
      <c r="S36" s="100"/>
      <c r="T36" s="98"/>
      <c r="U36" s="122" t="s">
        <v>85</v>
      </c>
      <c r="V36" s="99"/>
      <c r="W36" s="99"/>
      <c r="Y36" s="380"/>
      <c r="Z36" s="120"/>
      <c r="AA36" s="397"/>
      <c r="AB36" s="117"/>
      <c r="AC36" s="96"/>
    </row>
    <row r="37" spans="1:29">
      <c r="A37" s="98"/>
      <c r="B37" s="99" t="s">
        <v>195</v>
      </c>
      <c r="C37" s="99"/>
      <c r="D37" s="380">
        <v>0</v>
      </c>
      <c r="E37" s="380"/>
      <c r="F37" s="380">
        <v>0</v>
      </c>
      <c r="G37" s="99"/>
      <c r="H37" s="113"/>
      <c r="I37" s="100"/>
      <c r="J37" s="98"/>
      <c r="K37" s="99"/>
      <c r="L37" s="99"/>
      <c r="M37" s="99"/>
      <c r="N37" s="380"/>
      <c r="O37" s="114"/>
      <c r="P37" s="99"/>
      <c r="Q37" s="380"/>
      <c r="R37" s="114"/>
      <c r="S37" s="100"/>
      <c r="T37" s="98"/>
      <c r="U37" s="122"/>
      <c r="V37" s="99"/>
      <c r="W37" s="99"/>
      <c r="Y37" s="397"/>
      <c r="Z37" s="120"/>
      <c r="AA37" s="397"/>
      <c r="AB37" s="123"/>
      <c r="AC37" s="96"/>
    </row>
    <row r="38" spans="1:29">
      <c r="A38" s="98"/>
      <c r="B38" s="99" t="s">
        <v>196</v>
      </c>
      <c r="C38" s="99"/>
      <c r="D38" s="380">
        <v>789.24</v>
      </c>
      <c r="E38" s="380"/>
      <c r="F38" s="380">
        <v>36939.86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80">
        <f>+F38</f>
        <v>36939.86</v>
      </c>
      <c r="O38" s="114"/>
      <c r="P38" s="99"/>
      <c r="Q38" s="380">
        <v>53169.83</v>
      </c>
      <c r="R38" s="114"/>
      <c r="S38" s="100" t="s">
        <v>85</v>
      </c>
      <c r="T38" s="98"/>
      <c r="U38" s="122"/>
      <c r="V38" s="99"/>
      <c r="W38" s="99"/>
      <c r="Y38" s="380"/>
      <c r="AA38" s="380" t="s">
        <v>85</v>
      </c>
      <c r="AB38" s="100"/>
      <c r="AC38" s="96"/>
    </row>
    <row r="39" spans="1:29">
      <c r="A39" s="98"/>
      <c r="B39" s="99" t="s">
        <v>205</v>
      </c>
      <c r="C39" s="99"/>
      <c r="D39" s="380">
        <v>0</v>
      </c>
      <c r="E39" s="380"/>
      <c r="F39" s="380">
        <v>0</v>
      </c>
      <c r="G39" s="99"/>
      <c r="H39" s="113"/>
      <c r="I39" s="100"/>
      <c r="J39" s="98"/>
      <c r="K39" s="99" t="s">
        <v>85</v>
      </c>
      <c r="L39" s="99"/>
      <c r="M39" s="99"/>
      <c r="N39" s="380"/>
      <c r="O39" s="114"/>
      <c r="P39" s="99"/>
      <c r="Q39" s="380" t="s">
        <v>85</v>
      </c>
      <c r="R39" s="114"/>
      <c r="S39" s="100"/>
      <c r="T39" s="98"/>
      <c r="U39" s="99"/>
      <c r="V39" s="99"/>
      <c r="W39" s="99"/>
      <c r="Y39" s="380"/>
      <c r="AA39" s="380" t="s">
        <v>85</v>
      </c>
      <c r="AB39" s="117"/>
      <c r="AC39" s="96"/>
    </row>
    <row r="40" spans="1:29">
      <c r="A40" s="98"/>
      <c r="B40" s="99"/>
      <c r="C40" s="99"/>
      <c r="D40" s="380"/>
      <c r="E40" s="380"/>
      <c r="F40" s="380"/>
      <c r="G40" s="99"/>
      <c r="H40" s="113"/>
      <c r="I40" s="100"/>
      <c r="J40" s="98"/>
      <c r="O40" s="393"/>
      <c r="S40" s="100"/>
      <c r="T40" s="98"/>
      <c r="U40" s="122"/>
      <c r="V40" s="99"/>
      <c r="W40" s="99"/>
      <c r="Y40" s="380"/>
      <c r="AA40" s="398" t="s">
        <v>85</v>
      </c>
      <c r="AB40" s="117"/>
      <c r="AC40" s="96"/>
    </row>
    <row r="41" spans="1:29">
      <c r="A41" s="98"/>
      <c r="B41" s="99" t="s">
        <v>200</v>
      </c>
      <c r="C41" s="99"/>
      <c r="D41" s="381">
        <f>SUM(D32:D40)</f>
        <v>483395.54</v>
      </c>
      <c r="E41" s="380"/>
      <c r="F41" s="381">
        <f>SUM(F32:F40)</f>
        <v>1034316.08</v>
      </c>
      <c r="G41" s="99"/>
      <c r="H41" s="391"/>
      <c r="I41" s="100"/>
      <c r="J41" s="98"/>
      <c r="K41" s="97" t="s">
        <v>200</v>
      </c>
      <c r="N41" s="384">
        <f>SUM(N32:N40)</f>
        <v>1034316.08</v>
      </c>
      <c r="O41" s="391"/>
      <c r="Q41" s="384">
        <f>SUM(Q32:Q40)</f>
        <v>450932.32</v>
      </c>
      <c r="R41" s="124"/>
      <c r="S41" s="100"/>
      <c r="T41" s="98"/>
      <c r="U41" s="99" t="s">
        <v>347</v>
      </c>
      <c r="V41" s="122"/>
      <c r="W41" s="99"/>
      <c r="AA41" s="398"/>
      <c r="AB41" s="117"/>
      <c r="AC41" s="96"/>
    </row>
    <row r="42" spans="1:29">
      <c r="A42" s="98"/>
      <c r="B42" s="99"/>
      <c r="C42" s="99"/>
      <c r="D42" s="380"/>
      <c r="E42" s="380"/>
      <c r="F42" s="382"/>
      <c r="G42" s="99"/>
      <c r="H42" s="113"/>
      <c r="I42" s="100"/>
      <c r="J42" s="98"/>
      <c r="K42" s="99"/>
      <c r="L42" s="99"/>
      <c r="M42" s="99"/>
      <c r="N42" s="380"/>
      <c r="O42" s="394"/>
      <c r="P42" s="99"/>
      <c r="Q42" s="380" t="s">
        <v>85</v>
      </c>
      <c r="R42" s="105"/>
      <c r="S42" s="100"/>
      <c r="T42" s="98"/>
      <c r="U42" s="99"/>
      <c r="V42" s="99"/>
      <c r="W42" s="99"/>
      <c r="Y42" s="380"/>
      <c r="AA42" s="380"/>
      <c r="AB42" s="125"/>
      <c r="AC42" s="96"/>
    </row>
    <row r="43" spans="1:29">
      <c r="A43" s="98"/>
      <c r="B43" s="99"/>
      <c r="C43" s="99"/>
      <c r="D43" s="380"/>
      <c r="E43" s="380"/>
      <c r="F43" s="380"/>
      <c r="G43" s="99"/>
      <c r="H43" s="113"/>
      <c r="I43" s="100"/>
      <c r="J43" s="98"/>
      <c r="K43" s="99"/>
      <c r="L43" s="99"/>
      <c r="M43" s="99"/>
      <c r="N43" s="382"/>
      <c r="O43" s="395"/>
      <c r="P43" s="99"/>
      <c r="Q43" s="382"/>
      <c r="R43" s="114"/>
      <c r="S43" s="100"/>
      <c r="T43" s="98"/>
      <c r="U43" s="99"/>
      <c r="V43" s="99"/>
      <c r="W43" s="99"/>
      <c r="Y43" s="380"/>
      <c r="AA43" s="380"/>
      <c r="AB43" s="117"/>
      <c r="AC43" s="96"/>
    </row>
    <row r="44" spans="1:29">
      <c r="A44" s="98"/>
      <c r="D44" s="383" t="s">
        <v>85</v>
      </c>
      <c r="E44" s="383"/>
      <c r="F44" s="383"/>
      <c r="I44" s="100"/>
      <c r="J44" s="98"/>
      <c r="K44" s="99" t="s">
        <v>206</v>
      </c>
      <c r="L44" s="99"/>
      <c r="M44" s="99"/>
      <c r="N44" s="380"/>
      <c r="O44" s="395"/>
      <c r="P44" s="99"/>
      <c r="Q44" s="380" t="s">
        <v>85</v>
      </c>
      <c r="R44" s="114"/>
      <c r="S44" s="100"/>
      <c r="T44" s="98"/>
      <c r="U44" s="99" t="s">
        <v>333</v>
      </c>
      <c r="V44" s="99"/>
      <c r="W44" s="99"/>
      <c r="Y44" s="388">
        <f>+F59</f>
        <v>30953642.780000001</v>
      </c>
      <c r="Z44" s="116"/>
      <c r="AA44" s="388">
        <f>31494625.75-30953642.78</f>
        <v>540982.96999999881</v>
      </c>
      <c r="AB44" s="117"/>
      <c r="AC44" s="96"/>
    </row>
    <row r="45" spans="1:29">
      <c r="A45" s="98"/>
      <c r="B45" s="99" t="s">
        <v>206</v>
      </c>
      <c r="C45" s="99"/>
      <c r="D45" s="380"/>
      <c r="E45" s="380"/>
      <c r="F45" s="380"/>
      <c r="G45" s="99"/>
      <c r="H45" s="113"/>
      <c r="I45" s="100"/>
      <c r="J45" s="98"/>
      <c r="K45" s="99" t="s">
        <v>85</v>
      </c>
      <c r="L45" s="99"/>
      <c r="M45" s="99"/>
      <c r="N45" s="380" t="s">
        <v>85</v>
      </c>
      <c r="O45" s="395"/>
      <c r="P45" s="99"/>
      <c r="Q45" s="380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80"/>
      <c r="E46" s="380"/>
      <c r="F46" s="380"/>
      <c r="G46" s="99"/>
      <c r="H46" s="99"/>
      <c r="I46" s="100"/>
      <c r="J46" s="98"/>
      <c r="K46" s="99" t="s">
        <v>189</v>
      </c>
      <c r="L46" s="99"/>
      <c r="M46" s="99"/>
      <c r="N46" s="380">
        <f>+N19+N32</f>
        <v>31821511.829999994</v>
      </c>
      <c r="O46" s="394"/>
      <c r="P46" s="99"/>
      <c r="Q46" s="380">
        <f>+Q19+Q32</f>
        <v>28422313.569999997</v>
      </c>
      <c r="R46" s="105"/>
      <c r="S46" s="100"/>
      <c r="T46" s="98"/>
      <c r="U46" s="99" t="s">
        <v>198</v>
      </c>
      <c r="V46" s="99"/>
      <c r="W46" s="99"/>
      <c r="Y46" s="380">
        <v>31030691.34</v>
      </c>
      <c r="Z46" s="126"/>
      <c r="AA46" s="380">
        <f>31821511.83-31030691.34</f>
        <v>790820.48999999836</v>
      </c>
      <c r="AB46" s="100"/>
      <c r="AC46" s="96"/>
    </row>
    <row r="47" spans="1:29">
      <c r="A47" s="98"/>
      <c r="B47" s="99" t="s">
        <v>188</v>
      </c>
      <c r="C47" s="99"/>
      <c r="D47" s="380">
        <f>+D19+D32</f>
        <v>300701.51</v>
      </c>
      <c r="E47" s="380"/>
      <c r="F47" s="380">
        <f>+F19+F32</f>
        <v>21492616.619999997</v>
      </c>
      <c r="G47" s="99"/>
      <c r="H47" s="113"/>
      <c r="I47" s="100"/>
      <c r="J47" s="98"/>
      <c r="K47" s="99" t="s">
        <v>85</v>
      </c>
      <c r="L47" s="99"/>
      <c r="M47" s="99"/>
      <c r="N47" s="380" t="s">
        <v>85</v>
      </c>
      <c r="O47" s="395"/>
      <c r="P47" s="99"/>
      <c r="Q47" s="380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80">
        <f>+D20+D33</f>
        <v>144191.38</v>
      </c>
      <c r="E48" s="380"/>
      <c r="F48" s="380">
        <f>+F20+F33</f>
        <v>10328895.210000001</v>
      </c>
      <c r="G48" s="99"/>
      <c r="H48" s="113"/>
      <c r="I48" s="100"/>
      <c r="J48" s="98"/>
      <c r="K48" s="99" t="s">
        <v>193</v>
      </c>
      <c r="L48" s="99"/>
      <c r="M48" s="99"/>
      <c r="N48" s="380">
        <f>+N22+N35</f>
        <v>312849.32999999996</v>
      </c>
      <c r="O48" s="395"/>
      <c r="P48" s="99"/>
      <c r="Q48" s="380">
        <f>+Q22+Q35</f>
        <v>222036.15999999997</v>
      </c>
      <c r="R48" s="114"/>
      <c r="S48" s="100"/>
      <c r="T48" s="98"/>
      <c r="U48" s="99" t="s">
        <v>207</v>
      </c>
      <c r="V48" s="99"/>
      <c r="W48" s="99"/>
      <c r="Y48" s="396">
        <v>347890.98</v>
      </c>
      <c r="Z48" s="97" t="s">
        <v>85</v>
      </c>
      <c r="AA48" s="380">
        <f>1141470.22-347890.98</f>
        <v>793579.24</v>
      </c>
      <c r="AB48" s="117"/>
      <c r="AC48" s="96"/>
    </row>
    <row r="49" spans="1:29">
      <c r="A49" s="98"/>
      <c r="B49" s="99" t="s">
        <v>191</v>
      </c>
      <c r="C49" s="99"/>
      <c r="D49" s="380">
        <f>+D21+D34</f>
        <v>0</v>
      </c>
      <c r="E49" s="380"/>
      <c r="F49" s="380">
        <f>+F21+F34</f>
        <v>0</v>
      </c>
      <c r="G49" s="99"/>
      <c r="H49" s="113"/>
      <c r="I49" s="100"/>
      <c r="J49" s="98"/>
      <c r="K49" s="99"/>
      <c r="L49" s="99"/>
      <c r="M49" s="99"/>
      <c r="N49" s="380"/>
      <c r="O49" s="395"/>
      <c r="P49" s="99"/>
      <c r="Q49" s="380"/>
      <c r="R49" s="114"/>
      <c r="S49" s="100"/>
      <c r="T49" s="98"/>
      <c r="U49" s="99"/>
      <c r="V49" s="99"/>
      <c r="W49" s="99"/>
      <c r="Y49" s="399"/>
      <c r="Z49" s="126"/>
      <c r="AA49" s="399"/>
      <c r="AB49" s="117"/>
      <c r="AC49" s="96"/>
    </row>
    <row r="50" spans="1:29">
      <c r="A50" s="98"/>
      <c r="B50" s="99" t="s">
        <v>192</v>
      </c>
      <c r="C50" s="99"/>
      <c r="D50" s="380">
        <f>+D22+D35</f>
        <v>60870.93</v>
      </c>
      <c r="E50" s="380"/>
      <c r="F50" s="380">
        <f>+F22+F35</f>
        <v>215786.69</v>
      </c>
      <c r="G50" s="99"/>
      <c r="H50" s="113"/>
      <c r="I50" s="100"/>
      <c r="J50" s="98"/>
      <c r="K50" s="99"/>
      <c r="L50" s="99"/>
      <c r="M50" s="99"/>
      <c r="N50" s="380" t="s">
        <v>85</v>
      </c>
      <c r="O50" s="395"/>
      <c r="P50" s="99"/>
      <c r="Q50" s="380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80">
        <f>+D23+D36</f>
        <v>29078.28</v>
      </c>
      <c r="E51" s="380"/>
      <c r="F51" s="380">
        <f>+F23+F36</f>
        <v>97062.64</v>
      </c>
      <c r="G51" s="99"/>
      <c r="H51" s="113"/>
      <c r="I51" s="100"/>
      <c r="J51" s="98"/>
      <c r="K51" s="99" t="s">
        <v>197</v>
      </c>
      <c r="L51" s="99"/>
      <c r="M51" s="99"/>
      <c r="N51" s="380">
        <f>+N25+N38</f>
        <v>54639.17</v>
      </c>
      <c r="O51" s="395"/>
      <c r="P51" s="99"/>
      <c r="Q51" s="380">
        <f>+Q25+Q38</f>
        <v>75894.02</v>
      </c>
      <c r="R51" s="114"/>
      <c r="S51" s="100"/>
      <c r="T51" s="98"/>
      <c r="U51" s="99" t="s">
        <v>348</v>
      </c>
      <c r="V51" s="99"/>
      <c r="W51" s="99"/>
      <c r="X51" s="97" t="s">
        <v>85</v>
      </c>
      <c r="Y51" s="380">
        <f>+Y44-Y46+Y48</f>
        <v>270842.42000000132</v>
      </c>
      <c r="Z51" s="119"/>
      <c r="AA51" s="380">
        <f>+AA44-AA46+AA48</f>
        <v>543741.72000000044</v>
      </c>
      <c r="AB51" s="117"/>
      <c r="AC51" s="96"/>
    </row>
    <row r="52" spans="1:29" ht="15.75" thickTop="1">
      <c r="A52" s="98"/>
      <c r="B52" s="99" t="s">
        <v>196</v>
      </c>
      <c r="C52" s="99"/>
      <c r="D52" s="380">
        <f>+D25+D38</f>
        <v>2800.42</v>
      </c>
      <c r="E52" s="380"/>
      <c r="F52" s="380">
        <f>+F25+F38</f>
        <v>54639.17</v>
      </c>
      <c r="G52" s="99"/>
      <c r="H52" s="99"/>
      <c r="I52" s="100"/>
      <c r="J52" s="98"/>
      <c r="K52" s="99" t="s">
        <v>208</v>
      </c>
      <c r="L52" s="99"/>
      <c r="M52" s="99"/>
      <c r="N52" s="380">
        <v>0</v>
      </c>
      <c r="O52" s="395"/>
      <c r="P52" s="99"/>
      <c r="Q52" s="380">
        <v>0</v>
      </c>
      <c r="R52" s="114"/>
      <c r="S52" s="100"/>
      <c r="T52" s="98"/>
      <c r="U52" s="99"/>
      <c r="V52" s="99"/>
      <c r="W52" s="112"/>
      <c r="X52" s="99"/>
      <c r="Y52" s="386" t="s">
        <v>85</v>
      </c>
      <c r="Z52" s="99"/>
      <c r="AA52" s="386" t="s">
        <v>85</v>
      </c>
      <c r="AB52" s="117"/>
      <c r="AC52" s="96"/>
    </row>
    <row r="53" spans="1:29">
      <c r="A53" s="98"/>
      <c r="B53" s="99" t="s">
        <v>205</v>
      </c>
      <c r="C53" s="99"/>
      <c r="D53" s="380">
        <f>+D39</f>
        <v>0</v>
      </c>
      <c r="E53" s="380"/>
      <c r="F53" s="380">
        <f>+F39</f>
        <v>0</v>
      </c>
      <c r="G53" s="99"/>
      <c r="H53" s="99"/>
      <c r="I53" s="100"/>
      <c r="J53" s="98"/>
      <c r="K53" s="99"/>
      <c r="L53" s="99"/>
      <c r="M53" s="99"/>
      <c r="N53" s="380" t="s">
        <v>85</v>
      </c>
      <c r="O53" s="395"/>
      <c r="P53" s="99"/>
      <c r="Q53" s="380" t="s">
        <v>85</v>
      </c>
      <c r="R53" s="114"/>
      <c r="S53" s="100"/>
      <c r="T53" s="98"/>
      <c r="U53" s="99"/>
      <c r="V53" s="99"/>
      <c r="W53" s="112"/>
      <c r="X53" s="99"/>
      <c r="Y53" s="396"/>
      <c r="Z53" s="121"/>
      <c r="AA53" s="488"/>
      <c r="AB53" s="117"/>
      <c r="AC53" s="96"/>
    </row>
    <row r="54" spans="1:29" ht="15.75" thickBot="1">
      <c r="A54" s="98"/>
      <c r="B54" s="99"/>
      <c r="C54" s="99"/>
      <c r="D54" s="380" t="s">
        <v>85</v>
      </c>
      <c r="E54" s="380"/>
      <c r="F54" s="380" t="s">
        <v>85</v>
      </c>
      <c r="G54" s="99"/>
      <c r="H54" s="113"/>
      <c r="I54" s="100"/>
      <c r="J54" s="98"/>
      <c r="K54" s="99" t="s">
        <v>209</v>
      </c>
      <c r="L54" s="99"/>
      <c r="M54" s="99"/>
      <c r="N54" s="381">
        <f>+N27+N41</f>
        <v>32189000.329999994</v>
      </c>
      <c r="O54" s="391"/>
      <c r="P54" s="99"/>
      <c r="Q54" s="381">
        <f>+Q27+Q41</f>
        <v>28720243.75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84">
        <f>SUM(D47:D54)</f>
        <v>537642.52</v>
      </c>
      <c r="E55" s="383"/>
      <c r="F55" s="384">
        <f>SUM(F47:F54)</f>
        <v>32189000.330000002</v>
      </c>
      <c r="H55" s="392"/>
      <c r="I55" s="100"/>
      <c r="J55" s="98"/>
      <c r="K55" s="99"/>
      <c r="L55" s="99"/>
      <c r="M55" s="99"/>
      <c r="N55" s="386"/>
      <c r="O55" s="394"/>
      <c r="P55" s="99"/>
      <c r="Q55" s="386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82"/>
      <c r="O56" s="395"/>
      <c r="P56" s="99"/>
      <c r="Q56" s="382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325</v>
      </c>
      <c r="L57" s="99"/>
      <c r="M57" s="99"/>
      <c r="N57" s="380"/>
      <c r="O57" s="395"/>
      <c r="P57" s="99"/>
      <c r="Q57" s="388">
        <v>28283978.16</v>
      </c>
      <c r="R57" s="113"/>
      <c r="S57" s="100"/>
      <c r="T57" s="98"/>
      <c r="U57" s="99"/>
      <c r="V57" s="99"/>
      <c r="W57" s="99"/>
      <c r="Y57" s="380" t="s">
        <v>85</v>
      </c>
      <c r="AA57" s="380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82"/>
      <c r="O58" s="395"/>
      <c r="P58" s="99"/>
      <c r="Q58" s="386"/>
      <c r="R58" s="113"/>
      <c r="S58" s="100"/>
      <c r="T58" s="98"/>
      <c r="AB58" s="117"/>
      <c r="AC58" s="96"/>
    </row>
    <row r="59" spans="1:29" ht="15.75" thickBot="1">
      <c r="A59" s="98"/>
      <c r="B59" s="99" t="s">
        <v>322</v>
      </c>
      <c r="C59" s="99"/>
      <c r="D59" s="112"/>
      <c r="E59" s="99"/>
      <c r="F59" s="469">
        <v>30953642.780000001</v>
      </c>
      <c r="G59" s="99"/>
      <c r="H59" s="99"/>
      <c r="I59" s="100"/>
      <c r="J59" s="98"/>
      <c r="K59" s="99" t="s">
        <v>322</v>
      </c>
      <c r="L59" s="99"/>
      <c r="M59" s="99"/>
      <c r="N59" s="388">
        <f>+F59</f>
        <v>30953642.780000001</v>
      </c>
      <c r="O59" s="113"/>
      <c r="P59" s="99"/>
      <c r="Q59" s="382" t="s">
        <v>85</v>
      </c>
      <c r="R59" s="113"/>
      <c r="S59" s="100"/>
      <c r="T59" s="110"/>
      <c r="U59" s="99" t="s">
        <v>85</v>
      </c>
      <c r="V59" s="99"/>
      <c r="W59" s="112"/>
      <c r="X59" s="99"/>
      <c r="Y59" s="380"/>
      <c r="Z59" s="112"/>
      <c r="AA59" s="380"/>
      <c r="AB59" s="117"/>
      <c r="AC59" s="96"/>
    </row>
    <row r="60" spans="1:29" ht="15.75" thickTop="1">
      <c r="A60" s="98" t="s">
        <v>85</v>
      </c>
      <c r="F60" s="470"/>
      <c r="G60" s="99"/>
      <c r="H60" s="128"/>
      <c r="I60" s="100"/>
      <c r="J60" s="98"/>
      <c r="K60" s="99"/>
      <c r="L60" s="99"/>
      <c r="M60" s="99"/>
      <c r="N60" s="386"/>
      <c r="O60" s="99"/>
      <c r="P60" s="99"/>
      <c r="Q60" s="380"/>
      <c r="R60" s="99"/>
      <c r="S60" s="100"/>
      <c r="T60" s="98"/>
      <c r="U60" s="99"/>
      <c r="V60" s="99"/>
      <c r="W60" s="99"/>
      <c r="X60" s="99"/>
      <c r="Y60" s="380"/>
      <c r="Z60" s="112"/>
      <c r="AA60" s="380"/>
      <c r="AB60" s="100"/>
      <c r="AC60" s="96"/>
    </row>
    <row r="61" spans="1:29" ht="15.75" thickBot="1">
      <c r="A61" s="96"/>
      <c r="B61" s="97" t="s">
        <v>323</v>
      </c>
      <c r="C61" s="99"/>
      <c r="D61" s="112"/>
      <c r="E61" s="99"/>
      <c r="F61" s="471">
        <v>31301533.760000002</v>
      </c>
      <c r="G61" s="99"/>
      <c r="H61" s="99"/>
      <c r="I61" s="100"/>
      <c r="J61" s="98" t="s">
        <v>85</v>
      </c>
      <c r="K61" s="97" t="s">
        <v>323</v>
      </c>
      <c r="L61" s="99"/>
      <c r="M61" s="112"/>
      <c r="N61" s="473">
        <f>+F61</f>
        <v>31301533.760000002</v>
      </c>
      <c r="P61" s="99"/>
      <c r="Q61" s="380"/>
      <c r="R61" s="99"/>
      <c r="S61" s="100"/>
      <c r="T61" s="98"/>
      <c r="U61" s="99"/>
      <c r="V61" s="99"/>
      <c r="W61" s="99"/>
      <c r="X61" s="99"/>
      <c r="Y61" s="380"/>
      <c r="Z61" s="112"/>
      <c r="AA61" s="380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80"/>
      <c r="O62" s="113"/>
      <c r="P62" s="99"/>
      <c r="Q62" s="380"/>
      <c r="R62" s="99"/>
      <c r="S62" s="100"/>
      <c r="T62" s="98"/>
      <c r="U62" s="99"/>
      <c r="V62" s="99"/>
      <c r="W62" s="99"/>
      <c r="X62" s="99"/>
      <c r="Y62" s="380"/>
      <c r="Z62" s="112"/>
      <c r="AA62" s="380"/>
      <c r="AB62" s="100"/>
      <c r="AC62" s="96"/>
    </row>
    <row r="63" spans="1:29" ht="15.75">
      <c r="A63" s="96"/>
      <c r="B63" s="99"/>
      <c r="G63" s="99"/>
      <c r="H63" s="113"/>
      <c r="I63" s="100"/>
      <c r="J63" s="129" t="s">
        <v>85</v>
      </c>
      <c r="K63" s="99" t="s">
        <v>85</v>
      </c>
      <c r="L63" s="99"/>
      <c r="M63" s="99"/>
      <c r="N63" s="382"/>
      <c r="O63" s="113"/>
      <c r="P63" s="99"/>
      <c r="Q63" s="380"/>
      <c r="R63" s="99"/>
      <c r="S63" s="100"/>
      <c r="T63" s="98"/>
      <c r="U63" s="99"/>
      <c r="V63" s="99"/>
      <c r="W63" s="112"/>
      <c r="X63" s="99"/>
      <c r="Y63" s="380"/>
      <c r="Z63" s="112"/>
      <c r="AA63" s="380"/>
      <c r="AB63" s="117"/>
      <c r="AC63" s="96"/>
    </row>
    <row r="64" spans="1:29">
      <c r="A64" s="96"/>
      <c r="B64" s="99"/>
      <c r="F64" s="383"/>
      <c r="G64" s="99"/>
      <c r="H64" s="99"/>
      <c r="I64" s="100"/>
      <c r="J64" s="130" t="s">
        <v>85</v>
      </c>
      <c r="K64" s="99" t="s">
        <v>85</v>
      </c>
      <c r="P64" s="99"/>
      <c r="Q64" s="380"/>
      <c r="R64" s="113"/>
      <c r="S64" s="100"/>
      <c r="T64" s="98"/>
      <c r="U64" s="99"/>
      <c r="V64" s="99"/>
      <c r="W64" s="112"/>
      <c r="X64" s="99"/>
      <c r="Y64" s="380"/>
      <c r="Z64" s="112"/>
      <c r="AA64" s="380" t="s">
        <v>85</v>
      </c>
      <c r="AB64" s="117"/>
      <c r="AC64" s="96"/>
    </row>
    <row r="65" spans="1:29">
      <c r="A65" s="96"/>
      <c r="E65" s="99"/>
      <c r="F65" s="397"/>
      <c r="G65" s="99"/>
      <c r="H65" s="99"/>
      <c r="I65" s="100"/>
      <c r="J65" s="130" t="s">
        <v>85</v>
      </c>
      <c r="K65" s="97" t="s">
        <v>85</v>
      </c>
      <c r="L65" s="99"/>
      <c r="M65" s="99"/>
      <c r="N65" s="380"/>
      <c r="O65" s="99"/>
      <c r="P65" s="99"/>
      <c r="Q65" s="380"/>
      <c r="R65" s="99"/>
      <c r="S65" s="100"/>
      <c r="T65" s="98"/>
      <c r="U65" s="99"/>
      <c r="V65" s="99"/>
      <c r="W65" s="99"/>
      <c r="X65" s="99"/>
      <c r="Y65" s="380"/>
      <c r="Z65" s="112"/>
      <c r="AA65" s="380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89"/>
      <c r="O66" s="135"/>
      <c r="P66" s="133"/>
      <c r="Q66" s="389"/>
      <c r="R66" s="135"/>
      <c r="S66" s="136"/>
      <c r="T66" s="137"/>
      <c r="U66" s="133"/>
      <c r="V66" s="133"/>
      <c r="W66" s="134"/>
      <c r="X66" s="133"/>
      <c r="Y66" s="389"/>
      <c r="Z66" s="134"/>
      <c r="AA66" s="389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90"/>
      <c r="O67" s="140"/>
      <c r="P67" s="140"/>
      <c r="Q67" s="390"/>
      <c r="R67" s="140"/>
      <c r="S67" s="140"/>
      <c r="T67" s="140"/>
      <c r="U67" s="140"/>
      <c r="V67" s="140"/>
      <c r="W67" s="140"/>
      <c r="X67" s="140"/>
      <c r="Y67" s="390"/>
      <c r="Z67" s="140"/>
      <c r="AA67" s="390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31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12"/>
  <sheetViews>
    <sheetView workbookViewId="0">
      <selection activeCell="E20" sqref="E20"/>
    </sheetView>
  </sheetViews>
  <sheetFormatPr defaultRowHeight="12.75"/>
  <cols>
    <col min="2" max="2" width="9.7109375" bestFit="1" customWidth="1"/>
    <col min="3" max="3" width="29" customWidth="1"/>
    <col min="4" max="4" width="14.28515625" customWidth="1"/>
    <col min="5" max="5" width="28.5703125" customWidth="1"/>
    <col min="6" max="6" width="22" customWidth="1"/>
    <col min="7" max="7" width="12.5703125" bestFit="1" customWidth="1"/>
  </cols>
  <sheetData>
    <row r="3" spans="1:7" ht="15">
      <c r="A3" s="695" t="s">
        <v>290</v>
      </c>
      <c r="B3" s="695"/>
      <c r="C3" s="695"/>
      <c r="D3" s="695"/>
      <c r="E3" s="543"/>
      <c r="F3" s="543"/>
      <c r="G3" s="543"/>
    </row>
    <row r="4" spans="1:7" ht="15">
      <c r="A4" s="695" t="s">
        <v>390</v>
      </c>
      <c r="B4" s="695"/>
      <c r="C4" s="695"/>
      <c r="D4" s="695"/>
      <c r="E4" s="543"/>
      <c r="F4" s="543"/>
      <c r="G4" s="543"/>
    </row>
    <row r="5" spans="1:7" ht="15">
      <c r="A5" s="696" t="s">
        <v>391</v>
      </c>
      <c r="B5" s="695"/>
      <c r="C5" s="695"/>
      <c r="D5" s="695"/>
      <c r="E5" s="543"/>
      <c r="F5" s="543"/>
      <c r="G5" s="543"/>
    </row>
    <row r="7" spans="1:7" ht="15">
      <c r="A7" s="544" t="s">
        <v>392</v>
      </c>
      <c r="B7" s="544" t="s">
        <v>393</v>
      </c>
      <c r="C7" s="545" t="s">
        <v>394</v>
      </c>
      <c r="D7" s="544" t="s">
        <v>395</v>
      </c>
      <c r="E7" s="545" t="s">
        <v>396</v>
      </c>
      <c r="F7" s="544" t="s">
        <v>397</v>
      </c>
      <c r="G7" s="545" t="s">
        <v>398</v>
      </c>
    </row>
    <row r="8" spans="1:7" ht="15">
      <c r="A8" s="546">
        <v>150253</v>
      </c>
      <c r="B8" s="547">
        <v>41898</v>
      </c>
      <c r="C8" s="546" t="s">
        <v>399</v>
      </c>
      <c r="D8" s="546">
        <v>97788</v>
      </c>
      <c r="E8" s="546" t="s">
        <v>400</v>
      </c>
      <c r="F8" s="546" t="s">
        <v>401</v>
      </c>
      <c r="G8" s="548">
        <v>25928</v>
      </c>
    </row>
    <row r="9" spans="1:7" ht="15">
      <c r="A9" s="546">
        <v>150254</v>
      </c>
      <c r="B9" s="547">
        <v>41898</v>
      </c>
      <c r="C9" s="546" t="s">
        <v>402</v>
      </c>
      <c r="D9" s="546">
        <v>98041</v>
      </c>
      <c r="E9" s="546" t="s">
        <v>400</v>
      </c>
      <c r="F9" s="546" t="s">
        <v>401</v>
      </c>
      <c r="G9" s="548">
        <v>29392</v>
      </c>
    </row>
    <row r="10" spans="1:7" ht="15">
      <c r="A10" s="546">
        <v>150532</v>
      </c>
      <c r="B10" s="547">
        <v>41911</v>
      </c>
      <c r="C10" s="546" t="s">
        <v>403</v>
      </c>
      <c r="D10" s="546">
        <v>92816</v>
      </c>
      <c r="E10" s="546" t="s">
        <v>404</v>
      </c>
      <c r="F10" s="546" t="s">
        <v>405</v>
      </c>
      <c r="G10" s="550">
        <v>48948.26</v>
      </c>
    </row>
    <row r="11" spans="1:7" ht="15.75" thickBot="1">
      <c r="A11" s="546">
        <v>150538</v>
      </c>
      <c r="B11" s="547">
        <v>41911</v>
      </c>
      <c r="C11" s="546" t="s">
        <v>406</v>
      </c>
      <c r="D11" s="546">
        <v>96876</v>
      </c>
      <c r="E11" s="546" t="s">
        <v>407</v>
      </c>
      <c r="F11" s="549" t="s">
        <v>405</v>
      </c>
      <c r="G11" s="551">
        <v>69000</v>
      </c>
    </row>
    <row r="12" spans="1:7" ht="15.75" thickBot="1">
      <c r="A12" s="543"/>
      <c r="B12" s="543"/>
      <c r="C12" s="543"/>
      <c r="D12" s="543"/>
      <c r="E12" s="543"/>
      <c r="F12" s="543"/>
      <c r="G12" s="552">
        <v>173268.26</v>
      </c>
    </row>
  </sheetData>
  <mergeCells count="3">
    <mergeCell ref="A3:D3"/>
    <mergeCell ref="A4:D4"/>
    <mergeCell ref="A5:D5"/>
  </mergeCells>
  <pageMargins left="0.7" right="0.7" top="0.75" bottom="0.75" header="0.3" footer="0.3"/>
  <pageSetup scale="99" fitToHeight="2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1"/>
  <sheetViews>
    <sheetView tabSelected="1" topLeftCell="A9" workbookViewId="0">
      <selection activeCell="F10" sqref="F10"/>
    </sheetView>
  </sheetViews>
  <sheetFormatPr defaultRowHeight="12.75"/>
  <cols>
    <col min="3" max="3" width="15.7109375" bestFit="1" customWidth="1"/>
    <col min="4" max="4" width="15.28515625" customWidth="1"/>
    <col min="5" max="5" width="15.7109375" bestFit="1" customWidth="1"/>
    <col min="6" max="6" width="12.7109375" bestFit="1" customWidth="1"/>
    <col min="7" max="7" width="15.7109375" bestFit="1" customWidth="1"/>
    <col min="8" max="8" width="12.7109375" bestFit="1" customWidth="1"/>
    <col min="9" max="9" width="15.7109375" bestFit="1" customWidth="1"/>
    <col min="10" max="11" width="12.7109375" bestFit="1" customWidth="1"/>
  </cols>
  <sheetData>
    <row r="3" spans="1:13" ht="26.25">
      <c r="A3" s="557" t="s">
        <v>408</v>
      </c>
      <c r="B3" s="558"/>
      <c r="C3" s="570"/>
      <c r="D3" s="570"/>
      <c r="E3" s="553"/>
      <c r="F3" s="553"/>
      <c r="G3" s="553"/>
      <c r="H3" s="553"/>
      <c r="I3" s="553"/>
      <c r="J3" s="553"/>
      <c r="K3" s="553"/>
      <c r="L3" s="553"/>
      <c r="M3" s="553"/>
    </row>
    <row r="5" spans="1:13">
      <c r="A5" s="559" t="s">
        <v>409</v>
      </c>
      <c r="B5" s="553"/>
      <c r="C5" s="553"/>
      <c r="D5" s="553"/>
      <c r="E5" s="553"/>
      <c r="F5" s="553"/>
      <c r="G5" s="553"/>
      <c r="H5" s="553"/>
      <c r="I5" s="553"/>
      <c r="J5" s="553"/>
      <c r="K5" s="553"/>
      <c r="L5" s="553"/>
      <c r="M5" s="553"/>
    </row>
    <row r="7" spans="1:13" ht="14.25">
      <c r="A7" s="553"/>
      <c r="B7" s="559" t="s">
        <v>410</v>
      </c>
      <c r="C7" s="571">
        <v>15000000</v>
      </c>
      <c r="D7" s="553"/>
      <c r="E7" s="553"/>
      <c r="F7" s="553"/>
      <c r="G7" s="553"/>
      <c r="H7" s="553"/>
      <c r="I7" s="553"/>
      <c r="J7" s="553"/>
      <c r="K7" s="553"/>
      <c r="L7" s="553"/>
      <c r="M7" s="553"/>
    </row>
    <row r="8" spans="1:13" ht="14.25">
      <c r="A8" s="553"/>
      <c r="B8" s="559" t="s">
        <v>411</v>
      </c>
      <c r="C8" s="571">
        <v>1238244</v>
      </c>
      <c r="D8" s="553"/>
      <c r="E8" s="553"/>
      <c r="F8" s="553"/>
      <c r="G8" s="553"/>
      <c r="H8" s="553"/>
      <c r="I8" s="553"/>
      <c r="J8" s="553"/>
      <c r="K8" s="553"/>
      <c r="L8" s="553"/>
      <c r="M8" s="553"/>
    </row>
    <row r="9" spans="1:13" ht="14.25">
      <c r="A9" s="553"/>
      <c r="B9" s="560" t="s">
        <v>412</v>
      </c>
      <c r="C9" s="571">
        <v>1400000</v>
      </c>
      <c r="D9" s="553"/>
      <c r="E9" s="553"/>
      <c r="F9" s="553"/>
      <c r="G9" s="553"/>
      <c r="H9" s="553"/>
      <c r="I9" s="553"/>
      <c r="J9" s="553"/>
      <c r="K9" s="553"/>
      <c r="L9" s="553"/>
      <c r="M9" s="553"/>
    </row>
    <row r="10" spans="1:13" ht="14.25">
      <c r="A10" s="553"/>
      <c r="B10" s="553"/>
      <c r="C10" s="572">
        <v>17638244</v>
      </c>
      <c r="D10" s="553"/>
      <c r="E10" s="553"/>
      <c r="F10" s="553"/>
      <c r="G10" s="553"/>
      <c r="H10" s="553"/>
      <c r="I10" s="553"/>
      <c r="J10" s="553"/>
      <c r="K10" s="553"/>
      <c r="L10" s="553"/>
      <c r="M10" s="553"/>
    </row>
    <row r="11" spans="1:13" ht="14.25">
      <c r="A11" s="553"/>
      <c r="B11" s="553"/>
      <c r="C11" s="554"/>
      <c r="D11" s="553"/>
      <c r="E11" s="553"/>
      <c r="F11" s="553"/>
      <c r="G11" s="553"/>
      <c r="H11" s="553"/>
      <c r="I11" s="553"/>
      <c r="J11" s="553"/>
      <c r="K11" s="553"/>
      <c r="L11" s="553"/>
      <c r="M11" s="553"/>
    </row>
    <row r="12" spans="1:13" ht="14.25">
      <c r="A12" s="553"/>
      <c r="B12" s="553"/>
      <c r="C12" s="554"/>
      <c r="D12" s="553"/>
      <c r="E12" s="553"/>
      <c r="F12" s="553"/>
      <c r="G12" s="553"/>
      <c r="H12" s="553"/>
      <c r="I12" s="553"/>
      <c r="J12" s="553"/>
      <c r="K12" s="553"/>
      <c r="L12" s="553"/>
      <c r="M12" s="553"/>
    </row>
    <row r="14" spans="1:13">
      <c r="A14" s="569" t="s">
        <v>413</v>
      </c>
      <c r="B14" s="553"/>
      <c r="C14" s="553"/>
      <c r="D14" s="553"/>
      <c r="E14" s="553"/>
      <c r="F14" s="553"/>
      <c r="G14" s="553"/>
      <c r="H14" s="553"/>
      <c r="I14" s="553"/>
      <c r="J14" s="553"/>
      <c r="K14" s="553"/>
      <c r="L14" s="553"/>
      <c r="M14" s="553"/>
    </row>
    <row r="15" spans="1:13">
      <c r="A15" s="553"/>
      <c r="B15" s="553"/>
      <c r="C15" s="573" t="s">
        <v>43</v>
      </c>
      <c r="D15" s="574"/>
      <c r="E15" s="575"/>
      <c r="F15" s="576" t="s">
        <v>414</v>
      </c>
      <c r="G15" s="577"/>
      <c r="H15" s="578"/>
      <c r="I15" s="579"/>
      <c r="J15" s="553"/>
      <c r="K15" s="553"/>
      <c r="L15" s="553"/>
      <c r="M15" s="553"/>
    </row>
    <row r="16" spans="1:13">
      <c r="A16" s="553"/>
      <c r="B16" s="553"/>
      <c r="C16" s="573"/>
      <c r="D16" s="574"/>
      <c r="E16" s="575"/>
      <c r="F16" s="580" t="s">
        <v>415</v>
      </c>
      <c r="G16" s="576" t="s">
        <v>416</v>
      </c>
      <c r="H16" s="578"/>
      <c r="I16" s="581"/>
      <c r="J16" s="553"/>
      <c r="K16" s="553"/>
      <c r="L16" s="553"/>
      <c r="M16" s="553"/>
    </row>
    <row r="17" spans="1:13" ht="57">
      <c r="A17" s="561" t="s">
        <v>417</v>
      </c>
      <c r="B17" s="562" t="s">
        <v>418</v>
      </c>
      <c r="C17" s="582" t="s">
        <v>419</v>
      </c>
      <c r="D17" s="583" t="s">
        <v>420</v>
      </c>
      <c r="E17" s="584" t="s">
        <v>421</v>
      </c>
      <c r="F17" s="585" t="s">
        <v>419</v>
      </c>
      <c r="G17" s="585" t="s">
        <v>419</v>
      </c>
      <c r="H17" s="586" t="s">
        <v>420</v>
      </c>
      <c r="I17" s="587" t="s">
        <v>386</v>
      </c>
      <c r="J17" s="588" t="s">
        <v>422</v>
      </c>
      <c r="K17" s="589" t="s">
        <v>423</v>
      </c>
      <c r="L17" s="561" t="s">
        <v>424</v>
      </c>
      <c r="M17" s="561" t="s">
        <v>425</v>
      </c>
    </row>
    <row r="18" spans="1:13" ht="14.25">
      <c r="A18" s="563"/>
      <c r="B18" s="564"/>
      <c r="C18" s="590"/>
      <c r="D18" s="591"/>
      <c r="E18" s="590"/>
      <c r="F18" s="563"/>
      <c r="G18" s="563"/>
      <c r="H18" s="563"/>
      <c r="I18" s="563"/>
      <c r="J18" s="563"/>
      <c r="K18" s="590"/>
      <c r="L18" s="563"/>
      <c r="M18" s="563"/>
    </row>
    <row r="19" spans="1:13" ht="14.25">
      <c r="A19" s="565" t="s">
        <v>426</v>
      </c>
      <c r="B19" s="563" t="s">
        <v>427</v>
      </c>
      <c r="C19" s="590">
        <v>788384</v>
      </c>
      <c r="D19" s="591">
        <v>0</v>
      </c>
      <c r="E19" s="590">
        <v>788384</v>
      </c>
      <c r="F19" s="592">
        <v>622411.52000000002</v>
      </c>
      <c r="G19" s="592">
        <v>147822.74</v>
      </c>
      <c r="H19" s="592">
        <v>0</v>
      </c>
      <c r="I19" s="592">
        <v>770234.26</v>
      </c>
      <c r="J19" s="592">
        <v>0</v>
      </c>
      <c r="K19" s="590">
        <v>18149.739999999991</v>
      </c>
      <c r="L19" s="555">
        <v>0.97697855359824659</v>
      </c>
      <c r="M19" s="563"/>
    </row>
    <row r="20" spans="1:13" ht="14.25">
      <c r="A20" s="565" t="s">
        <v>428</v>
      </c>
      <c r="B20" s="563" t="s">
        <v>429</v>
      </c>
      <c r="C20" s="590">
        <v>75300</v>
      </c>
      <c r="D20" s="591">
        <v>0</v>
      </c>
      <c r="E20" s="590">
        <v>75300</v>
      </c>
      <c r="F20" s="592">
        <v>58534.77</v>
      </c>
      <c r="G20" s="592">
        <v>12048.76</v>
      </c>
      <c r="H20" s="592">
        <v>0</v>
      </c>
      <c r="I20" s="592">
        <v>70583.53</v>
      </c>
      <c r="J20" s="592">
        <v>0</v>
      </c>
      <c r="K20" s="590">
        <v>4716.4700000000012</v>
      </c>
      <c r="L20" s="555">
        <v>0.93736427622841967</v>
      </c>
      <c r="M20" s="563"/>
    </row>
    <row r="21" spans="1:13" ht="14.25">
      <c r="A21" s="565" t="s">
        <v>430</v>
      </c>
      <c r="B21" s="563" t="s">
        <v>431</v>
      </c>
      <c r="C21" s="593">
        <v>24000</v>
      </c>
      <c r="D21" s="590">
        <v>0</v>
      </c>
      <c r="E21" s="590">
        <v>24000</v>
      </c>
      <c r="F21" s="592">
        <v>0</v>
      </c>
      <c r="G21" s="592">
        <v>24000</v>
      </c>
      <c r="H21" s="592">
        <v>0</v>
      </c>
      <c r="I21" s="592">
        <v>24000</v>
      </c>
      <c r="J21" s="592">
        <v>0</v>
      </c>
      <c r="K21" s="590">
        <v>0</v>
      </c>
      <c r="L21" s="555">
        <v>1</v>
      </c>
      <c r="M21" s="563"/>
    </row>
    <row r="22" spans="1:13" ht="14.25">
      <c r="A22" s="565" t="s">
        <v>432</v>
      </c>
      <c r="B22" s="563" t="s">
        <v>433</v>
      </c>
      <c r="C22" s="590">
        <v>24000</v>
      </c>
      <c r="D22" s="591">
        <v>0</v>
      </c>
      <c r="E22" s="590">
        <v>24000</v>
      </c>
      <c r="F22" s="592">
        <v>0</v>
      </c>
      <c r="G22" s="592">
        <v>24000</v>
      </c>
      <c r="H22" s="592">
        <v>0</v>
      </c>
      <c r="I22" s="592">
        <v>24000</v>
      </c>
      <c r="J22" s="592">
        <v>0</v>
      </c>
      <c r="K22" s="590">
        <v>0</v>
      </c>
      <c r="L22" s="555">
        <v>1</v>
      </c>
      <c r="M22" s="563"/>
    </row>
    <row r="23" spans="1:13" ht="28.5">
      <c r="A23" s="565" t="s">
        <v>434</v>
      </c>
      <c r="B23" s="566" t="s">
        <v>435</v>
      </c>
      <c r="C23" s="590">
        <v>15353709</v>
      </c>
      <c r="D23" s="687">
        <v>1400000</v>
      </c>
      <c r="E23" s="590">
        <v>16753709</v>
      </c>
      <c r="F23" s="592">
        <v>0</v>
      </c>
      <c r="G23" s="592">
        <v>15472665.600000001</v>
      </c>
      <c r="H23" s="592">
        <v>142678.39999999999</v>
      </c>
      <c r="I23" s="592">
        <v>15615344.000000002</v>
      </c>
      <c r="J23" s="592">
        <v>819790</v>
      </c>
      <c r="K23" s="590">
        <v>318574.99999999814</v>
      </c>
      <c r="L23" s="555">
        <v>0.93205295615436567</v>
      </c>
      <c r="M23" s="563"/>
    </row>
    <row r="24" spans="1:13" ht="14.25">
      <c r="A24" s="565" t="s">
        <v>436</v>
      </c>
      <c r="B24" s="563" t="s">
        <v>437</v>
      </c>
      <c r="C24" s="590">
        <v>52590</v>
      </c>
      <c r="D24" s="591">
        <v>0</v>
      </c>
      <c r="E24" s="590">
        <v>52590</v>
      </c>
      <c r="F24" s="592">
        <v>0</v>
      </c>
      <c r="G24" s="592">
        <v>57764.2</v>
      </c>
      <c r="H24" s="592">
        <v>0</v>
      </c>
      <c r="I24" s="592">
        <v>57764.2</v>
      </c>
      <c r="J24" s="592">
        <v>0</v>
      </c>
      <c r="K24" s="590">
        <v>-5174.1999999999971</v>
      </c>
      <c r="L24" s="555">
        <v>1.098387526145655</v>
      </c>
      <c r="M24" s="563"/>
    </row>
    <row r="25" spans="1:13" ht="14.25">
      <c r="A25" s="565" t="s">
        <v>438</v>
      </c>
      <c r="B25" s="563" t="s">
        <v>439</v>
      </c>
      <c r="C25" s="590">
        <v>404500</v>
      </c>
      <c r="D25" s="591">
        <v>0</v>
      </c>
      <c r="E25" s="590">
        <v>404500</v>
      </c>
      <c r="F25" s="592">
        <v>0</v>
      </c>
      <c r="G25" s="592">
        <v>385358.19</v>
      </c>
      <c r="H25" s="592">
        <v>0</v>
      </c>
      <c r="I25" s="592">
        <v>385358.19</v>
      </c>
      <c r="J25" s="592">
        <v>0</v>
      </c>
      <c r="K25" s="590">
        <v>19141.809999999998</v>
      </c>
      <c r="L25" s="555">
        <v>0.95267784919653897</v>
      </c>
      <c r="M25" s="563"/>
    </row>
    <row r="26" spans="1:13" ht="14.25">
      <c r="A26" s="565" t="s">
        <v>440</v>
      </c>
      <c r="B26" s="563" t="s">
        <v>441</v>
      </c>
      <c r="C26" s="590">
        <v>100000</v>
      </c>
      <c r="D26" s="591">
        <v>0</v>
      </c>
      <c r="E26" s="590">
        <v>100000</v>
      </c>
      <c r="F26" s="592">
        <v>0</v>
      </c>
      <c r="G26" s="592">
        <v>0</v>
      </c>
      <c r="H26" s="592">
        <v>0</v>
      </c>
      <c r="I26" s="592">
        <v>0</v>
      </c>
      <c r="J26" s="592">
        <v>0</v>
      </c>
      <c r="K26" s="590">
        <v>100000</v>
      </c>
      <c r="L26" s="555">
        <v>0</v>
      </c>
      <c r="M26" s="563"/>
    </row>
    <row r="27" spans="1:13" ht="14.25">
      <c r="A27" s="565" t="s">
        <v>442</v>
      </c>
      <c r="B27" s="563" t="s">
        <v>443</v>
      </c>
      <c r="C27" s="590">
        <v>75000</v>
      </c>
      <c r="D27" s="591">
        <v>0</v>
      </c>
      <c r="E27" s="590">
        <v>75000</v>
      </c>
      <c r="F27" s="592">
        <v>0</v>
      </c>
      <c r="G27" s="592">
        <v>75090.509999999995</v>
      </c>
      <c r="H27" s="592">
        <v>0</v>
      </c>
      <c r="I27" s="592">
        <v>75090.509999999995</v>
      </c>
      <c r="J27" s="592">
        <v>0</v>
      </c>
      <c r="K27" s="590">
        <v>-90.509999999994761</v>
      </c>
      <c r="L27" s="555">
        <v>1.0012067999999998</v>
      </c>
      <c r="M27" s="563"/>
    </row>
    <row r="28" spans="1:13" ht="14.25">
      <c r="A28" s="565"/>
      <c r="B28" s="563" t="s">
        <v>444</v>
      </c>
      <c r="C28" s="592">
        <v>-512863</v>
      </c>
      <c r="D28" s="591">
        <v>0</v>
      </c>
      <c r="E28" s="590">
        <v>-512863</v>
      </c>
      <c r="F28" s="592">
        <v>0</v>
      </c>
      <c r="G28" s="592">
        <v>-498460</v>
      </c>
      <c r="H28" s="592">
        <v>0</v>
      </c>
      <c r="I28" s="592">
        <v>-498460</v>
      </c>
      <c r="J28" s="592">
        <v>0</v>
      </c>
      <c r="K28" s="590">
        <v>-14403</v>
      </c>
      <c r="L28" s="555">
        <v>0.97191647671990378</v>
      </c>
      <c r="M28" s="563"/>
    </row>
    <row r="29" spans="1:13" ht="14.25">
      <c r="A29" s="565"/>
      <c r="B29" s="563" t="s">
        <v>445</v>
      </c>
      <c r="C29" s="592">
        <v>-146376</v>
      </c>
      <c r="D29" s="591">
        <v>0</v>
      </c>
      <c r="E29" s="590">
        <v>-146376</v>
      </c>
      <c r="F29" s="592">
        <v>0</v>
      </c>
      <c r="G29" s="592">
        <v>-184909.8</v>
      </c>
      <c r="H29" s="592">
        <v>0</v>
      </c>
      <c r="I29" s="592">
        <v>-184909.8</v>
      </c>
      <c r="J29" s="592">
        <v>0</v>
      </c>
      <c r="K29" s="590">
        <v>38533.799999999988</v>
      </c>
      <c r="L29" s="555">
        <v>1.2632521724872929</v>
      </c>
      <c r="M29" s="563"/>
    </row>
    <row r="30" spans="1:13" ht="15">
      <c r="A30" s="567"/>
      <c r="B30" s="563"/>
      <c r="C30" s="590"/>
      <c r="D30" s="591"/>
      <c r="E30" s="590"/>
      <c r="F30" s="594"/>
      <c r="G30" s="594"/>
      <c r="H30" s="594"/>
      <c r="I30" s="594"/>
      <c r="J30" s="592"/>
      <c r="K30" s="590"/>
      <c r="L30" s="563"/>
      <c r="M30" s="563"/>
    </row>
    <row r="31" spans="1:13" ht="14.25">
      <c r="A31" s="568"/>
      <c r="B31" s="568" t="s">
        <v>446</v>
      </c>
      <c r="C31" s="595">
        <v>16238244</v>
      </c>
      <c r="D31" s="686">
        <v>1400000</v>
      </c>
      <c r="E31" s="595">
        <v>17638244</v>
      </c>
      <c r="F31" s="596">
        <v>680946.29</v>
      </c>
      <c r="G31" s="596">
        <v>15515380.199999999</v>
      </c>
      <c r="H31" s="596">
        <v>142678.39999999999</v>
      </c>
      <c r="I31" s="596">
        <v>16339004.890000004</v>
      </c>
      <c r="J31" s="597">
        <v>819790</v>
      </c>
      <c r="K31" s="598">
        <v>479449.10999999807</v>
      </c>
      <c r="L31" s="556">
        <v>0.92633965660073669</v>
      </c>
      <c r="M31" s="56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4"/>
  <sheetViews>
    <sheetView workbookViewId="0">
      <selection activeCell="D17" sqref="D17"/>
    </sheetView>
  </sheetViews>
  <sheetFormatPr defaultRowHeight="12.75"/>
  <cols>
    <col min="3" max="3" width="14.5703125" bestFit="1" customWidth="1"/>
    <col min="4" max="4" width="12.7109375" bestFit="1" customWidth="1"/>
    <col min="5" max="5" width="14.5703125" bestFit="1" customWidth="1"/>
    <col min="6" max="6" width="12.7109375" bestFit="1" customWidth="1"/>
    <col min="8" max="8" width="12.7109375" bestFit="1" customWidth="1"/>
    <col min="10" max="10" width="14.5703125" bestFit="1" customWidth="1"/>
  </cols>
  <sheetData>
    <row r="3" spans="1:12" ht="26.25">
      <c r="A3" s="601" t="s">
        <v>447</v>
      </c>
      <c r="B3" s="602"/>
      <c r="C3" s="618"/>
      <c r="D3" s="618"/>
      <c r="E3" s="599"/>
      <c r="F3" s="599"/>
      <c r="G3" s="599"/>
      <c r="H3" s="599"/>
      <c r="I3" s="599"/>
      <c r="J3" s="599"/>
      <c r="K3" s="599"/>
      <c r="L3" s="599"/>
    </row>
    <row r="5" spans="1:12">
      <c r="A5" s="600" t="s">
        <v>409</v>
      </c>
      <c r="B5" s="599"/>
      <c r="C5" s="599"/>
      <c r="D5" s="599"/>
      <c r="E5" s="599"/>
      <c r="F5" s="599"/>
      <c r="G5" s="599"/>
      <c r="H5" s="599"/>
      <c r="I5" s="599"/>
      <c r="J5" s="599"/>
      <c r="K5" s="599"/>
      <c r="L5" s="599"/>
    </row>
    <row r="7" spans="1:12" ht="14.25">
      <c r="A7" s="599"/>
      <c r="B7" s="600" t="s">
        <v>410</v>
      </c>
      <c r="C7" s="620">
        <v>1793157</v>
      </c>
      <c r="D7" s="599"/>
      <c r="E7" s="599"/>
      <c r="F7" s="599"/>
      <c r="G7" s="599"/>
      <c r="H7" s="599"/>
      <c r="I7" s="599"/>
      <c r="J7" s="599"/>
      <c r="K7" s="599"/>
      <c r="L7" s="599"/>
    </row>
    <row r="8" spans="1:12" ht="14.25">
      <c r="A8" s="599"/>
      <c r="B8" s="617" t="s">
        <v>448</v>
      </c>
      <c r="C8" s="620">
        <v>456843</v>
      </c>
      <c r="D8" s="599"/>
      <c r="E8" s="599"/>
      <c r="F8" s="599"/>
      <c r="G8" s="599"/>
      <c r="H8" s="599"/>
      <c r="I8" s="599"/>
      <c r="J8" s="599"/>
      <c r="K8" s="599"/>
      <c r="L8" s="599"/>
    </row>
    <row r="9" spans="1:12" ht="14.25">
      <c r="A9" s="599"/>
      <c r="B9" s="599"/>
      <c r="C9" s="623">
        <v>2250000</v>
      </c>
      <c r="D9" s="599"/>
      <c r="E9" s="599"/>
      <c r="F9" s="599"/>
      <c r="G9" s="599"/>
      <c r="H9" s="599"/>
      <c r="I9" s="599"/>
      <c r="J9" s="599"/>
      <c r="K9" s="599"/>
      <c r="L9" s="599"/>
    </row>
    <row r="10" spans="1:12" ht="14.25">
      <c r="A10" s="599"/>
      <c r="B10" s="599"/>
      <c r="C10" s="603"/>
      <c r="D10" s="599"/>
      <c r="E10" s="599"/>
      <c r="F10" s="599"/>
      <c r="G10" s="599"/>
      <c r="H10" s="599"/>
      <c r="I10" s="599"/>
      <c r="J10" s="599"/>
      <c r="K10" s="599"/>
      <c r="L10" s="599"/>
    </row>
    <row r="11" spans="1:12" ht="14.25">
      <c r="A11" s="599"/>
      <c r="B11" s="599"/>
      <c r="C11" s="603"/>
      <c r="D11" s="599"/>
      <c r="E11" s="599"/>
      <c r="F11" s="599"/>
      <c r="G11" s="599"/>
      <c r="H11" s="599"/>
      <c r="I11" s="599"/>
      <c r="J11" s="599"/>
      <c r="K11" s="599"/>
      <c r="L11" s="599"/>
    </row>
    <row r="13" spans="1:12">
      <c r="A13" s="640" t="s">
        <v>413</v>
      </c>
      <c r="B13" s="599"/>
      <c r="C13" s="599"/>
      <c r="D13" s="599"/>
      <c r="E13" s="599"/>
      <c r="F13" s="599"/>
      <c r="G13" s="599"/>
      <c r="H13" s="599"/>
      <c r="I13" s="599"/>
      <c r="J13" s="599"/>
      <c r="K13" s="599"/>
      <c r="L13" s="599"/>
    </row>
    <row r="14" spans="1:12">
      <c r="A14" s="599"/>
      <c r="B14" s="599"/>
      <c r="C14" s="628" t="s">
        <v>43</v>
      </c>
      <c r="D14" s="629"/>
      <c r="E14" s="630"/>
      <c r="F14" s="627" t="s">
        <v>414</v>
      </c>
      <c r="G14" s="637"/>
      <c r="H14" s="638"/>
      <c r="I14" s="599"/>
      <c r="J14" s="599"/>
      <c r="K14" s="599"/>
      <c r="L14" s="599"/>
    </row>
    <row r="15" spans="1:12" ht="57">
      <c r="A15" s="604" t="s">
        <v>417</v>
      </c>
      <c r="B15" s="605" t="s">
        <v>418</v>
      </c>
      <c r="C15" s="631" t="s">
        <v>419</v>
      </c>
      <c r="D15" s="632" t="s">
        <v>420</v>
      </c>
      <c r="E15" s="633" t="s">
        <v>449</v>
      </c>
      <c r="F15" s="634" t="s">
        <v>419</v>
      </c>
      <c r="G15" s="634" t="s">
        <v>420</v>
      </c>
      <c r="H15" s="634" t="s">
        <v>386</v>
      </c>
      <c r="I15" s="639" t="s">
        <v>422</v>
      </c>
      <c r="J15" s="626" t="s">
        <v>423</v>
      </c>
      <c r="K15" s="604" t="s">
        <v>424</v>
      </c>
      <c r="L15" s="604" t="s">
        <v>425</v>
      </c>
    </row>
    <row r="16" spans="1:12" ht="14.25">
      <c r="A16" s="606"/>
      <c r="B16" s="607"/>
      <c r="C16" s="619"/>
      <c r="D16" s="624"/>
      <c r="E16" s="619"/>
      <c r="F16" s="606"/>
      <c r="G16" s="606"/>
      <c r="H16" s="606"/>
      <c r="I16" s="606"/>
      <c r="J16" s="619"/>
      <c r="K16" s="606"/>
      <c r="L16" s="606"/>
    </row>
    <row r="17" spans="1:12" ht="14.25">
      <c r="A17" s="608" t="s">
        <v>450</v>
      </c>
      <c r="B17" s="606" t="s">
        <v>427</v>
      </c>
      <c r="C17" s="619">
        <v>100000</v>
      </c>
      <c r="D17" s="624">
        <v>0</v>
      </c>
      <c r="E17" s="619">
        <v>100000</v>
      </c>
      <c r="F17" s="609">
        <v>80239</v>
      </c>
      <c r="G17" s="609">
        <v>0</v>
      </c>
      <c r="H17" s="609">
        <v>80239</v>
      </c>
      <c r="I17" s="609"/>
      <c r="J17" s="619">
        <v>19761</v>
      </c>
      <c r="K17" s="610">
        <v>0.80239000000000005</v>
      </c>
      <c r="L17" s="606"/>
    </row>
    <row r="18" spans="1:12" ht="14.25">
      <c r="A18" s="608" t="s">
        <v>451</v>
      </c>
      <c r="B18" s="606" t="s">
        <v>429</v>
      </c>
      <c r="C18" s="619">
        <v>20000</v>
      </c>
      <c r="D18" s="624">
        <v>10000</v>
      </c>
      <c r="E18" s="619">
        <v>30000</v>
      </c>
      <c r="F18" s="609">
        <v>7078.25</v>
      </c>
      <c r="G18" s="609">
        <v>0</v>
      </c>
      <c r="H18" s="609">
        <v>7078.25</v>
      </c>
      <c r="I18" s="609"/>
      <c r="J18" s="619">
        <v>22921.75</v>
      </c>
      <c r="K18" s="610">
        <v>0.23594166666666666</v>
      </c>
      <c r="L18" s="606"/>
    </row>
    <row r="19" spans="1:12" ht="14.25">
      <c r="A19" s="608" t="s">
        <v>452</v>
      </c>
      <c r="B19" s="606" t="s">
        <v>453</v>
      </c>
      <c r="C19" s="622">
        <v>73157</v>
      </c>
      <c r="D19" s="619">
        <v>96843</v>
      </c>
      <c r="E19" s="619">
        <v>170000</v>
      </c>
      <c r="F19" s="609">
        <v>58000</v>
      </c>
      <c r="G19" s="609">
        <v>0</v>
      </c>
      <c r="H19" s="609">
        <v>58000</v>
      </c>
      <c r="I19" s="609"/>
      <c r="J19" s="619">
        <v>112000</v>
      </c>
      <c r="K19" s="610">
        <v>0.3411764705882353</v>
      </c>
      <c r="L19" s="606"/>
    </row>
    <row r="20" spans="1:12" ht="14.25">
      <c r="A20" s="608" t="s">
        <v>454</v>
      </c>
      <c r="B20" s="606" t="s">
        <v>455</v>
      </c>
      <c r="C20" s="619">
        <v>0</v>
      </c>
      <c r="D20" s="624">
        <v>140000</v>
      </c>
      <c r="E20" s="619">
        <v>140000</v>
      </c>
      <c r="F20" s="609">
        <v>0</v>
      </c>
      <c r="G20" s="609">
        <v>0</v>
      </c>
      <c r="H20" s="609">
        <v>0</v>
      </c>
      <c r="I20" s="609"/>
      <c r="J20" s="619">
        <v>140000</v>
      </c>
      <c r="K20" s="610">
        <v>0</v>
      </c>
      <c r="L20" s="606"/>
    </row>
    <row r="21" spans="1:12" ht="28.5">
      <c r="A21" s="608" t="s">
        <v>456</v>
      </c>
      <c r="B21" s="611" t="s">
        <v>435</v>
      </c>
      <c r="C21" s="619">
        <v>1600000</v>
      </c>
      <c r="D21" s="625">
        <v>60000</v>
      </c>
      <c r="E21" s="619">
        <v>1660000</v>
      </c>
      <c r="F21" s="609">
        <v>0</v>
      </c>
      <c r="G21" s="609">
        <v>0</v>
      </c>
      <c r="H21" s="609">
        <v>0</v>
      </c>
      <c r="I21" s="609"/>
      <c r="J21" s="619">
        <v>1660000</v>
      </c>
      <c r="K21" s="610">
        <v>0</v>
      </c>
      <c r="L21" s="606"/>
    </row>
    <row r="22" spans="1:12" ht="14.25">
      <c r="A22" s="608" t="s">
        <v>457</v>
      </c>
      <c r="B22" s="606" t="s">
        <v>458</v>
      </c>
      <c r="C22" s="619">
        <v>0</v>
      </c>
      <c r="D22" s="624">
        <v>150000</v>
      </c>
      <c r="E22" s="619">
        <v>150000</v>
      </c>
      <c r="F22" s="609">
        <v>0</v>
      </c>
      <c r="G22" s="609">
        <v>0</v>
      </c>
      <c r="H22" s="609">
        <v>0</v>
      </c>
      <c r="I22" s="609"/>
      <c r="J22" s="619">
        <v>150000</v>
      </c>
      <c r="K22" s="610">
        <v>0</v>
      </c>
      <c r="L22" s="606"/>
    </row>
    <row r="23" spans="1:12" ht="15">
      <c r="A23" s="612"/>
      <c r="B23" s="606"/>
      <c r="C23" s="619"/>
      <c r="D23" s="624"/>
      <c r="E23" s="619"/>
      <c r="F23" s="613"/>
      <c r="G23" s="613"/>
      <c r="H23" s="613"/>
      <c r="I23" s="609"/>
      <c r="J23" s="619"/>
      <c r="K23" s="606"/>
      <c r="L23" s="606"/>
    </row>
    <row r="24" spans="1:12" ht="14.25">
      <c r="A24" s="614"/>
      <c r="B24" s="614" t="s">
        <v>446</v>
      </c>
      <c r="C24" s="635">
        <v>1793157</v>
      </c>
      <c r="D24" s="635">
        <v>456843</v>
      </c>
      <c r="E24" s="635">
        <v>2250000</v>
      </c>
      <c r="F24" s="636">
        <v>145317.25</v>
      </c>
      <c r="G24" s="636">
        <v>0</v>
      </c>
      <c r="H24" s="636">
        <v>145317.25</v>
      </c>
      <c r="I24" s="615">
        <v>0</v>
      </c>
      <c r="J24" s="621">
        <v>2104682.75</v>
      </c>
      <c r="K24" s="616">
        <v>6.4585444444444445E-2</v>
      </c>
      <c r="L24" s="61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workbookViewId="0">
      <selection activeCell="A3" sqref="A3:H25"/>
    </sheetView>
  </sheetViews>
  <sheetFormatPr defaultRowHeight="12.75"/>
  <cols>
    <col min="3" max="3" width="14.5703125" bestFit="1" customWidth="1"/>
    <col min="4" max="4" width="15.28515625" bestFit="1" customWidth="1"/>
    <col min="5" max="6" width="12.7109375" bestFit="1" customWidth="1"/>
  </cols>
  <sheetData>
    <row r="3" spans="1:8" ht="26.25">
      <c r="A3" s="649" t="s">
        <v>459</v>
      </c>
      <c r="B3" s="650"/>
      <c r="C3" s="641"/>
      <c r="D3" s="641"/>
      <c r="E3" s="641"/>
      <c r="F3" s="641"/>
      <c r="G3" s="641"/>
      <c r="H3" s="641"/>
    </row>
    <row r="5" spans="1:8">
      <c r="A5" s="651" t="s">
        <v>409</v>
      </c>
      <c r="B5" s="641"/>
      <c r="C5" s="641"/>
      <c r="D5" s="641"/>
      <c r="E5" s="641"/>
      <c r="F5" s="641"/>
      <c r="G5" s="641"/>
      <c r="H5" s="641"/>
    </row>
    <row r="7" spans="1:8" ht="14.25">
      <c r="A7" s="641"/>
      <c r="B7" s="641"/>
      <c r="C7" s="641"/>
      <c r="D7" s="646">
        <v>4700000</v>
      </c>
      <c r="E7" s="652" t="s">
        <v>460</v>
      </c>
      <c r="F7" s="641"/>
      <c r="G7" s="641"/>
      <c r="H7" s="641"/>
    </row>
    <row r="8" spans="1:8" ht="14.25">
      <c r="A8" s="641"/>
      <c r="B8" s="641"/>
      <c r="C8" s="641"/>
      <c r="D8" s="646">
        <v>-1043325</v>
      </c>
      <c r="E8" s="651" t="s">
        <v>461</v>
      </c>
      <c r="F8" s="641"/>
      <c r="G8" s="641"/>
      <c r="H8" s="641"/>
    </row>
    <row r="9" spans="1:8" ht="14.25">
      <c r="A9" s="641"/>
      <c r="B9" s="641"/>
      <c r="C9" s="641"/>
      <c r="D9" s="648">
        <v>3656675</v>
      </c>
      <c r="E9" s="641"/>
      <c r="F9" s="641"/>
      <c r="G9" s="641"/>
      <c r="H9" s="641"/>
    </row>
    <row r="11" spans="1:8">
      <c r="A11" s="661" t="s">
        <v>413</v>
      </c>
      <c r="B11" s="641"/>
      <c r="C11" s="641"/>
      <c r="D11" s="641"/>
      <c r="E11" s="641"/>
      <c r="F11" s="641"/>
      <c r="G11" s="641"/>
      <c r="H11" s="641"/>
    </row>
    <row r="13" spans="1:8" ht="57">
      <c r="A13" s="653" t="s">
        <v>417</v>
      </c>
      <c r="B13" s="654" t="s">
        <v>418</v>
      </c>
      <c r="C13" s="653" t="s">
        <v>462</v>
      </c>
      <c r="D13" s="653" t="s">
        <v>463</v>
      </c>
      <c r="E13" s="653" t="s">
        <v>422</v>
      </c>
      <c r="F13" s="653" t="s">
        <v>423</v>
      </c>
      <c r="G13" s="653" t="s">
        <v>424</v>
      </c>
      <c r="H13" s="653" t="s">
        <v>425</v>
      </c>
    </row>
    <row r="14" spans="1:8" ht="14.25">
      <c r="A14" s="655"/>
      <c r="B14" s="656"/>
      <c r="C14" s="642"/>
      <c r="D14" s="655"/>
      <c r="E14" s="655"/>
      <c r="F14" s="655"/>
      <c r="G14" s="655"/>
      <c r="H14" s="655"/>
    </row>
    <row r="15" spans="1:8" ht="14.25">
      <c r="A15" s="657" t="s">
        <v>464</v>
      </c>
      <c r="B15" s="655" t="s">
        <v>427</v>
      </c>
      <c r="C15" s="645">
        <v>212228</v>
      </c>
      <c r="D15" s="645">
        <v>212228</v>
      </c>
      <c r="E15" s="645"/>
      <c r="F15" s="645">
        <v>0</v>
      </c>
      <c r="G15" s="643">
        <v>1</v>
      </c>
      <c r="H15" s="655"/>
    </row>
    <row r="16" spans="1:8" ht="14.25">
      <c r="A16" s="657" t="s">
        <v>465</v>
      </c>
      <c r="B16" s="655" t="s">
        <v>429</v>
      </c>
      <c r="C16" s="645">
        <v>216972</v>
      </c>
      <c r="D16" s="645">
        <v>9734.23</v>
      </c>
      <c r="E16" s="645"/>
      <c r="F16" s="645">
        <v>207237.77</v>
      </c>
      <c r="G16" s="643">
        <v>4.4863991667127553E-2</v>
      </c>
      <c r="H16" s="655"/>
    </row>
    <row r="17" spans="1:8" ht="14.25">
      <c r="A17" s="657" t="s">
        <v>466</v>
      </c>
      <c r="B17" s="655" t="s">
        <v>467</v>
      </c>
      <c r="C17" s="645">
        <v>700000</v>
      </c>
      <c r="D17" s="645">
        <v>609728.62</v>
      </c>
      <c r="E17" s="645"/>
      <c r="F17" s="645">
        <v>90271.38</v>
      </c>
      <c r="G17" s="643">
        <v>0.87104088571428573</v>
      </c>
      <c r="H17" s="655"/>
    </row>
    <row r="18" spans="1:8" ht="28.5">
      <c r="A18" s="657" t="s">
        <v>468</v>
      </c>
      <c r="B18" s="658" t="s">
        <v>435</v>
      </c>
      <c r="C18" s="645">
        <v>2527475</v>
      </c>
      <c r="D18" s="645">
        <v>2366015.3899999997</v>
      </c>
      <c r="E18" s="645">
        <v>161459.60999999999</v>
      </c>
      <c r="F18" s="645">
        <v>3.4924596548080444E-10</v>
      </c>
      <c r="G18" s="643">
        <v>0.93611821679739649</v>
      </c>
      <c r="H18" s="655"/>
    </row>
    <row r="19" spans="1:8" ht="14.25">
      <c r="A19" s="657"/>
      <c r="B19" s="655"/>
      <c r="C19" s="645"/>
      <c r="D19" s="645"/>
      <c r="E19" s="645"/>
      <c r="F19" s="645"/>
      <c r="G19" s="643"/>
      <c r="H19" s="655"/>
    </row>
    <row r="20" spans="1:8" ht="14.25">
      <c r="A20" s="657"/>
      <c r="B20" s="655"/>
      <c r="C20" s="645"/>
      <c r="D20" s="645"/>
      <c r="E20" s="645"/>
      <c r="F20" s="645"/>
      <c r="G20" s="643"/>
      <c r="H20" s="655"/>
    </row>
    <row r="21" spans="1:8" ht="14.25">
      <c r="A21" s="657"/>
      <c r="B21" s="655"/>
      <c r="C21" s="645"/>
      <c r="D21" s="645"/>
      <c r="E21" s="645"/>
      <c r="F21" s="645"/>
      <c r="G21" s="643"/>
      <c r="H21" s="655"/>
    </row>
    <row r="22" spans="1:8" ht="14.25">
      <c r="A22" s="657"/>
      <c r="B22" s="655"/>
      <c r="C22" s="645"/>
      <c r="D22" s="645"/>
      <c r="E22" s="645"/>
      <c r="F22" s="645"/>
      <c r="G22" s="643"/>
      <c r="H22" s="655"/>
    </row>
    <row r="23" spans="1:8" ht="14.25">
      <c r="A23" s="659"/>
      <c r="B23" s="655"/>
      <c r="C23" s="645"/>
      <c r="D23" s="645"/>
      <c r="E23" s="645"/>
      <c r="F23" s="645"/>
      <c r="G23" s="655"/>
      <c r="H23" s="655"/>
    </row>
    <row r="24" spans="1:8" ht="15">
      <c r="A24" s="659"/>
      <c r="B24" s="655"/>
      <c r="C24" s="645"/>
      <c r="D24" s="662"/>
      <c r="E24" s="645"/>
      <c r="F24" s="645"/>
      <c r="G24" s="655"/>
      <c r="H24" s="655"/>
    </row>
    <row r="25" spans="1:8" ht="14.25">
      <c r="A25" s="660"/>
      <c r="B25" s="660" t="s">
        <v>446</v>
      </c>
      <c r="C25" s="647">
        <v>3656675</v>
      </c>
      <c r="D25" s="647">
        <v>3197706.2399999998</v>
      </c>
      <c r="E25" s="647">
        <v>161459.60999999999</v>
      </c>
      <c r="F25" s="647">
        <v>297509.15000000037</v>
      </c>
      <c r="G25" s="644">
        <v>0.87448467255088291</v>
      </c>
      <c r="H25" s="66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workbookViewId="0">
      <selection activeCell="G9" sqref="G9"/>
    </sheetView>
  </sheetViews>
  <sheetFormatPr defaultRowHeight="12.75"/>
  <cols>
    <col min="2" max="2" width="25.5703125" bestFit="1" customWidth="1"/>
    <col min="3" max="3" width="13.28515625" bestFit="1" customWidth="1"/>
    <col min="4" max="4" width="12.7109375" bestFit="1" customWidth="1"/>
    <col min="6" max="6" width="10.42578125" bestFit="1" customWidth="1"/>
  </cols>
  <sheetData>
    <row r="3" spans="1:8" ht="26.25">
      <c r="A3" s="670" t="s">
        <v>469</v>
      </c>
      <c r="B3" s="671"/>
      <c r="C3" s="663"/>
      <c r="D3" s="663"/>
      <c r="E3" s="663"/>
      <c r="F3" s="663"/>
      <c r="G3" s="663"/>
      <c r="H3" s="663"/>
    </row>
    <row r="5" spans="1:8">
      <c r="A5" s="672" t="s">
        <v>409</v>
      </c>
      <c r="B5" s="663"/>
      <c r="C5" s="663"/>
      <c r="D5" s="663"/>
      <c r="E5" s="663"/>
      <c r="F5" s="663"/>
      <c r="G5" s="663"/>
      <c r="H5" s="663"/>
    </row>
    <row r="7" spans="1:8" ht="14.25">
      <c r="A7" s="663"/>
      <c r="B7" s="672" t="s">
        <v>470</v>
      </c>
      <c r="C7" s="684">
        <v>150000</v>
      </c>
      <c r="D7" s="663"/>
      <c r="E7" s="663"/>
      <c r="F7" s="663"/>
      <c r="G7" s="663"/>
      <c r="H7" s="663"/>
    </row>
    <row r="8" spans="1:8" ht="14.25">
      <c r="A8" s="663"/>
      <c r="B8" s="672" t="s">
        <v>471</v>
      </c>
      <c r="C8" s="683">
        <v>70000</v>
      </c>
      <c r="D8" s="663"/>
      <c r="E8" s="663"/>
      <c r="F8" s="663"/>
      <c r="G8" s="663"/>
      <c r="H8" s="663"/>
    </row>
    <row r="9" spans="1:8" ht="14.25">
      <c r="A9" s="663"/>
      <c r="B9" s="672" t="s">
        <v>472</v>
      </c>
      <c r="C9" s="668">
        <v>110000</v>
      </c>
      <c r="D9" s="663"/>
      <c r="E9" s="663"/>
      <c r="F9" s="663"/>
      <c r="G9" s="663"/>
      <c r="H9" s="663"/>
    </row>
    <row r="10" spans="1:8" ht="14.25">
      <c r="A10" s="663"/>
      <c r="B10" s="663"/>
      <c r="C10" s="685">
        <v>330000</v>
      </c>
      <c r="D10" s="663"/>
      <c r="E10" s="663"/>
      <c r="F10" s="663"/>
      <c r="G10" s="663"/>
      <c r="H10" s="663"/>
    </row>
    <row r="12" spans="1:8">
      <c r="A12" s="673" t="s">
        <v>413</v>
      </c>
      <c r="B12" s="663"/>
      <c r="C12" s="663"/>
      <c r="D12" s="663"/>
      <c r="E12" s="663"/>
      <c r="F12" s="663"/>
      <c r="G12" s="663"/>
      <c r="H12" s="663"/>
    </row>
    <row r="14" spans="1:8" ht="57">
      <c r="A14" s="674" t="s">
        <v>417</v>
      </c>
      <c r="B14" s="675" t="s">
        <v>418</v>
      </c>
      <c r="C14" s="674" t="s">
        <v>462</v>
      </c>
      <c r="D14" s="674" t="s">
        <v>463</v>
      </c>
      <c r="E14" s="674" t="s">
        <v>422</v>
      </c>
      <c r="F14" s="674" t="s">
        <v>423</v>
      </c>
      <c r="G14" s="674" t="s">
        <v>424</v>
      </c>
      <c r="H14" s="674" t="s">
        <v>425</v>
      </c>
    </row>
    <row r="15" spans="1:8" ht="14.25">
      <c r="A15" s="676"/>
      <c r="B15" s="677"/>
      <c r="C15" s="664"/>
      <c r="D15" s="676"/>
      <c r="E15" s="676"/>
      <c r="F15" s="676"/>
      <c r="G15" s="676"/>
      <c r="H15" s="676"/>
    </row>
    <row r="16" spans="1:8" ht="14.25">
      <c r="A16" s="678" t="s">
        <v>473</v>
      </c>
      <c r="B16" s="676" t="s">
        <v>474</v>
      </c>
      <c r="C16" s="667">
        <v>220000</v>
      </c>
      <c r="D16" s="667">
        <v>220000.66</v>
      </c>
      <c r="E16" s="667"/>
      <c r="F16" s="667">
        <v>-0.66000000000349246</v>
      </c>
      <c r="G16" s="665">
        <v>1.000003</v>
      </c>
      <c r="H16" s="676"/>
    </row>
    <row r="17" spans="1:8" ht="14.25">
      <c r="A17" s="678" t="s">
        <v>475</v>
      </c>
      <c r="B17" s="676" t="s">
        <v>474</v>
      </c>
      <c r="C17" s="667">
        <v>110000</v>
      </c>
      <c r="D17" s="667">
        <v>103025.05</v>
      </c>
      <c r="E17" s="667"/>
      <c r="F17" s="667">
        <v>6974.9499999999971</v>
      </c>
      <c r="G17" s="665">
        <v>0.93659136363636364</v>
      </c>
      <c r="H17" s="676"/>
    </row>
    <row r="18" spans="1:8" ht="14.25">
      <c r="A18" s="678"/>
      <c r="B18" s="679"/>
      <c r="C18" s="667"/>
      <c r="D18" s="667"/>
      <c r="E18" s="667"/>
      <c r="F18" s="667"/>
      <c r="G18" s="665"/>
      <c r="H18" s="676"/>
    </row>
    <row r="19" spans="1:8" ht="14.25">
      <c r="A19" s="678"/>
      <c r="B19" s="676"/>
      <c r="C19" s="667"/>
      <c r="D19" s="667"/>
      <c r="E19" s="667"/>
      <c r="F19" s="667"/>
      <c r="G19" s="665"/>
      <c r="H19" s="676"/>
    </row>
    <row r="20" spans="1:8" ht="14.25">
      <c r="A20" s="678"/>
      <c r="B20" s="676"/>
      <c r="C20" s="667"/>
      <c r="D20" s="667"/>
      <c r="E20" s="667"/>
      <c r="F20" s="667"/>
      <c r="G20" s="665"/>
      <c r="H20" s="676"/>
    </row>
    <row r="21" spans="1:8" ht="14.25">
      <c r="A21" s="678"/>
      <c r="B21" s="676"/>
      <c r="C21" s="667"/>
      <c r="D21" s="667"/>
      <c r="E21" s="667"/>
      <c r="F21" s="667"/>
      <c r="G21" s="665"/>
      <c r="H21" s="676"/>
    </row>
    <row r="22" spans="1:8" ht="14.25">
      <c r="A22" s="678"/>
      <c r="B22" s="676"/>
      <c r="C22" s="667"/>
      <c r="D22" s="667"/>
      <c r="E22" s="667"/>
      <c r="F22" s="667"/>
      <c r="G22" s="665"/>
      <c r="H22" s="676"/>
    </row>
    <row r="23" spans="1:8" ht="14.25">
      <c r="A23" s="678"/>
      <c r="B23" s="676"/>
      <c r="C23" s="667"/>
      <c r="D23" s="667"/>
      <c r="E23" s="667"/>
      <c r="F23" s="667"/>
      <c r="G23" s="665"/>
      <c r="H23" s="676"/>
    </row>
    <row r="24" spans="1:8" ht="14.25">
      <c r="A24" s="680"/>
      <c r="B24" s="676"/>
      <c r="C24" s="667"/>
      <c r="D24" s="667"/>
      <c r="E24" s="667"/>
      <c r="F24" s="667"/>
      <c r="G24" s="676"/>
      <c r="H24" s="676"/>
    </row>
    <row r="25" spans="1:8" ht="15">
      <c r="A25" s="680"/>
      <c r="B25" s="676"/>
      <c r="C25" s="667"/>
      <c r="D25" s="682"/>
      <c r="E25" s="667"/>
      <c r="F25" s="667"/>
      <c r="G25" s="676"/>
      <c r="H25" s="676"/>
    </row>
    <row r="26" spans="1:8" ht="14.25">
      <c r="A26" s="681"/>
      <c r="B26" s="681" t="s">
        <v>446</v>
      </c>
      <c r="C26" s="669">
        <v>330000</v>
      </c>
      <c r="D26" s="669">
        <v>323025.71000000002</v>
      </c>
      <c r="E26" s="669">
        <v>0</v>
      </c>
      <c r="F26" s="669">
        <v>6974.2899999999936</v>
      </c>
      <c r="G26" s="666">
        <v>0.97886578787878797</v>
      </c>
      <c r="H26" s="6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POs over $25k</vt:lpstr>
      <vt:lpstr>K-8 STEM</vt:lpstr>
      <vt:lpstr>Bus Barn</vt:lpstr>
      <vt:lpstr>Lakeside MS</vt:lpstr>
      <vt:lpstr>Zellars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2014-10-10T14:16:45Z</cp:lastPrinted>
  <dcterms:created xsi:type="dcterms:W3CDTF">2011-10-25T18:13:49Z</dcterms:created>
  <dcterms:modified xsi:type="dcterms:W3CDTF">2015-05-29T19:52:33Z</dcterms:modified>
</cp:coreProperties>
</file>