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95" windowWidth="15195" windowHeight="4860" activeTab="1"/>
  </bookViews>
  <sheets>
    <sheet name="GF Budget Amds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est" sheetId="5" r:id="rId7"/>
    <sheet name="Debt Srv Fund Invest" sheetId="10" r:id="rId8"/>
    <sheet name="Rev Exp All Funds" sheetId="9" r:id="rId9"/>
    <sheet name="Tax Collections" sheetId="7" r:id="rId10"/>
    <sheet name="K-8 STEM Academy " sheetId="13" r:id="rId11"/>
    <sheet name="LMS Renovations 2014" sheetId="14" r:id="rId12"/>
    <sheet name="Roofs" sheetId="15" r:id="rId13"/>
    <sheet name="LEHS Classroom Renovations" sheetId="17" r:id="rId14"/>
    <sheet name="LEHS LAB Renovations" sheetId="18" r:id="rId15"/>
    <sheet name="Zellars Renovations" sheetId="16" r:id="rId16"/>
  </sheets>
  <definedNames>
    <definedName name="_xlnm.Print_Area" localSheetId="0">'GF Budget Amds'!$A$4:$I$49</definedName>
    <definedName name="_xlnm.Print_Area" localSheetId="10">#REF!</definedName>
    <definedName name="_xlnm.Print_Area" localSheetId="13">#REF!</definedName>
    <definedName name="_xlnm.Print_Area" localSheetId="14">#REF!</definedName>
    <definedName name="_xlnm.Print_Area" localSheetId="11">#REF!</definedName>
    <definedName name="_xlnm.Print_Area" localSheetId="8">'Rev Exp All Funds'!$A$1:$BD$35</definedName>
    <definedName name="_xlnm.Print_Area" localSheetId="12">#REF!</definedName>
    <definedName name="_xlnm.Print_Area" localSheetId="2">'Stat of Unaudited'!$A$1:$I$62</definedName>
    <definedName name="_xlnm.Print_Area" localSheetId="9">'Tax Collections'!$A$1:$AC$66</definedName>
    <definedName name="_xlnm.Print_Area" localSheetId="15">#REF!</definedName>
    <definedName name="_xlnm.Print_Area">'Tax Collections'!$A$1:$AB$66</definedName>
    <definedName name="_xlnm.Print_Titles" localSheetId="0">'GF Budget Amds'!$1:$1</definedName>
  </definedNames>
  <calcPr calcId="144525"/>
</workbook>
</file>

<file path=xl/calcChain.xml><?xml version="1.0" encoding="utf-8"?>
<calcChain xmlns="http://schemas.openxmlformats.org/spreadsheetml/2006/main">
  <c r="F15" i="18" l="1"/>
  <c r="G15" i="18"/>
  <c r="F16" i="18"/>
  <c r="G16" i="18"/>
  <c r="L21" i="13"/>
  <c r="F14" i="16" l="1"/>
  <c r="G15" i="17"/>
  <c r="G16" i="17"/>
  <c r="G17" i="17"/>
  <c r="F15" i="17"/>
  <c r="F16" i="17"/>
  <c r="F17" i="17"/>
  <c r="AA48" i="7"/>
  <c r="AA46" i="7"/>
  <c r="AA26" i="7"/>
  <c r="AA24" i="7"/>
  <c r="D52" i="7"/>
  <c r="Q35" i="7" l="1"/>
  <c r="Q32" i="7"/>
  <c r="N25" i="7"/>
  <c r="N38" i="7"/>
  <c r="Q22" i="7"/>
  <c r="Q19" i="7"/>
  <c r="F52" i="7"/>
  <c r="F36" i="7"/>
  <c r="F35" i="7"/>
  <c r="F23" i="7"/>
  <c r="F22" i="7"/>
  <c r="D36" i="7"/>
  <c r="D35" i="7"/>
  <c r="D22" i="7"/>
  <c r="D23" i="7"/>
  <c r="AU19" i="9" l="1"/>
  <c r="AK19" i="9"/>
  <c r="AH19" i="9"/>
  <c r="W19" i="9"/>
  <c r="T19" i="9"/>
  <c r="Q19" i="9"/>
  <c r="L19" i="9"/>
  <c r="I19" i="9"/>
  <c r="F19" i="9"/>
  <c r="C19" i="9"/>
  <c r="E17" i="4"/>
  <c r="E14" i="4"/>
  <c r="O30" i="3"/>
  <c r="O7" i="3"/>
  <c r="O47" i="11"/>
  <c r="O48" i="11"/>
  <c r="O46" i="11"/>
  <c r="O7" i="11"/>
  <c r="F33" i="2" l="1"/>
  <c r="F30" i="2"/>
  <c r="F29" i="2"/>
  <c r="F28" i="2"/>
  <c r="F27" i="2"/>
  <c r="F26" i="2"/>
  <c r="F24" i="2"/>
  <c r="F23" i="2"/>
  <c r="F21" i="2"/>
  <c r="F20" i="2"/>
  <c r="F19" i="2"/>
  <c r="F18" i="2"/>
  <c r="F17" i="2"/>
  <c r="F16" i="2"/>
  <c r="I16" i="2"/>
  <c r="I10" i="2"/>
  <c r="E16" i="1"/>
  <c r="E10" i="1"/>
  <c r="F49" i="12" l="1"/>
  <c r="E24" i="18" l="1"/>
  <c r="D24" i="18"/>
  <c r="C24" i="18"/>
  <c r="G14" i="18"/>
  <c r="F14" i="18"/>
  <c r="F24" i="18" s="1"/>
  <c r="A10" i="18"/>
  <c r="E24" i="17"/>
  <c r="D24" i="17"/>
  <c r="C24" i="17"/>
  <c r="G24" i="17" s="1"/>
  <c r="G14" i="17"/>
  <c r="F14" i="17"/>
  <c r="F24" i="17" s="1"/>
  <c r="A10" i="17"/>
  <c r="A10" i="16"/>
  <c r="A10" i="15"/>
  <c r="A9" i="14"/>
  <c r="E24" i="16"/>
  <c r="D24" i="16"/>
  <c r="C24" i="16"/>
  <c r="G14" i="16"/>
  <c r="F24" i="16"/>
  <c r="M30" i="3"/>
  <c r="M7" i="3"/>
  <c r="M48" i="11"/>
  <c r="M47" i="11"/>
  <c r="M46" i="11"/>
  <c r="M7" i="11"/>
  <c r="G24" i="18" l="1"/>
  <c r="G24" i="16"/>
  <c r="D49" i="12" l="1"/>
  <c r="F24" i="15"/>
  <c r="E24" i="15"/>
  <c r="D24" i="15"/>
  <c r="C24" i="15"/>
  <c r="G24" i="15" s="1"/>
  <c r="G18" i="15"/>
  <c r="F18" i="15"/>
  <c r="G17" i="15"/>
  <c r="F17" i="15"/>
  <c r="G16" i="15"/>
  <c r="F16" i="15"/>
  <c r="G15" i="15"/>
  <c r="F15" i="15"/>
  <c r="G14" i="15"/>
  <c r="F14" i="15"/>
  <c r="C3" i="15"/>
  <c r="G24" i="14"/>
  <c r="E24" i="14"/>
  <c r="C24" i="14"/>
  <c r="G17" i="14"/>
  <c r="F17" i="14"/>
  <c r="H17" i="14" s="1"/>
  <c r="D17" i="14"/>
  <c r="I17" i="14" s="1"/>
  <c r="I16" i="14"/>
  <c r="F16" i="14"/>
  <c r="H16" i="14" s="1"/>
  <c r="D15" i="14"/>
  <c r="I15" i="14" s="1"/>
  <c r="I14" i="14"/>
  <c r="F14" i="14"/>
  <c r="D7" i="14"/>
  <c r="L29" i="13"/>
  <c r="J29" i="13"/>
  <c r="I29" i="13"/>
  <c r="H29" i="13"/>
  <c r="F29" i="13"/>
  <c r="D29" i="13"/>
  <c r="K27" i="13"/>
  <c r="N27" i="13" s="1"/>
  <c r="E27" i="13"/>
  <c r="M27" i="13" s="1"/>
  <c r="K26" i="13"/>
  <c r="N26" i="13" s="1"/>
  <c r="E26" i="13"/>
  <c r="M26" i="13" s="1"/>
  <c r="K25" i="13"/>
  <c r="N25" i="13" s="1"/>
  <c r="N24" i="13"/>
  <c r="K24" i="13"/>
  <c r="E24" i="13"/>
  <c r="M24" i="13" s="1"/>
  <c r="K23" i="13"/>
  <c r="C23" i="13"/>
  <c r="C29" i="13" s="1"/>
  <c r="K22" i="13"/>
  <c r="N22" i="13" s="1"/>
  <c r="E22" i="13"/>
  <c r="M22" i="13" s="1"/>
  <c r="G21" i="13"/>
  <c r="K21" i="13" s="1"/>
  <c r="N21" i="13" s="1"/>
  <c r="C21" i="13"/>
  <c r="E21" i="13" s="1"/>
  <c r="N20" i="13"/>
  <c r="M20" i="13"/>
  <c r="K20" i="13"/>
  <c r="E20" i="13"/>
  <c r="N19" i="13"/>
  <c r="M19" i="13"/>
  <c r="K19" i="13"/>
  <c r="E19" i="13"/>
  <c r="G18" i="13"/>
  <c r="K18" i="13" s="1"/>
  <c r="E18" i="13"/>
  <c r="N17" i="13"/>
  <c r="K17" i="13"/>
  <c r="E17" i="13"/>
  <c r="M17" i="13" s="1"/>
  <c r="C8" i="13"/>
  <c r="C6" i="13"/>
  <c r="F24" i="14" l="1"/>
  <c r="F15" i="14"/>
  <c r="H15" i="14" s="1"/>
  <c r="D24" i="14"/>
  <c r="I24" i="14" s="1"/>
  <c r="H14" i="14"/>
  <c r="H24" i="14" s="1"/>
  <c r="M21" i="13"/>
  <c r="K29" i="13"/>
  <c r="N18" i="13"/>
  <c r="M18" i="13"/>
  <c r="G29" i="13"/>
  <c r="E23" i="13"/>
  <c r="M25" i="13"/>
  <c r="M23" i="13" l="1"/>
  <c r="M29" i="13" s="1"/>
  <c r="N23" i="13"/>
  <c r="E29" i="13"/>
  <c r="E32" i="13" s="1"/>
  <c r="N29" i="13" l="1"/>
  <c r="H49" i="12" l="1"/>
  <c r="K30" i="3" l="1"/>
  <c r="K7" i="3"/>
  <c r="K48" i="11"/>
  <c r="K47" i="11"/>
  <c r="K46" i="11"/>
  <c r="K7" i="11"/>
  <c r="AH24" i="9" l="1"/>
  <c r="I30" i="3" l="1"/>
  <c r="I10" i="3"/>
  <c r="I7" i="3"/>
  <c r="I48" i="11"/>
  <c r="I47" i="11"/>
  <c r="I46" i="11"/>
  <c r="I7" i="11"/>
  <c r="G30" i="3" l="1"/>
  <c r="G7" i="3"/>
  <c r="G47" i="11"/>
  <c r="G48" i="11"/>
  <c r="G46" i="11"/>
  <c r="G7" i="1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N21" i="9"/>
  <c r="AP21" i="9" s="1"/>
  <c r="AP19" i="9"/>
  <c r="AN14" i="9"/>
  <c r="AP14" i="9" s="1"/>
  <c r="AP12" i="9"/>
  <c r="AK24" i="9"/>
  <c r="AM19" i="9"/>
  <c r="AJ19" i="9"/>
  <c r="AK14" i="9"/>
  <c r="AM14" i="9" s="1"/>
  <c r="AJ14" i="9"/>
  <c r="AM12" i="9"/>
  <c r="AJ12" i="9"/>
  <c r="AK21" i="9" l="1"/>
  <c r="AM21" i="9" s="1"/>
  <c r="AH21" i="9"/>
  <c r="AJ21" i="9" s="1"/>
  <c r="E30" i="3" l="1"/>
  <c r="E7" i="3"/>
  <c r="E48" i="11"/>
  <c r="E47" i="11"/>
  <c r="E46" i="11"/>
  <c r="E7" i="1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2" i="7"/>
  <c r="AA29" i="7"/>
  <c r="Q27" i="7"/>
  <c r="R27" i="7" s="1"/>
  <c r="F27" i="7"/>
  <c r="H27" i="7" s="1"/>
  <c r="D27" i="7"/>
  <c r="N22" i="7"/>
  <c r="N48" i="7" s="1"/>
  <c r="R19" i="7"/>
  <c r="N19" i="7"/>
  <c r="O19" i="7" s="1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E85" i="1" s="1"/>
  <c r="H44" i="1"/>
  <c r="H90" i="1"/>
  <c r="J85" i="1"/>
  <c r="I85" i="1" s="1"/>
  <c r="F61" i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N27" i="7"/>
  <c r="O27" i="7" s="1"/>
  <c r="D55" i="7"/>
  <c r="F90" i="1" l="1"/>
  <c r="E43" i="1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S30" i="3" s="1"/>
  <c r="U30" i="3" s="1"/>
  <c r="AB41" i="11"/>
  <c r="AB43" i="11" s="1"/>
  <c r="N54" i="7"/>
  <c r="G43" i="11" l="1"/>
  <c r="G56" i="11" s="1"/>
  <c r="AB36" i="3"/>
  <c r="M34" i="3"/>
  <c r="O34" i="3" s="1"/>
  <c r="I27" i="3"/>
  <c r="G36" i="3"/>
  <c r="AB56" i="11"/>
  <c r="E8" i="4"/>
  <c r="E20" i="4" s="1"/>
  <c r="Q34" i="3"/>
  <c r="I43" i="11" l="1"/>
  <c r="K43" i="11" s="1"/>
  <c r="K27" i="3"/>
  <c r="I36" i="3"/>
  <c r="E38" i="4"/>
  <c r="S34" i="3"/>
  <c r="I56" i="11" l="1"/>
  <c r="M43" i="11"/>
  <c r="K56" i="11"/>
  <c r="M27" i="3"/>
  <c r="K36" i="3"/>
  <c r="W30" i="3"/>
  <c r="Y30" i="3" s="1"/>
  <c r="U34" i="3"/>
  <c r="M56" i="11" l="1"/>
  <c r="O43" i="11"/>
  <c r="O27" i="3"/>
  <c r="M36" i="3"/>
  <c r="W34" i="3"/>
  <c r="Y34" i="3"/>
  <c r="Q43" i="11" l="1"/>
  <c r="O56" i="11"/>
  <c r="Q27" i="3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O18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Impact Aid $428,599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AA26" authorId="0">
      <text>
        <r>
          <rPr>
            <b/>
            <sz val="9"/>
            <color indexed="81"/>
            <rFont val="Tahoma"/>
            <charset val="1"/>
          </rPr>
          <t>Rollback taxes</t>
        </r>
      </text>
    </comment>
  </commentList>
</comments>
</file>

<file path=xl/sharedStrings.xml><?xml version="1.0" encoding="utf-8"?>
<sst xmlns="http://schemas.openxmlformats.org/spreadsheetml/2006/main" count="974" uniqueCount="447">
  <si>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</si>
  <si>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</si>
  <si>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</si>
  <si>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</si>
  <si>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</si>
  <si>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</si>
  <si>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</si>
  <si>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</si>
  <si>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</si>
  <si>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</si>
  <si>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</si>
  <si>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</si>
  <si>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</si>
  <si>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</si>
  <si>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</si>
  <si>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</si>
  <si>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</si>
  <si>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</si>
  <si>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</si>
  <si>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</si>
  <si>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</si>
  <si>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</si>
  <si>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</si>
  <si>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</si>
  <si>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</si>
  <si>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</si>
  <si>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</si>
  <si>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</si>
  <si>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</si>
  <si>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</si>
  <si>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</si>
  <si>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</si>
  <si>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</si>
  <si>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</si>
  <si>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</si>
  <si>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</si>
  <si>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</si>
  <si>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</si>
  <si>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</si>
  <si>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</si>
  <si>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</si>
  <si>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</si>
  <si>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</si>
  <si>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</si>
  <si>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</si>
  <si>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</si>
  <si>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</si>
  <si>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</si>
  <si>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</si>
  <si>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</si>
  <si>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</si>
  <si>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</si>
  <si>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</si>
  <si>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</si>
  <si>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</si>
  <si>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</si>
  <si>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</si>
  <si>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</si>
  <si>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</si>
  <si>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</si>
  <si>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</si>
  <si>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</si>
  <si>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</si>
  <si>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</si>
  <si>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</si>
  <si>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</si>
  <si>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</si>
  <si>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</si>
  <si>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</si>
  <si>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</si>
  <si>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</si>
  <si>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</si>
  <si>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</si>
  <si>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</si>
  <si>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</si>
  <si>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</si>
  <si>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</si>
  <si>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</si>
  <si>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</si>
  <si>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</si>
  <si>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</si>
  <si>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</si>
  <si>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</si>
  <si>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</si>
  <si>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</si>
  <si>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</si>
  <si>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</si>
  <si>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</si>
  <si>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</si>
  <si>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</si>
  <si>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</si>
  <si>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</si>
  <si>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</si>
  <si>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</si>
  <si>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</si>
  <si>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</si>
  <si>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</si>
  <si>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</si>
  <si>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</si>
  <si>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</si>
  <si>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</si>
  <si>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</si>
  <si>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</si>
  <si>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</si>
  <si>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</si>
  <si>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</si>
  <si>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</si>
  <si>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</si>
  <si>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</si>
  <si>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</si>
  <si>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</si>
  <si>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</si>
  <si>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</si>
  <si>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</si>
  <si>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</si>
  <si>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</si>
  <si>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</si>
  <si>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</si>
  <si>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</si>
  <si>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</si>
  <si>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</si>
  <si>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</si>
  <si>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</si>
  <si>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</si>
  <si>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</si>
  <si>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</si>
  <si>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</si>
  <si>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</si>
  <si>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</si>
  <si>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</si>
  <si>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</si>
  <si>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</si>
  <si>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</si>
  <si>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</si>
  <si>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</si>
  <si>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</si>
  <si>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</si>
  <si>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</si>
  <si>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</si>
  <si>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</si>
  <si>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</si>
  <si>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</si>
  <si>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</si>
  <si>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</si>
  <si>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</si>
  <si>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</si>
  <si>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</si>
  <si>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</si>
  <si>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</si>
  <si>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</si>
  <si>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</si>
  <si>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</si>
  <si>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</si>
  <si>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</si>
  <si>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</si>
  <si>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</si>
  <si>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</si>
  <si>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</si>
  <si>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</si>
  <si>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</si>
  <si>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</si>
  <si>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</si>
  <si>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</si>
  <si>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</si>
  <si>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</si>
  <si>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</si>
  <si>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</si>
  <si>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</si>
  <si>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</si>
  <si>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</si>
  <si>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</si>
  <si>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</si>
  <si>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</si>
  <si>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</si>
  <si>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</si>
  <si>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</si>
  <si>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</si>
  <si>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</si>
  <si>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</si>
  <si>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</si>
  <si>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</si>
  <si>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</si>
  <si>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</si>
  <si>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</si>
  <si>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</si>
  <si>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</si>
  <si>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</si>
  <si>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</si>
  <si>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</si>
  <si>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</si>
  <si>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</si>
  <si>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</si>
  <si>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</si>
  <si>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</si>
  <si>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</si>
  <si>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</si>
  <si>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</si>
  <si>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</si>
  <si>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</si>
  <si>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</si>
  <si>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</si>
  <si>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</si>
  <si>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</si>
  <si>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</si>
  <si>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</si>
  <si>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</si>
  <si>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</si>
  <si>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</si>
  <si>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</si>
  <si>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</si>
  <si>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</si>
  <si>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</si>
  <si>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</si>
  <si>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</si>
  <si>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</si>
  <si>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</si>
  <si>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</si>
  <si>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</si>
  <si>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</si>
  <si>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</si>
  <si>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</si>
  <si>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</si>
  <si>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</si>
  <si>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</si>
  <si>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</si>
  <si>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</si>
  <si>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</si>
  <si>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</si>
  <si>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</si>
  <si>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</si>
  <si>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</si>
  <si>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</si>
  <si>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</si>
  <si>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</si>
  <si>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</si>
  <si>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</si>
  <si>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</si>
  <si>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</si>
  <si>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</si>
  <si>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</si>
  <si>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</si>
  <si>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</si>
  <si>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</si>
  <si>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</si>
  <si>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</si>
  <si>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</si>
  <si>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</si>
  <si>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</si>
  <si>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</si>
  <si>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</si>
  <si>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</si>
  <si>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</si>
  <si>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</si>
  <si>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</si>
  <si>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</si>
  <si>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</si>
  <si>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</si>
  <si>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</si>
  <si>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</si>
  <si>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</si>
  <si>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</si>
  <si>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</si>
  <si>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</si>
  <si>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</si>
  <si>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</si>
  <si>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</si>
  <si>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</si>
  <si>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</si>
  <si>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</si>
  <si>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</si>
  <si>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</si>
  <si>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</si>
  <si>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</si>
  <si>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</si>
  <si>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</si>
  <si>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</si>
  <si>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</si>
  <si>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</si>
  <si>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</si>
  <si>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</si>
  <si>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</si>
  <si>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</si>
  <si>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</si>
  <si>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</si>
  <si>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</si>
  <si>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</si>
  <si>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</si>
  <si>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</si>
  <si>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</si>
  <si>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</si>
  <si>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</si>
  <si>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</si>
  <si>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</si>
  <si>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</si>
  <si>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</si>
  <si>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</si>
  <si>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</si>
  <si>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</si>
  <si>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</si>
  <si>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</si>
  <si>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</si>
  <si>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</si>
  <si>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</si>
  <si>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</si>
  <si>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</si>
  <si>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</si>
  <si>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</si>
  <si>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</si>
  <si>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</si>
  <si>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</si>
  <si>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</si>
  <si>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</si>
  <si>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</si>
  <si>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</si>
  <si>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</si>
  <si>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</si>
  <si>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</si>
  <si>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</si>
  <si>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</si>
  <si>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</si>
  <si>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</si>
  <si>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</si>
  <si>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</si>
  <si>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</si>
  <si>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</si>
  <si>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</si>
  <si>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</si>
  <si>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</si>
  <si>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</si>
  <si>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</si>
  <si>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</si>
  <si>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</si>
  <si>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</si>
  <si>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</si>
  <si>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</si>
  <si>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</si>
  <si>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</si>
  <si>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</si>
  <si>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</si>
  <si>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</si>
  <si>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</si>
  <si>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</si>
  <si>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</si>
  <si>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</si>
  <si>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</si>
  <si>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</si>
  <si>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</si>
  <si>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</si>
  <si>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</si>
  <si>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</si>
  <si>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</si>
  <si>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</si>
  <si>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</si>
  <si>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</si>
  <si>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</si>
  <si>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</si>
  <si>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</si>
  <si>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</si>
  <si>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</si>
  <si>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</si>
  <si>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</si>
  <si>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</si>
  <si>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</si>
  <si>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</si>
  <si>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</si>
  <si>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</si>
  <si>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</si>
  <si>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</si>
  <si>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</si>
  <si>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</si>
  <si>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</si>
  <si>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</si>
  <si>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</si>
  <si>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</si>
  <si>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</si>
  <si>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</si>
  <si>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</si>
  <si>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</si>
  <si>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</si>
  <si>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</si>
  <si>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</si>
  <si>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</si>
  <si>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</si>
  <si>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</si>
  <si>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</si>
  <si>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</si>
  <si>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</si>
  <si>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</si>
  <si>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</si>
  <si>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</si>
  <si>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</si>
  <si>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</si>
  <si>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</si>
  <si>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</si>
  <si>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</si>
  <si>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</si>
  <si>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</si>
  <si>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</si>
  <si>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</si>
  <si>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ZELLARS RENOVATION PROJECT</t>
  </si>
  <si>
    <t>199-81-6629-00-999-599003</t>
  </si>
  <si>
    <t>Zellars Renovations</t>
  </si>
  <si>
    <t>LITTLE ELM HIGH SCHOOL TRADE &amp; INDUSTRY LAB / CLASSROOM RENOVATIONS</t>
  </si>
  <si>
    <t>199-81-6629-00-001-599002</t>
  </si>
  <si>
    <t>LITTLE ELM HIGH SCHOOL CLASSROOM RENOVATIONS</t>
  </si>
  <si>
    <t>Increase budget by amount received for district track fees</t>
  </si>
  <si>
    <t>as of March 31, 2015</t>
  </si>
  <si>
    <r>
      <t xml:space="preserve">EST FUND BALANCE </t>
    </r>
    <r>
      <rPr>
        <b/>
        <sz val="10"/>
        <color theme="3" tint="0.39997558519241921"/>
        <rFont val="Geneva"/>
      </rPr>
      <t>03/31/15</t>
    </r>
  </si>
  <si>
    <t>As of March 31, 2015</t>
  </si>
  <si>
    <t>MONTH ENDED:  March 31, 2015</t>
  </si>
  <si>
    <t>MONTH ENDED: March 31, 2015</t>
  </si>
  <si>
    <t>Summary of Revenue &amp; Expenditures As Of  03/31/15</t>
  </si>
  <si>
    <t>Accounting Period: 03</t>
  </si>
  <si>
    <t>Month of March</t>
  </si>
  <si>
    <t>10/1/14 thru 03/31/15</t>
  </si>
  <si>
    <t>March 2015</t>
  </si>
  <si>
    <t>March 2014</t>
  </si>
  <si>
    <t>Expenditures as of 05/01/15</t>
  </si>
  <si>
    <t>Reallocate funds to cover supply costs</t>
  </si>
  <si>
    <t>Increase budget by amount received for playoff host fees</t>
  </si>
  <si>
    <t>To increase the budget by the amount of transcript fees</t>
  </si>
  <si>
    <t>To reallocate funds to cover employee travel</t>
  </si>
  <si>
    <t>To reallocate funds to cover library supplies</t>
  </si>
  <si>
    <t>To reallocate funds to cover student travel</t>
  </si>
  <si>
    <t>To reallocate funds to cover counselor travel</t>
  </si>
  <si>
    <t>To reallocate funds to cover contracted services</t>
  </si>
  <si>
    <t>Purchase of math textbooks approved by the Board in April</t>
  </si>
  <si>
    <t>Increase budget by amount received for Tuition Based Pre-K program</t>
  </si>
  <si>
    <t>Reallocate funds to cover maintenance and repair</t>
  </si>
  <si>
    <r>
      <t>Tax Levy Remaining as of</t>
    </r>
    <r>
      <rPr>
        <sz val="12"/>
        <color theme="4"/>
        <rFont val="Arial"/>
        <family val="2"/>
      </rPr>
      <t xml:space="preserve"> 03/01/15</t>
    </r>
  </si>
  <si>
    <r>
      <t xml:space="preserve">Remaining Levy as of </t>
    </r>
    <r>
      <rPr>
        <sz val="12"/>
        <color theme="4"/>
        <rFont val="Arial"/>
        <family val="2"/>
      </rPr>
      <t xml:space="preserve"> 03/31/15</t>
    </r>
  </si>
  <si>
    <r>
      <t xml:space="preserve">Cumulative (From 10/01/14 thru </t>
    </r>
    <r>
      <rPr>
        <sz val="12"/>
        <color theme="4"/>
        <rFont val="Arial"/>
        <family val="2"/>
      </rPr>
      <t>03/31/15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</si>
  <si>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3" tint="0.39997558519241921"/>
        <rFont val="Arial"/>
        <family val="2"/>
      </rPr>
      <t>03/31/15</t>
    </r>
  </si>
  <si>
    <t>199-81-6629-00-001-599001</t>
  </si>
  <si>
    <t>LEHS Classrooms - Architect</t>
  </si>
  <si>
    <t>199-81-6629-01-001-599001</t>
  </si>
  <si>
    <t>LEHS Classrooms - Construction</t>
  </si>
  <si>
    <t>199-81-6629-02-001-599001</t>
  </si>
  <si>
    <t>LEHS Classrooms - FF&amp;E</t>
  </si>
  <si>
    <t>LEHS Classrooms - Shelving</t>
  </si>
  <si>
    <t>199-81-6629-03-001-599001</t>
  </si>
  <si>
    <t>LEHS CTE Lab - Architect</t>
  </si>
  <si>
    <t>199-81-6629-01-001-599002</t>
  </si>
  <si>
    <t>LEHS CTE Lab - Construction</t>
  </si>
  <si>
    <t>199-81-6629-02-001-599002</t>
  </si>
  <si>
    <t>LEHS CTE Lab - FF&amp;E</t>
  </si>
  <si>
    <t>Reallocate funds to cover employee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</si>
</sst>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4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3" tint="0.39997558519241921"/>
      <name val="Geneva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3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3" fontId="7" fillId="0" borderId="0" xfId="13" applyNumberFormat="1" applyFont="1" applyBorder="1" applyAlignment="1">
      <alignment horizontal="center"/>
    </xf>
    <xf numFmtId="3" fontId="7" fillId="0" borderId="0" xfId="13" applyNumberFormat="1" applyFont="1" applyBorder="1" applyAlignment="1"/>
    <xf numFmtId="0" fontId="45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0" fontId="32" fillId="0" borderId="0" xfId="13" applyFont="1" applyAlignment="1">
      <alignment horizontal="left"/>
    </xf>
    <xf numFmtId="0" fontId="46" fillId="0" borderId="0" xfId="13" applyFont="1"/>
    <xf numFmtId="0" fontId="46" fillId="0" borderId="0" xfId="13" applyFont="1" applyAlignment="1">
      <alignment horizontal="center"/>
    </xf>
    <xf numFmtId="3" fontId="46" fillId="0" borderId="0" xfId="13" applyNumberFormat="1" applyFont="1"/>
    <xf numFmtId="3" fontId="46" fillId="0" borderId="0" xfId="13" applyNumberFormat="1" applyFont="1" applyAlignment="1">
      <alignment horizontal="center"/>
    </xf>
    <xf numFmtId="3" fontId="46" fillId="0" borderId="0" xfId="13" applyNumberFormat="1" applyFont="1" applyAlignment="1"/>
    <xf numFmtId="0" fontId="46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4" fontId="8" fillId="0" borderId="40" xfId="13" applyNumberFormat="1" applyFont="1" applyBorder="1" applyAlignment="1"/>
    <xf numFmtId="174" fontId="7" fillId="0" borderId="40" xfId="13" applyNumberFormat="1" applyFont="1" applyBorder="1" applyAlignment="1"/>
    <xf numFmtId="174" fontId="7" fillId="0" borderId="40" xfId="13" applyNumberFormat="1" applyFont="1" applyBorder="1" applyAlignment="1">
      <alignment horizontal="right"/>
    </xf>
    <xf numFmtId="174" fontId="7" fillId="0" borderId="40" xfId="13" applyNumberFormat="1" applyFont="1" applyBorder="1"/>
    <xf numFmtId="174" fontId="28" fillId="0" borderId="0" xfId="13" applyNumberFormat="1" applyFont="1" applyAlignment="1"/>
    <xf numFmtId="174" fontId="46" fillId="0" borderId="0" xfId="13" applyNumberFormat="1" applyFont="1" applyAlignment="1"/>
    <xf numFmtId="174" fontId="3" fillId="0" borderId="0" xfId="14" applyNumberFormat="1"/>
    <xf numFmtId="175" fontId="7" fillId="0" borderId="40" xfId="13" applyNumberFormat="1" applyFont="1" applyBorder="1" applyAlignment="1">
      <alignment horizontal="center"/>
    </xf>
    <xf numFmtId="175" fontId="8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6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8" fillId="0" borderId="0" xfId="27" applyFont="1"/>
    <xf numFmtId="0" fontId="49" fillId="0" borderId="0" xfId="27" applyFont="1"/>
    <xf numFmtId="43" fontId="49" fillId="0" borderId="0" xfId="16" applyFont="1"/>
    <xf numFmtId="43" fontId="7" fillId="0" borderId="0" xfId="16" applyFont="1"/>
    <xf numFmtId="0" fontId="7" fillId="0" borderId="0" xfId="27"/>
    <xf numFmtId="43" fontId="50" fillId="0" borderId="0" xfId="16" applyFont="1" applyBorder="1"/>
    <xf numFmtId="0" fontId="7" fillId="0" borderId="0" xfId="27" applyFont="1"/>
    <xf numFmtId="43" fontId="50" fillId="0" borderId="26" xfId="16" applyFont="1" applyBorder="1"/>
    <xf numFmtId="44" fontId="50" fillId="0" borderId="0" xfId="19" applyFont="1" applyBorder="1"/>
    <xf numFmtId="0" fontId="51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50" fillId="8" borderId="40" xfId="27" applyFont="1" applyFill="1" applyBorder="1" applyAlignment="1">
      <alignment horizontal="center" wrapText="1"/>
    </xf>
    <xf numFmtId="0" fontId="50" fillId="8" borderId="40" xfId="27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/>
    </xf>
    <xf numFmtId="43" fontId="50" fillId="6" borderId="43" xfId="16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 wrapText="1"/>
    </xf>
    <xf numFmtId="0" fontId="50" fillId="7" borderId="40" xfId="27" applyFont="1" applyFill="1" applyBorder="1" applyAlignment="1">
      <alignment horizontal="center" wrapText="1"/>
    </xf>
    <xf numFmtId="0" fontId="50" fillId="7" borderId="41" xfId="27" applyFont="1" applyFill="1" applyBorder="1" applyAlignment="1">
      <alignment horizontal="center" wrapText="1"/>
    </xf>
    <xf numFmtId="0" fontId="50" fillId="7" borderId="2" xfId="27" applyFont="1" applyFill="1" applyBorder="1" applyAlignment="1">
      <alignment horizontal="center" wrapText="1"/>
    </xf>
    <xf numFmtId="0" fontId="50" fillId="8" borderId="43" xfId="27" applyFont="1" applyFill="1" applyBorder="1" applyAlignment="1">
      <alignment horizontal="center" wrapText="1"/>
    </xf>
    <xf numFmtId="43" fontId="50" fillId="8" borderId="40" xfId="16" applyFont="1" applyFill="1" applyBorder="1" applyAlignment="1">
      <alignment horizontal="center" wrapText="1"/>
    </xf>
    <xf numFmtId="0" fontId="50" fillId="0" borderId="40" xfId="27" applyFont="1" applyBorder="1"/>
    <xf numFmtId="6" fontId="50" fillId="0" borderId="40" xfId="27" applyNumberFormat="1" applyFont="1" applyBorder="1"/>
    <xf numFmtId="43" fontId="50" fillId="0" borderId="40" xfId="16" applyFont="1" applyBorder="1"/>
    <xf numFmtId="43" fontId="50" fillId="0" borderId="43" xfId="16" applyFont="1" applyBorder="1"/>
    <xf numFmtId="1" fontId="50" fillId="0" borderId="40" xfId="27" applyNumberFormat="1" applyFont="1" applyBorder="1" applyAlignment="1">
      <alignment horizontal="center"/>
    </xf>
    <xf numFmtId="43" fontId="50" fillId="0" borderId="40" xfId="17" applyFont="1" applyBorder="1"/>
    <xf numFmtId="43" fontId="50" fillId="4" borderId="40" xfId="17" applyFont="1" applyFill="1" applyBorder="1"/>
    <xf numFmtId="9" fontId="50" fillId="0" borderId="40" xfId="39" applyFont="1" applyBorder="1"/>
    <xf numFmtId="43" fontId="50" fillId="0" borderId="25" xfId="16" applyFont="1" applyBorder="1"/>
    <xf numFmtId="0" fontId="50" fillId="0" borderId="40" xfId="27" applyFont="1" applyBorder="1" applyAlignment="1">
      <alignment wrapText="1"/>
    </xf>
    <xf numFmtId="165" fontId="50" fillId="0" borderId="43" xfId="16" applyNumberFormat="1" applyFont="1" applyBorder="1" applyAlignment="1">
      <alignment wrapText="1"/>
    </xf>
    <xf numFmtId="1" fontId="50" fillId="0" borderId="40" xfId="27" applyNumberFormat="1" applyFont="1" applyBorder="1"/>
    <xf numFmtId="43" fontId="14" fillId="0" borderId="40" xfId="17" applyFont="1" applyBorder="1"/>
    <xf numFmtId="0" fontId="50" fillId="8" borderId="40" xfId="27" applyFont="1" applyFill="1" applyBorder="1"/>
    <xf numFmtId="43" fontId="50" fillId="6" borderId="40" xfId="16" applyFont="1" applyFill="1" applyBorder="1"/>
    <xf numFmtId="43" fontId="50" fillId="7" borderId="40" xfId="16" applyFont="1" applyFill="1" applyBorder="1"/>
    <xf numFmtId="43" fontId="50" fillId="8" borderId="40" xfId="17" applyFont="1" applyFill="1" applyBorder="1"/>
    <xf numFmtId="43" fontId="50" fillId="8" borderId="40" xfId="16" applyFont="1" applyFill="1" applyBorder="1"/>
    <xf numFmtId="9" fontId="50" fillId="8" borderId="40" xfId="39" applyFont="1" applyFill="1" applyBorder="1"/>
    <xf numFmtId="0" fontId="50" fillId="8" borderId="27" xfId="27" applyFont="1" applyFill="1" applyBorder="1" applyAlignment="1">
      <alignment horizontal="center" wrapText="1"/>
    </xf>
    <xf numFmtId="0" fontId="50" fillId="8" borderId="27" xfId="27" applyFont="1" applyFill="1" applyBorder="1" applyAlignment="1">
      <alignment horizontal="center"/>
    </xf>
    <xf numFmtId="0" fontId="50" fillId="8" borderId="40" xfId="27" applyFont="1" applyFill="1" applyBorder="1" applyAlignment="1">
      <alignment horizontal="centerContinuous" wrapText="1"/>
    </xf>
    <xf numFmtId="0" fontId="50" fillId="8" borderId="2" xfId="27" applyFont="1" applyFill="1" applyBorder="1" applyAlignment="1">
      <alignment horizontal="center" wrapText="1"/>
    </xf>
    <xf numFmtId="0" fontId="50" fillId="8" borderId="2" xfId="27" applyFont="1" applyFill="1" applyBorder="1" applyAlignment="1">
      <alignment horizontal="center"/>
    </xf>
    <xf numFmtId="44" fontId="50" fillId="0" borderId="40" xfId="19" applyFont="1" applyBorder="1"/>
    <xf numFmtId="43" fontId="50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50" fillId="0" borderId="0" xfId="19" applyNumberFormat="1" applyFont="1" applyBorder="1"/>
    <xf numFmtId="175" fontId="8" fillId="0" borderId="40" xfId="13" applyNumberFormat="1" applyFont="1" applyBorder="1" applyAlignment="1">
      <alignment horizontal="right"/>
    </xf>
    <xf numFmtId="0" fontId="3" fillId="0" borderId="0" xfId="14" applyFont="1"/>
    <xf numFmtId="0" fontId="0" fillId="0" borderId="0" xfId="14" applyFont="1"/>
    <xf numFmtId="38" fontId="7" fillId="0" borderId="40" xfId="1" applyNumberFormat="1" applyFont="1" applyBorder="1" applyAlignment="1">
      <alignment horizontal="center" wrapText="1"/>
    </xf>
    <xf numFmtId="38" fontId="8" fillId="0" borderId="40" xfId="1" applyNumberFormat="1" applyFont="1" applyBorder="1" applyAlignment="1"/>
    <xf numFmtId="38" fontId="7" fillId="0" borderId="40" xfId="1" applyNumberFormat="1" applyFont="1" applyBorder="1"/>
    <xf numFmtId="38" fontId="7" fillId="0" borderId="40" xfId="1" applyNumberFormat="1" applyFont="1" applyBorder="1" applyAlignment="1">
      <alignment horizontal="right"/>
    </xf>
    <xf numFmtId="38" fontId="32" fillId="0" borderId="0" xfId="1" applyNumberFormat="1" applyFont="1" applyAlignment="1"/>
    <xf numFmtId="38" fontId="46" fillId="0" borderId="0" xfId="1" applyNumberFormat="1" applyFont="1" applyAlignment="1"/>
    <xf numFmtId="38" fontId="28" fillId="0" borderId="0" xfId="1" applyNumberFormat="1" applyFont="1" applyAlignment="1"/>
    <xf numFmtId="38" fontId="3" fillId="0" borderId="0" xfId="1" applyNumberFormat="1"/>
    <xf numFmtId="43" fontId="7" fillId="4" borderId="5" xfId="9" applyNumberFormat="1" applyFill="1" applyBorder="1"/>
    <xf numFmtId="43" fontId="36" fillId="4" borderId="5" xfId="9" applyNumberFormat="1" applyFont="1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43" fontId="7" fillId="4" borderId="7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>
      <selection activeCell="F44" sqref="F44"/>
    </sheetView>
  </sheetViews>
  <sheetFormatPr defaultRowHeight="12.75"/>
  <cols>
    <col min="1" max="1" width="4" style="509" customWidth="1"/>
    <col min="2" max="2" width="6.28515625" style="509" customWidth="1"/>
    <col min="3" max="3" width="3.7109375" style="546" customWidth="1"/>
    <col min="4" max="4" width="14" style="509" customWidth="1"/>
    <col min="5" max="5" width="5" style="509" customWidth="1"/>
    <col min="6" max="6" width="11.42578125" style="509" bestFit="1" customWidth="1"/>
    <col min="7" max="7" width="5.85546875" style="541" customWidth="1"/>
    <col min="8" max="8" width="11.42578125" style="618" bestFit="1" customWidth="1"/>
    <col min="9" max="9" width="21.28515625" style="509" customWidth="1"/>
    <col min="10" max="254" width="9.140625" style="509"/>
    <col min="255" max="255" width="4" style="509" customWidth="1"/>
    <col min="256" max="256" width="6.28515625" style="509" customWidth="1"/>
    <col min="257" max="257" width="3.7109375" style="509" customWidth="1"/>
    <col min="258" max="258" width="14" style="509" customWidth="1"/>
    <col min="259" max="259" width="5" style="509" customWidth="1"/>
    <col min="260" max="260" width="11.42578125" style="509" bestFit="1" customWidth="1"/>
    <col min="261" max="261" width="5.85546875" style="509" customWidth="1"/>
    <col min="262" max="262" width="11.42578125" style="509" bestFit="1" customWidth="1"/>
    <col min="263" max="263" width="21.28515625" style="509" customWidth="1"/>
    <col min="264" max="510" width="9.140625" style="509"/>
    <col min="511" max="511" width="4" style="509" customWidth="1"/>
    <col min="512" max="512" width="6.28515625" style="509" customWidth="1"/>
    <col min="513" max="513" width="3.7109375" style="509" customWidth="1"/>
    <col min="514" max="514" width="14" style="509" customWidth="1"/>
    <col min="515" max="515" width="5" style="509" customWidth="1"/>
    <col min="516" max="516" width="11.42578125" style="509" bestFit="1" customWidth="1"/>
    <col min="517" max="517" width="5.85546875" style="509" customWidth="1"/>
    <col min="518" max="518" width="11.42578125" style="509" bestFit="1" customWidth="1"/>
    <col min="519" max="519" width="21.28515625" style="509" customWidth="1"/>
    <col min="520" max="766" width="9.140625" style="509"/>
    <col min="767" max="767" width="4" style="509" customWidth="1"/>
    <col min="768" max="768" width="6.28515625" style="509" customWidth="1"/>
    <col min="769" max="769" width="3.7109375" style="509" customWidth="1"/>
    <col min="770" max="770" width="14" style="509" customWidth="1"/>
    <col min="771" max="771" width="5" style="509" customWidth="1"/>
    <col min="772" max="772" width="11.42578125" style="509" bestFit="1" customWidth="1"/>
    <col min="773" max="773" width="5.85546875" style="509" customWidth="1"/>
    <col min="774" max="774" width="11.42578125" style="509" bestFit="1" customWidth="1"/>
    <col min="775" max="775" width="21.28515625" style="509" customWidth="1"/>
    <col min="776" max="1022" width="9.140625" style="509"/>
    <col min="1023" max="1023" width="4" style="509" customWidth="1"/>
    <col min="1024" max="1024" width="6.28515625" style="509" customWidth="1"/>
    <col min="1025" max="1025" width="3.7109375" style="509" customWidth="1"/>
    <col min="1026" max="1026" width="14" style="509" customWidth="1"/>
    <col min="1027" max="1027" width="5" style="509" customWidth="1"/>
    <col min="1028" max="1028" width="11.42578125" style="509" bestFit="1" customWidth="1"/>
    <col min="1029" max="1029" width="5.85546875" style="509" customWidth="1"/>
    <col min="1030" max="1030" width="11.42578125" style="509" bestFit="1" customWidth="1"/>
    <col min="1031" max="1031" width="21.28515625" style="509" customWidth="1"/>
    <col min="1032" max="1278" width="9.140625" style="509"/>
    <col min="1279" max="1279" width="4" style="509" customWidth="1"/>
    <col min="1280" max="1280" width="6.28515625" style="509" customWidth="1"/>
    <col min="1281" max="1281" width="3.7109375" style="509" customWidth="1"/>
    <col min="1282" max="1282" width="14" style="509" customWidth="1"/>
    <col min="1283" max="1283" width="5" style="509" customWidth="1"/>
    <col min="1284" max="1284" width="11.42578125" style="509" bestFit="1" customWidth="1"/>
    <col min="1285" max="1285" width="5.85546875" style="509" customWidth="1"/>
    <col min="1286" max="1286" width="11.42578125" style="509" bestFit="1" customWidth="1"/>
    <col min="1287" max="1287" width="21.28515625" style="509" customWidth="1"/>
    <col min="1288" max="1534" width="9.140625" style="509"/>
    <col min="1535" max="1535" width="4" style="509" customWidth="1"/>
    <col min="1536" max="1536" width="6.28515625" style="509" customWidth="1"/>
    <col min="1537" max="1537" width="3.7109375" style="509" customWidth="1"/>
    <col min="1538" max="1538" width="14" style="509" customWidth="1"/>
    <col min="1539" max="1539" width="5" style="509" customWidth="1"/>
    <col min="1540" max="1540" width="11.42578125" style="509" bestFit="1" customWidth="1"/>
    <col min="1541" max="1541" width="5.85546875" style="509" customWidth="1"/>
    <col min="1542" max="1542" width="11.42578125" style="509" bestFit="1" customWidth="1"/>
    <col min="1543" max="1543" width="21.28515625" style="509" customWidth="1"/>
    <col min="1544" max="1790" width="9.140625" style="509"/>
    <col min="1791" max="1791" width="4" style="509" customWidth="1"/>
    <col min="1792" max="1792" width="6.28515625" style="509" customWidth="1"/>
    <col min="1793" max="1793" width="3.7109375" style="509" customWidth="1"/>
    <col min="1794" max="1794" width="14" style="509" customWidth="1"/>
    <col min="1795" max="1795" width="5" style="509" customWidth="1"/>
    <col min="1796" max="1796" width="11.42578125" style="509" bestFit="1" customWidth="1"/>
    <col min="1797" max="1797" width="5.85546875" style="509" customWidth="1"/>
    <col min="1798" max="1798" width="11.42578125" style="509" bestFit="1" customWidth="1"/>
    <col min="1799" max="1799" width="21.28515625" style="509" customWidth="1"/>
    <col min="1800" max="2046" width="9.140625" style="509"/>
    <col min="2047" max="2047" width="4" style="509" customWidth="1"/>
    <col min="2048" max="2048" width="6.28515625" style="509" customWidth="1"/>
    <col min="2049" max="2049" width="3.7109375" style="509" customWidth="1"/>
    <col min="2050" max="2050" width="14" style="509" customWidth="1"/>
    <col min="2051" max="2051" width="5" style="509" customWidth="1"/>
    <col min="2052" max="2052" width="11.42578125" style="509" bestFit="1" customWidth="1"/>
    <col min="2053" max="2053" width="5.85546875" style="509" customWidth="1"/>
    <col min="2054" max="2054" width="11.42578125" style="509" bestFit="1" customWidth="1"/>
    <col min="2055" max="2055" width="21.28515625" style="509" customWidth="1"/>
    <col min="2056" max="2302" width="9.140625" style="509"/>
    <col min="2303" max="2303" width="4" style="509" customWidth="1"/>
    <col min="2304" max="2304" width="6.28515625" style="509" customWidth="1"/>
    <col min="2305" max="2305" width="3.7109375" style="509" customWidth="1"/>
    <col min="2306" max="2306" width="14" style="509" customWidth="1"/>
    <col min="2307" max="2307" width="5" style="509" customWidth="1"/>
    <col min="2308" max="2308" width="11.42578125" style="509" bestFit="1" customWidth="1"/>
    <col min="2309" max="2309" width="5.85546875" style="509" customWidth="1"/>
    <col min="2310" max="2310" width="11.42578125" style="509" bestFit="1" customWidth="1"/>
    <col min="2311" max="2311" width="21.28515625" style="509" customWidth="1"/>
    <col min="2312" max="2558" width="9.140625" style="509"/>
    <col min="2559" max="2559" width="4" style="509" customWidth="1"/>
    <col min="2560" max="2560" width="6.28515625" style="509" customWidth="1"/>
    <col min="2561" max="2561" width="3.7109375" style="509" customWidth="1"/>
    <col min="2562" max="2562" width="14" style="509" customWidth="1"/>
    <col min="2563" max="2563" width="5" style="509" customWidth="1"/>
    <col min="2564" max="2564" width="11.42578125" style="509" bestFit="1" customWidth="1"/>
    <col min="2565" max="2565" width="5.85546875" style="509" customWidth="1"/>
    <col min="2566" max="2566" width="11.42578125" style="509" bestFit="1" customWidth="1"/>
    <col min="2567" max="2567" width="21.28515625" style="509" customWidth="1"/>
    <col min="2568" max="2814" width="9.140625" style="509"/>
    <col min="2815" max="2815" width="4" style="509" customWidth="1"/>
    <col min="2816" max="2816" width="6.28515625" style="509" customWidth="1"/>
    <col min="2817" max="2817" width="3.7109375" style="509" customWidth="1"/>
    <col min="2818" max="2818" width="14" style="509" customWidth="1"/>
    <col min="2819" max="2819" width="5" style="509" customWidth="1"/>
    <col min="2820" max="2820" width="11.42578125" style="509" bestFit="1" customWidth="1"/>
    <col min="2821" max="2821" width="5.85546875" style="509" customWidth="1"/>
    <col min="2822" max="2822" width="11.42578125" style="509" bestFit="1" customWidth="1"/>
    <col min="2823" max="2823" width="21.28515625" style="509" customWidth="1"/>
    <col min="2824" max="3070" width="9.140625" style="509"/>
    <col min="3071" max="3071" width="4" style="509" customWidth="1"/>
    <col min="3072" max="3072" width="6.28515625" style="509" customWidth="1"/>
    <col min="3073" max="3073" width="3.7109375" style="509" customWidth="1"/>
    <col min="3074" max="3074" width="14" style="509" customWidth="1"/>
    <col min="3075" max="3075" width="5" style="509" customWidth="1"/>
    <col min="3076" max="3076" width="11.42578125" style="509" bestFit="1" customWidth="1"/>
    <col min="3077" max="3077" width="5.85546875" style="509" customWidth="1"/>
    <col min="3078" max="3078" width="11.42578125" style="509" bestFit="1" customWidth="1"/>
    <col min="3079" max="3079" width="21.28515625" style="509" customWidth="1"/>
    <col min="3080" max="3326" width="9.140625" style="509"/>
    <col min="3327" max="3327" width="4" style="509" customWidth="1"/>
    <col min="3328" max="3328" width="6.28515625" style="509" customWidth="1"/>
    <col min="3329" max="3329" width="3.7109375" style="509" customWidth="1"/>
    <col min="3330" max="3330" width="14" style="509" customWidth="1"/>
    <col min="3331" max="3331" width="5" style="509" customWidth="1"/>
    <col min="3332" max="3332" width="11.42578125" style="509" bestFit="1" customWidth="1"/>
    <col min="3333" max="3333" width="5.85546875" style="509" customWidth="1"/>
    <col min="3334" max="3334" width="11.42578125" style="509" bestFit="1" customWidth="1"/>
    <col min="3335" max="3335" width="21.28515625" style="509" customWidth="1"/>
    <col min="3336" max="3582" width="9.140625" style="509"/>
    <col min="3583" max="3583" width="4" style="509" customWidth="1"/>
    <col min="3584" max="3584" width="6.28515625" style="509" customWidth="1"/>
    <col min="3585" max="3585" width="3.7109375" style="509" customWidth="1"/>
    <col min="3586" max="3586" width="14" style="509" customWidth="1"/>
    <col min="3587" max="3587" width="5" style="509" customWidth="1"/>
    <col min="3588" max="3588" width="11.42578125" style="509" bestFit="1" customWidth="1"/>
    <col min="3589" max="3589" width="5.85546875" style="509" customWidth="1"/>
    <col min="3590" max="3590" width="11.42578125" style="509" bestFit="1" customWidth="1"/>
    <col min="3591" max="3591" width="21.28515625" style="509" customWidth="1"/>
    <col min="3592" max="3838" width="9.140625" style="509"/>
    <col min="3839" max="3839" width="4" style="509" customWidth="1"/>
    <col min="3840" max="3840" width="6.28515625" style="509" customWidth="1"/>
    <col min="3841" max="3841" width="3.7109375" style="509" customWidth="1"/>
    <col min="3842" max="3842" width="14" style="509" customWidth="1"/>
    <col min="3843" max="3843" width="5" style="509" customWidth="1"/>
    <col min="3844" max="3844" width="11.42578125" style="509" bestFit="1" customWidth="1"/>
    <col min="3845" max="3845" width="5.85546875" style="509" customWidth="1"/>
    <col min="3846" max="3846" width="11.42578125" style="509" bestFit="1" customWidth="1"/>
    <col min="3847" max="3847" width="21.28515625" style="509" customWidth="1"/>
    <col min="3848" max="4094" width="9.140625" style="509"/>
    <col min="4095" max="4095" width="4" style="509" customWidth="1"/>
    <col min="4096" max="4096" width="6.28515625" style="509" customWidth="1"/>
    <col min="4097" max="4097" width="3.7109375" style="509" customWidth="1"/>
    <col min="4098" max="4098" width="14" style="509" customWidth="1"/>
    <col min="4099" max="4099" width="5" style="509" customWidth="1"/>
    <col min="4100" max="4100" width="11.42578125" style="509" bestFit="1" customWidth="1"/>
    <col min="4101" max="4101" width="5.85546875" style="509" customWidth="1"/>
    <col min="4102" max="4102" width="11.42578125" style="509" bestFit="1" customWidth="1"/>
    <col min="4103" max="4103" width="21.28515625" style="509" customWidth="1"/>
    <col min="4104" max="4350" width="9.140625" style="509"/>
    <col min="4351" max="4351" width="4" style="509" customWidth="1"/>
    <col min="4352" max="4352" width="6.28515625" style="509" customWidth="1"/>
    <col min="4353" max="4353" width="3.7109375" style="509" customWidth="1"/>
    <col min="4354" max="4354" width="14" style="509" customWidth="1"/>
    <col min="4355" max="4355" width="5" style="509" customWidth="1"/>
    <col min="4356" max="4356" width="11.42578125" style="509" bestFit="1" customWidth="1"/>
    <col min="4357" max="4357" width="5.85546875" style="509" customWidth="1"/>
    <col min="4358" max="4358" width="11.42578125" style="509" bestFit="1" customWidth="1"/>
    <col min="4359" max="4359" width="21.28515625" style="509" customWidth="1"/>
    <col min="4360" max="4606" width="9.140625" style="509"/>
    <col min="4607" max="4607" width="4" style="509" customWidth="1"/>
    <col min="4608" max="4608" width="6.28515625" style="509" customWidth="1"/>
    <col min="4609" max="4609" width="3.7109375" style="509" customWidth="1"/>
    <col min="4610" max="4610" width="14" style="509" customWidth="1"/>
    <col min="4611" max="4611" width="5" style="509" customWidth="1"/>
    <col min="4612" max="4612" width="11.42578125" style="509" bestFit="1" customWidth="1"/>
    <col min="4613" max="4613" width="5.85546875" style="509" customWidth="1"/>
    <col min="4614" max="4614" width="11.42578125" style="509" bestFit="1" customWidth="1"/>
    <col min="4615" max="4615" width="21.28515625" style="509" customWidth="1"/>
    <col min="4616" max="4862" width="9.140625" style="509"/>
    <col min="4863" max="4863" width="4" style="509" customWidth="1"/>
    <col min="4864" max="4864" width="6.28515625" style="509" customWidth="1"/>
    <col min="4865" max="4865" width="3.7109375" style="509" customWidth="1"/>
    <col min="4866" max="4866" width="14" style="509" customWidth="1"/>
    <col min="4867" max="4867" width="5" style="509" customWidth="1"/>
    <col min="4868" max="4868" width="11.42578125" style="509" bestFit="1" customWidth="1"/>
    <col min="4869" max="4869" width="5.85546875" style="509" customWidth="1"/>
    <col min="4870" max="4870" width="11.42578125" style="509" bestFit="1" customWidth="1"/>
    <col min="4871" max="4871" width="21.28515625" style="509" customWidth="1"/>
    <col min="4872" max="5118" width="9.140625" style="509"/>
    <col min="5119" max="5119" width="4" style="509" customWidth="1"/>
    <col min="5120" max="5120" width="6.28515625" style="509" customWidth="1"/>
    <col min="5121" max="5121" width="3.7109375" style="509" customWidth="1"/>
    <col min="5122" max="5122" width="14" style="509" customWidth="1"/>
    <col min="5123" max="5123" width="5" style="509" customWidth="1"/>
    <col min="5124" max="5124" width="11.42578125" style="509" bestFit="1" customWidth="1"/>
    <col min="5125" max="5125" width="5.85546875" style="509" customWidth="1"/>
    <col min="5126" max="5126" width="11.42578125" style="509" bestFit="1" customWidth="1"/>
    <col min="5127" max="5127" width="21.28515625" style="509" customWidth="1"/>
    <col min="5128" max="5374" width="9.140625" style="509"/>
    <col min="5375" max="5375" width="4" style="509" customWidth="1"/>
    <col min="5376" max="5376" width="6.28515625" style="509" customWidth="1"/>
    <col min="5377" max="5377" width="3.7109375" style="509" customWidth="1"/>
    <col min="5378" max="5378" width="14" style="509" customWidth="1"/>
    <col min="5379" max="5379" width="5" style="509" customWidth="1"/>
    <col min="5380" max="5380" width="11.42578125" style="509" bestFit="1" customWidth="1"/>
    <col min="5381" max="5381" width="5.85546875" style="509" customWidth="1"/>
    <col min="5382" max="5382" width="11.42578125" style="509" bestFit="1" customWidth="1"/>
    <col min="5383" max="5383" width="21.28515625" style="509" customWidth="1"/>
    <col min="5384" max="5630" width="9.140625" style="509"/>
    <col min="5631" max="5631" width="4" style="509" customWidth="1"/>
    <col min="5632" max="5632" width="6.28515625" style="509" customWidth="1"/>
    <col min="5633" max="5633" width="3.7109375" style="509" customWidth="1"/>
    <col min="5634" max="5634" width="14" style="509" customWidth="1"/>
    <col min="5635" max="5635" width="5" style="509" customWidth="1"/>
    <col min="5636" max="5636" width="11.42578125" style="509" bestFit="1" customWidth="1"/>
    <col min="5637" max="5637" width="5.85546875" style="509" customWidth="1"/>
    <col min="5638" max="5638" width="11.42578125" style="509" bestFit="1" customWidth="1"/>
    <col min="5639" max="5639" width="21.28515625" style="509" customWidth="1"/>
    <col min="5640" max="5886" width="9.140625" style="509"/>
    <col min="5887" max="5887" width="4" style="509" customWidth="1"/>
    <col min="5888" max="5888" width="6.28515625" style="509" customWidth="1"/>
    <col min="5889" max="5889" width="3.7109375" style="509" customWidth="1"/>
    <col min="5890" max="5890" width="14" style="509" customWidth="1"/>
    <col min="5891" max="5891" width="5" style="509" customWidth="1"/>
    <col min="5892" max="5892" width="11.42578125" style="509" bestFit="1" customWidth="1"/>
    <col min="5893" max="5893" width="5.85546875" style="509" customWidth="1"/>
    <col min="5894" max="5894" width="11.42578125" style="509" bestFit="1" customWidth="1"/>
    <col min="5895" max="5895" width="21.28515625" style="509" customWidth="1"/>
    <col min="5896" max="6142" width="9.140625" style="509"/>
    <col min="6143" max="6143" width="4" style="509" customWidth="1"/>
    <col min="6144" max="6144" width="6.28515625" style="509" customWidth="1"/>
    <col min="6145" max="6145" width="3.7109375" style="509" customWidth="1"/>
    <col min="6146" max="6146" width="14" style="509" customWidth="1"/>
    <col min="6147" max="6147" width="5" style="509" customWidth="1"/>
    <col min="6148" max="6148" width="11.42578125" style="509" bestFit="1" customWidth="1"/>
    <col min="6149" max="6149" width="5.85546875" style="509" customWidth="1"/>
    <col min="6150" max="6150" width="11.42578125" style="509" bestFit="1" customWidth="1"/>
    <col min="6151" max="6151" width="21.28515625" style="509" customWidth="1"/>
    <col min="6152" max="6398" width="9.140625" style="509"/>
    <col min="6399" max="6399" width="4" style="509" customWidth="1"/>
    <col min="6400" max="6400" width="6.28515625" style="509" customWidth="1"/>
    <col min="6401" max="6401" width="3.7109375" style="509" customWidth="1"/>
    <col min="6402" max="6402" width="14" style="509" customWidth="1"/>
    <col min="6403" max="6403" width="5" style="509" customWidth="1"/>
    <col min="6404" max="6404" width="11.42578125" style="509" bestFit="1" customWidth="1"/>
    <col min="6405" max="6405" width="5.85546875" style="509" customWidth="1"/>
    <col min="6406" max="6406" width="11.42578125" style="509" bestFit="1" customWidth="1"/>
    <col min="6407" max="6407" width="21.28515625" style="509" customWidth="1"/>
    <col min="6408" max="6654" width="9.140625" style="509"/>
    <col min="6655" max="6655" width="4" style="509" customWidth="1"/>
    <col min="6656" max="6656" width="6.28515625" style="509" customWidth="1"/>
    <col min="6657" max="6657" width="3.7109375" style="509" customWidth="1"/>
    <col min="6658" max="6658" width="14" style="509" customWidth="1"/>
    <col min="6659" max="6659" width="5" style="509" customWidth="1"/>
    <col min="6660" max="6660" width="11.42578125" style="509" bestFit="1" customWidth="1"/>
    <col min="6661" max="6661" width="5.85546875" style="509" customWidth="1"/>
    <col min="6662" max="6662" width="11.42578125" style="509" bestFit="1" customWidth="1"/>
    <col min="6663" max="6663" width="21.28515625" style="509" customWidth="1"/>
    <col min="6664" max="6910" width="9.140625" style="509"/>
    <col min="6911" max="6911" width="4" style="509" customWidth="1"/>
    <col min="6912" max="6912" width="6.28515625" style="509" customWidth="1"/>
    <col min="6913" max="6913" width="3.7109375" style="509" customWidth="1"/>
    <col min="6914" max="6914" width="14" style="509" customWidth="1"/>
    <col min="6915" max="6915" width="5" style="509" customWidth="1"/>
    <col min="6916" max="6916" width="11.42578125" style="509" bestFit="1" customWidth="1"/>
    <col min="6917" max="6917" width="5.85546875" style="509" customWidth="1"/>
    <col min="6918" max="6918" width="11.42578125" style="509" bestFit="1" customWidth="1"/>
    <col min="6919" max="6919" width="21.28515625" style="509" customWidth="1"/>
    <col min="6920" max="7166" width="9.140625" style="509"/>
    <col min="7167" max="7167" width="4" style="509" customWidth="1"/>
    <col min="7168" max="7168" width="6.28515625" style="509" customWidth="1"/>
    <col min="7169" max="7169" width="3.7109375" style="509" customWidth="1"/>
    <col min="7170" max="7170" width="14" style="509" customWidth="1"/>
    <col min="7171" max="7171" width="5" style="509" customWidth="1"/>
    <col min="7172" max="7172" width="11.42578125" style="509" bestFit="1" customWidth="1"/>
    <col min="7173" max="7173" width="5.85546875" style="509" customWidth="1"/>
    <col min="7174" max="7174" width="11.42578125" style="509" bestFit="1" customWidth="1"/>
    <col min="7175" max="7175" width="21.28515625" style="509" customWidth="1"/>
    <col min="7176" max="7422" width="9.140625" style="509"/>
    <col min="7423" max="7423" width="4" style="509" customWidth="1"/>
    <col min="7424" max="7424" width="6.28515625" style="509" customWidth="1"/>
    <col min="7425" max="7425" width="3.7109375" style="509" customWidth="1"/>
    <col min="7426" max="7426" width="14" style="509" customWidth="1"/>
    <col min="7427" max="7427" width="5" style="509" customWidth="1"/>
    <col min="7428" max="7428" width="11.42578125" style="509" bestFit="1" customWidth="1"/>
    <col min="7429" max="7429" width="5.85546875" style="509" customWidth="1"/>
    <col min="7430" max="7430" width="11.42578125" style="509" bestFit="1" customWidth="1"/>
    <col min="7431" max="7431" width="21.28515625" style="509" customWidth="1"/>
    <col min="7432" max="7678" width="9.140625" style="509"/>
    <col min="7679" max="7679" width="4" style="509" customWidth="1"/>
    <col min="7680" max="7680" width="6.28515625" style="509" customWidth="1"/>
    <col min="7681" max="7681" width="3.7109375" style="509" customWidth="1"/>
    <col min="7682" max="7682" width="14" style="509" customWidth="1"/>
    <col min="7683" max="7683" width="5" style="509" customWidth="1"/>
    <col min="7684" max="7684" width="11.42578125" style="509" bestFit="1" customWidth="1"/>
    <col min="7685" max="7685" width="5.85546875" style="509" customWidth="1"/>
    <col min="7686" max="7686" width="11.42578125" style="509" bestFit="1" customWidth="1"/>
    <col min="7687" max="7687" width="21.28515625" style="509" customWidth="1"/>
    <col min="7688" max="7934" width="9.140625" style="509"/>
    <col min="7935" max="7935" width="4" style="509" customWidth="1"/>
    <col min="7936" max="7936" width="6.28515625" style="509" customWidth="1"/>
    <col min="7937" max="7937" width="3.7109375" style="509" customWidth="1"/>
    <col min="7938" max="7938" width="14" style="509" customWidth="1"/>
    <col min="7939" max="7939" width="5" style="509" customWidth="1"/>
    <col min="7940" max="7940" width="11.42578125" style="509" bestFit="1" customWidth="1"/>
    <col min="7941" max="7941" width="5.85546875" style="509" customWidth="1"/>
    <col min="7942" max="7942" width="11.42578125" style="509" bestFit="1" customWidth="1"/>
    <col min="7943" max="7943" width="21.28515625" style="509" customWidth="1"/>
    <col min="7944" max="8190" width="9.140625" style="509"/>
    <col min="8191" max="8191" width="4" style="509" customWidth="1"/>
    <col min="8192" max="8192" width="6.28515625" style="509" customWidth="1"/>
    <col min="8193" max="8193" width="3.7109375" style="509" customWidth="1"/>
    <col min="8194" max="8194" width="14" style="509" customWidth="1"/>
    <col min="8195" max="8195" width="5" style="509" customWidth="1"/>
    <col min="8196" max="8196" width="11.42578125" style="509" bestFit="1" customWidth="1"/>
    <col min="8197" max="8197" width="5.85546875" style="509" customWidth="1"/>
    <col min="8198" max="8198" width="11.42578125" style="509" bestFit="1" customWidth="1"/>
    <col min="8199" max="8199" width="21.28515625" style="509" customWidth="1"/>
    <col min="8200" max="8446" width="9.140625" style="509"/>
    <col min="8447" max="8447" width="4" style="509" customWidth="1"/>
    <col min="8448" max="8448" width="6.28515625" style="509" customWidth="1"/>
    <col min="8449" max="8449" width="3.7109375" style="509" customWidth="1"/>
    <col min="8450" max="8450" width="14" style="509" customWidth="1"/>
    <col min="8451" max="8451" width="5" style="509" customWidth="1"/>
    <col min="8452" max="8452" width="11.42578125" style="509" bestFit="1" customWidth="1"/>
    <col min="8453" max="8453" width="5.85546875" style="509" customWidth="1"/>
    <col min="8454" max="8454" width="11.42578125" style="509" bestFit="1" customWidth="1"/>
    <col min="8455" max="8455" width="21.28515625" style="509" customWidth="1"/>
    <col min="8456" max="8702" width="9.140625" style="509"/>
    <col min="8703" max="8703" width="4" style="509" customWidth="1"/>
    <col min="8704" max="8704" width="6.28515625" style="509" customWidth="1"/>
    <col min="8705" max="8705" width="3.7109375" style="509" customWidth="1"/>
    <col min="8706" max="8706" width="14" style="509" customWidth="1"/>
    <col min="8707" max="8707" width="5" style="509" customWidth="1"/>
    <col min="8708" max="8708" width="11.42578125" style="509" bestFit="1" customWidth="1"/>
    <col min="8709" max="8709" width="5.85546875" style="509" customWidth="1"/>
    <col min="8710" max="8710" width="11.42578125" style="509" bestFit="1" customWidth="1"/>
    <col min="8711" max="8711" width="21.28515625" style="509" customWidth="1"/>
    <col min="8712" max="8958" width="9.140625" style="509"/>
    <col min="8959" max="8959" width="4" style="509" customWidth="1"/>
    <col min="8960" max="8960" width="6.28515625" style="509" customWidth="1"/>
    <col min="8961" max="8961" width="3.7109375" style="509" customWidth="1"/>
    <col min="8962" max="8962" width="14" style="509" customWidth="1"/>
    <col min="8963" max="8963" width="5" style="509" customWidth="1"/>
    <col min="8964" max="8964" width="11.42578125" style="509" bestFit="1" customWidth="1"/>
    <col min="8965" max="8965" width="5.85546875" style="509" customWidth="1"/>
    <col min="8966" max="8966" width="11.42578125" style="509" bestFit="1" customWidth="1"/>
    <col min="8967" max="8967" width="21.28515625" style="509" customWidth="1"/>
    <col min="8968" max="9214" width="9.140625" style="509"/>
    <col min="9215" max="9215" width="4" style="509" customWidth="1"/>
    <col min="9216" max="9216" width="6.28515625" style="509" customWidth="1"/>
    <col min="9217" max="9217" width="3.7109375" style="509" customWidth="1"/>
    <col min="9218" max="9218" width="14" style="509" customWidth="1"/>
    <col min="9219" max="9219" width="5" style="509" customWidth="1"/>
    <col min="9220" max="9220" width="11.42578125" style="509" bestFit="1" customWidth="1"/>
    <col min="9221" max="9221" width="5.85546875" style="509" customWidth="1"/>
    <col min="9222" max="9222" width="11.42578125" style="509" bestFit="1" customWidth="1"/>
    <col min="9223" max="9223" width="21.28515625" style="509" customWidth="1"/>
    <col min="9224" max="9470" width="9.140625" style="509"/>
    <col min="9471" max="9471" width="4" style="509" customWidth="1"/>
    <col min="9472" max="9472" width="6.28515625" style="509" customWidth="1"/>
    <col min="9473" max="9473" width="3.7109375" style="509" customWidth="1"/>
    <col min="9474" max="9474" width="14" style="509" customWidth="1"/>
    <col min="9475" max="9475" width="5" style="509" customWidth="1"/>
    <col min="9476" max="9476" width="11.42578125" style="509" bestFit="1" customWidth="1"/>
    <col min="9477" max="9477" width="5.85546875" style="509" customWidth="1"/>
    <col min="9478" max="9478" width="11.42578125" style="509" bestFit="1" customWidth="1"/>
    <col min="9479" max="9479" width="21.28515625" style="509" customWidth="1"/>
    <col min="9480" max="9726" width="9.140625" style="509"/>
    <col min="9727" max="9727" width="4" style="509" customWidth="1"/>
    <col min="9728" max="9728" width="6.28515625" style="509" customWidth="1"/>
    <col min="9729" max="9729" width="3.7109375" style="509" customWidth="1"/>
    <col min="9730" max="9730" width="14" style="509" customWidth="1"/>
    <col min="9731" max="9731" width="5" style="509" customWidth="1"/>
    <col min="9732" max="9732" width="11.42578125" style="509" bestFit="1" customWidth="1"/>
    <col min="9733" max="9733" width="5.85546875" style="509" customWidth="1"/>
    <col min="9734" max="9734" width="11.42578125" style="509" bestFit="1" customWidth="1"/>
    <col min="9735" max="9735" width="21.28515625" style="509" customWidth="1"/>
    <col min="9736" max="9982" width="9.140625" style="509"/>
    <col min="9983" max="9983" width="4" style="509" customWidth="1"/>
    <col min="9984" max="9984" width="6.28515625" style="509" customWidth="1"/>
    <col min="9985" max="9985" width="3.7109375" style="509" customWidth="1"/>
    <col min="9986" max="9986" width="14" style="509" customWidth="1"/>
    <col min="9987" max="9987" width="5" style="509" customWidth="1"/>
    <col min="9988" max="9988" width="11.42578125" style="509" bestFit="1" customWidth="1"/>
    <col min="9989" max="9989" width="5.85546875" style="509" customWidth="1"/>
    <col min="9990" max="9990" width="11.42578125" style="509" bestFit="1" customWidth="1"/>
    <col min="9991" max="9991" width="21.28515625" style="509" customWidth="1"/>
    <col min="9992" max="10238" width="9.140625" style="509"/>
    <col min="10239" max="10239" width="4" style="509" customWidth="1"/>
    <col min="10240" max="10240" width="6.28515625" style="509" customWidth="1"/>
    <col min="10241" max="10241" width="3.7109375" style="509" customWidth="1"/>
    <col min="10242" max="10242" width="14" style="509" customWidth="1"/>
    <col min="10243" max="10243" width="5" style="509" customWidth="1"/>
    <col min="10244" max="10244" width="11.42578125" style="509" bestFit="1" customWidth="1"/>
    <col min="10245" max="10245" width="5.85546875" style="509" customWidth="1"/>
    <col min="10246" max="10246" width="11.42578125" style="509" bestFit="1" customWidth="1"/>
    <col min="10247" max="10247" width="21.28515625" style="509" customWidth="1"/>
    <col min="10248" max="10494" width="9.140625" style="509"/>
    <col min="10495" max="10495" width="4" style="509" customWidth="1"/>
    <col min="10496" max="10496" width="6.28515625" style="509" customWidth="1"/>
    <col min="10497" max="10497" width="3.7109375" style="509" customWidth="1"/>
    <col min="10498" max="10498" width="14" style="509" customWidth="1"/>
    <col min="10499" max="10499" width="5" style="509" customWidth="1"/>
    <col min="10500" max="10500" width="11.42578125" style="509" bestFit="1" customWidth="1"/>
    <col min="10501" max="10501" width="5.85546875" style="509" customWidth="1"/>
    <col min="10502" max="10502" width="11.42578125" style="509" bestFit="1" customWidth="1"/>
    <col min="10503" max="10503" width="21.28515625" style="509" customWidth="1"/>
    <col min="10504" max="10750" width="9.140625" style="509"/>
    <col min="10751" max="10751" width="4" style="509" customWidth="1"/>
    <col min="10752" max="10752" width="6.28515625" style="509" customWidth="1"/>
    <col min="10753" max="10753" width="3.7109375" style="509" customWidth="1"/>
    <col min="10754" max="10754" width="14" style="509" customWidth="1"/>
    <col min="10755" max="10755" width="5" style="509" customWidth="1"/>
    <col min="10756" max="10756" width="11.42578125" style="509" bestFit="1" customWidth="1"/>
    <col min="10757" max="10757" width="5.85546875" style="509" customWidth="1"/>
    <col min="10758" max="10758" width="11.42578125" style="509" bestFit="1" customWidth="1"/>
    <col min="10759" max="10759" width="21.28515625" style="509" customWidth="1"/>
    <col min="10760" max="11006" width="9.140625" style="509"/>
    <col min="11007" max="11007" width="4" style="509" customWidth="1"/>
    <col min="11008" max="11008" width="6.28515625" style="509" customWidth="1"/>
    <col min="11009" max="11009" width="3.7109375" style="509" customWidth="1"/>
    <col min="11010" max="11010" width="14" style="509" customWidth="1"/>
    <col min="11011" max="11011" width="5" style="509" customWidth="1"/>
    <col min="11012" max="11012" width="11.42578125" style="509" bestFit="1" customWidth="1"/>
    <col min="11013" max="11013" width="5.85546875" style="509" customWidth="1"/>
    <col min="11014" max="11014" width="11.42578125" style="509" bestFit="1" customWidth="1"/>
    <col min="11015" max="11015" width="21.28515625" style="509" customWidth="1"/>
    <col min="11016" max="11262" width="9.140625" style="509"/>
    <col min="11263" max="11263" width="4" style="509" customWidth="1"/>
    <col min="11264" max="11264" width="6.28515625" style="509" customWidth="1"/>
    <col min="11265" max="11265" width="3.7109375" style="509" customWidth="1"/>
    <col min="11266" max="11266" width="14" style="509" customWidth="1"/>
    <col min="11267" max="11267" width="5" style="509" customWidth="1"/>
    <col min="11268" max="11268" width="11.42578125" style="509" bestFit="1" customWidth="1"/>
    <col min="11269" max="11269" width="5.85546875" style="509" customWidth="1"/>
    <col min="11270" max="11270" width="11.42578125" style="509" bestFit="1" customWidth="1"/>
    <col min="11271" max="11271" width="21.28515625" style="509" customWidth="1"/>
    <col min="11272" max="11518" width="9.140625" style="509"/>
    <col min="11519" max="11519" width="4" style="509" customWidth="1"/>
    <col min="11520" max="11520" width="6.28515625" style="509" customWidth="1"/>
    <col min="11521" max="11521" width="3.7109375" style="509" customWidth="1"/>
    <col min="11522" max="11522" width="14" style="509" customWidth="1"/>
    <col min="11523" max="11523" width="5" style="509" customWidth="1"/>
    <col min="11524" max="11524" width="11.42578125" style="509" bestFit="1" customWidth="1"/>
    <col min="11525" max="11525" width="5.85546875" style="509" customWidth="1"/>
    <col min="11526" max="11526" width="11.42578125" style="509" bestFit="1" customWidth="1"/>
    <col min="11527" max="11527" width="21.28515625" style="509" customWidth="1"/>
    <col min="11528" max="11774" width="9.140625" style="509"/>
    <col min="11775" max="11775" width="4" style="509" customWidth="1"/>
    <col min="11776" max="11776" width="6.28515625" style="509" customWidth="1"/>
    <col min="11777" max="11777" width="3.7109375" style="509" customWidth="1"/>
    <col min="11778" max="11778" width="14" style="509" customWidth="1"/>
    <col min="11779" max="11779" width="5" style="509" customWidth="1"/>
    <col min="11780" max="11780" width="11.42578125" style="509" bestFit="1" customWidth="1"/>
    <col min="11781" max="11781" width="5.85546875" style="509" customWidth="1"/>
    <col min="11782" max="11782" width="11.42578125" style="509" bestFit="1" customWidth="1"/>
    <col min="11783" max="11783" width="21.28515625" style="509" customWidth="1"/>
    <col min="11784" max="12030" width="9.140625" style="509"/>
    <col min="12031" max="12031" width="4" style="509" customWidth="1"/>
    <col min="12032" max="12032" width="6.28515625" style="509" customWidth="1"/>
    <col min="12033" max="12033" width="3.7109375" style="509" customWidth="1"/>
    <col min="12034" max="12034" width="14" style="509" customWidth="1"/>
    <col min="12035" max="12035" width="5" style="509" customWidth="1"/>
    <col min="12036" max="12036" width="11.42578125" style="509" bestFit="1" customWidth="1"/>
    <col min="12037" max="12037" width="5.85546875" style="509" customWidth="1"/>
    <col min="12038" max="12038" width="11.42578125" style="509" bestFit="1" customWidth="1"/>
    <col min="12039" max="12039" width="21.28515625" style="509" customWidth="1"/>
    <col min="12040" max="12286" width="9.140625" style="509"/>
    <col min="12287" max="12287" width="4" style="509" customWidth="1"/>
    <col min="12288" max="12288" width="6.28515625" style="509" customWidth="1"/>
    <col min="12289" max="12289" width="3.7109375" style="509" customWidth="1"/>
    <col min="12290" max="12290" width="14" style="509" customWidth="1"/>
    <col min="12291" max="12291" width="5" style="509" customWidth="1"/>
    <col min="12292" max="12292" width="11.42578125" style="509" bestFit="1" customWidth="1"/>
    <col min="12293" max="12293" width="5.85546875" style="509" customWidth="1"/>
    <col min="12294" max="12294" width="11.42578125" style="509" bestFit="1" customWidth="1"/>
    <col min="12295" max="12295" width="21.28515625" style="509" customWidth="1"/>
    <col min="12296" max="12542" width="9.140625" style="509"/>
    <col min="12543" max="12543" width="4" style="509" customWidth="1"/>
    <col min="12544" max="12544" width="6.28515625" style="509" customWidth="1"/>
    <col min="12545" max="12545" width="3.7109375" style="509" customWidth="1"/>
    <col min="12546" max="12546" width="14" style="509" customWidth="1"/>
    <col min="12547" max="12547" width="5" style="509" customWidth="1"/>
    <col min="12548" max="12548" width="11.42578125" style="509" bestFit="1" customWidth="1"/>
    <col min="12549" max="12549" width="5.85546875" style="509" customWidth="1"/>
    <col min="12550" max="12550" width="11.42578125" style="509" bestFit="1" customWidth="1"/>
    <col min="12551" max="12551" width="21.28515625" style="509" customWidth="1"/>
    <col min="12552" max="12798" width="9.140625" style="509"/>
    <col min="12799" max="12799" width="4" style="509" customWidth="1"/>
    <col min="12800" max="12800" width="6.28515625" style="509" customWidth="1"/>
    <col min="12801" max="12801" width="3.7109375" style="509" customWidth="1"/>
    <col min="12802" max="12802" width="14" style="509" customWidth="1"/>
    <col min="12803" max="12803" width="5" style="509" customWidth="1"/>
    <col min="12804" max="12804" width="11.42578125" style="509" bestFit="1" customWidth="1"/>
    <col min="12805" max="12805" width="5.85546875" style="509" customWidth="1"/>
    <col min="12806" max="12806" width="11.42578125" style="509" bestFit="1" customWidth="1"/>
    <col min="12807" max="12807" width="21.28515625" style="509" customWidth="1"/>
    <col min="12808" max="13054" width="9.140625" style="509"/>
    <col min="13055" max="13055" width="4" style="509" customWidth="1"/>
    <col min="13056" max="13056" width="6.28515625" style="509" customWidth="1"/>
    <col min="13057" max="13057" width="3.7109375" style="509" customWidth="1"/>
    <col min="13058" max="13058" width="14" style="509" customWidth="1"/>
    <col min="13059" max="13059" width="5" style="509" customWidth="1"/>
    <col min="13060" max="13060" width="11.42578125" style="509" bestFit="1" customWidth="1"/>
    <col min="13061" max="13061" width="5.85546875" style="509" customWidth="1"/>
    <col min="13062" max="13062" width="11.42578125" style="509" bestFit="1" customWidth="1"/>
    <col min="13063" max="13063" width="21.28515625" style="509" customWidth="1"/>
    <col min="13064" max="13310" width="9.140625" style="509"/>
    <col min="13311" max="13311" width="4" style="509" customWidth="1"/>
    <col min="13312" max="13312" width="6.28515625" style="509" customWidth="1"/>
    <col min="13313" max="13313" width="3.7109375" style="509" customWidth="1"/>
    <col min="13314" max="13314" width="14" style="509" customWidth="1"/>
    <col min="13315" max="13315" width="5" style="509" customWidth="1"/>
    <col min="13316" max="13316" width="11.42578125" style="509" bestFit="1" customWidth="1"/>
    <col min="13317" max="13317" width="5.85546875" style="509" customWidth="1"/>
    <col min="13318" max="13318" width="11.42578125" style="509" bestFit="1" customWidth="1"/>
    <col min="13319" max="13319" width="21.28515625" style="509" customWidth="1"/>
    <col min="13320" max="13566" width="9.140625" style="509"/>
    <col min="13567" max="13567" width="4" style="509" customWidth="1"/>
    <col min="13568" max="13568" width="6.28515625" style="509" customWidth="1"/>
    <col min="13569" max="13569" width="3.7109375" style="509" customWidth="1"/>
    <col min="13570" max="13570" width="14" style="509" customWidth="1"/>
    <col min="13571" max="13571" width="5" style="509" customWidth="1"/>
    <col min="13572" max="13572" width="11.42578125" style="509" bestFit="1" customWidth="1"/>
    <col min="13573" max="13573" width="5.85546875" style="509" customWidth="1"/>
    <col min="13574" max="13574" width="11.42578125" style="509" bestFit="1" customWidth="1"/>
    <col min="13575" max="13575" width="21.28515625" style="509" customWidth="1"/>
    <col min="13576" max="13822" width="9.140625" style="509"/>
    <col min="13823" max="13823" width="4" style="509" customWidth="1"/>
    <col min="13824" max="13824" width="6.28515625" style="509" customWidth="1"/>
    <col min="13825" max="13825" width="3.7109375" style="509" customWidth="1"/>
    <col min="13826" max="13826" width="14" style="509" customWidth="1"/>
    <col min="13827" max="13827" width="5" style="509" customWidth="1"/>
    <col min="13828" max="13828" width="11.42578125" style="509" bestFit="1" customWidth="1"/>
    <col min="13829" max="13829" width="5.85546875" style="509" customWidth="1"/>
    <col min="13830" max="13830" width="11.42578125" style="509" bestFit="1" customWidth="1"/>
    <col min="13831" max="13831" width="21.28515625" style="509" customWidth="1"/>
    <col min="13832" max="14078" width="9.140625" style="509"/>
    <col min="14079" max="14079" width="4" style="509" customWidth="1"/>
    <col min="14080" max="14080" width="6.28515625" style="509" customWidth="1"/>
    <col min="14081" max="14081" width="3.7109375" style="509" customWidth="1"/>
    <col min="14082" max="14082" width="14" style="509" customWidth="1"/>
    <col min="14083" max="14083" width="5" style="509" customWidth="1"/>
    <col min="14084" max="14084" width="11.42578125" style="509" bestFit="1" customWidth="1"/>
    <col min="14085" max="14085" width="5.85546875" style="509" customWidth="1"/>
    <col min="14086" max="14086" width="11.42578125" style="509" bestFit="1" customWidth="1"/>
    <col min="14087" max="14087" width="21.28515625" style="509" customWidth="1"/>
    <col min="14088" max="14334" width="9.140625" style="509"/>
    <col min="14335" max="14335" width="4" style="509" customWidth="1"/>
    <col min="14336" max="14336" width="6.28515625" style="509" customWidth="1"/>
    <col min="14337" max="14337" width="3.7109375" style="509" customWidth="1"/>
    <col min="14338" max="14338" width="14" style="509" customWidth="1"/>
    <col min="14339" max="14339" width="5" style="509" customWidth="1"/>
    <col min="14340" max="14340" width="11.42578125" style="509" bestFit="1" customWidth="1"/>
    <col min="14341" max="14341" width="5.85546875" style="509" customWidth="1"/>
    <col min="14342" max="14342" width="11.42578125" style="509" bestFit="1" customWidth="1"/>
    <col min="14343" max="14343" width="21.28515625" style="509" customWidth="1"/>
    <col min="14344" max="14590" width="9.140625" style="509"/>
    <col min="14591" max="14591" width="4" style="509" customWidth="1"/>
    <col min="14592" max="14592" width="6.28515625" style="509" customWidth="1"/>
    <col min="14593" max="14593" width="3.7109375" style="509" customWidth="1"/>
    <col min="14594" max="14594" width="14" style="509" customWidth="1"/>
    <col min="14595" max="14595" width="5" style="509" customWidth="1"/>
    <col min="14596" max="14596" width="11.42578125" style="509" bestFit="1" customWidth="1"/>
    <col min="14597" max="14597" width="5.85546875" style="509" customWidth="1"/>
    <col min="14598" max="14598" width="11.42578125" style="509" bestFit="1" customWidth="1"/>
    <col min="14599" max="14599" width="21.28515625" style="509" customWidth="1"/>
    <col min="14600" max="14846" width="9.140625" style="509"/>
    <col min="14847" max="14847" width="4" style="509" customWidth="1"/>
    <col min="14848" max="14848" width="6.28515625" style="509" customWidth="1"/>
    <col min="14849" max="14849" width="3.7109375" style="509" customWidth="1"/>
    <col min="14850" max="14850" width="14" style="509" customWidth="1"/>
    <col min="14851" max="14851" width="5" style="509" customWidth="1"/>
    <col min="14852" max="14852" width="11.42578125" style="509" bestFit="1" customWidth="1"/>
    <col min="14853" max="14853" width="5.85546875" style="509" customWidth="1"/>
    <col min="14854" max="14854" width="11.42578125" style="509" bestFit="1" customWidth="1"/>
    <col min="14855" max="14855" width="21.28515625" style="509" customWidth="1"/>
    <col min="14856" max="15102" width="9.140625" style="509"/>
    <col min="15103" max="15103" width="4" style="509" customWidth="1"/>
    <col min="15104" max="15104" width="6.28515625" style="509" customWidth="1"/>
    <col min="15105" max="15105" width="3.7109375" style="509" customWidth="1"/>
    <col min="15106" max="15106" width="14" style="509" customWidth="1"/>
    <col min="15107" max="15107" width="5" style="509" customWidth="1"/>
    <col min="15108" max="15108" width="11.42578125" style="509" bestFit="1" customWidth="1"/>
    <col min="15109" max="15109" width="5.85546875" style="509" customWidth="1"/>
    <col min="15110" max="15110" width="11.42578125" style="509" bestFit="1" customWidth="1"/>
    <col min="15111" max="15111" width="21.28515625" style="509" customWidth="1"/>
    <col min="15112" max="15358" width="9.140625" style="509"/>
    <col min="15359" max="15359" width="4" style="509" customWidth="1"/>
    <col min="15360" max="15360" width="6.28515625" style="509" customWidth="1"/>
    <col min="15361" max="15361" width="3.7109375" style="509" customWidth="1"/>
    <col min="15362" max="15362" width="14" style="509" customWidth="1"/>
    <col min="15363" max="15363" width="5" style="509" customWidth="1"/>
    <col min="15364" max="15364" width="11.42578125" style="509" bestFit="1" customWidth="1"/>
    <col min="15365" max="15365" width="5.85546875" style="509" customWidth="1"/>
    <col min="15366" max="15366" width="11.42578125" style="509" bestFit="1" customWidth="1"/>
    <col min="15367" max="15367" width="21.28515625" style="509" customWidth="1"/>
    <col min="15368" max="15614" width="9.140625" style="509"/>
    <col min="15615" max="15615" width="4" style="509" customWidth="1"/>
    <col min="15616" max="15616" width="6.28515625" style="509" customWidth="1"/>
    <col min="15617" max="15617" width="3.7109375" style="509" customWidth="1"/>
    <col min="15618" max="15618" width="14" style="509" customWidth="1"/>
    <col min="15619" max="15619" width="5" style="509" customWidth="1"/>
    <col min="15620" max="15620" width="11.42578125" style="509" bestFit="1" customWidth="1"/>
    <col min="15621" max="15621" width="5.85546875" style="509" customWidth="1"/>
    <col min="15622" max="15622" width="11.42578125" style="509" bestFit="1" customWidth="1"/>
    <col min="15623" max="15623" width="21.28515625" style="509" customWidth="1"/>
    <col min="15624" max="15870" width="9.140625" style="509"/>
    <col min="15871" max="15871" width="4" style="509" customWidth="1"/>
    <col min="15872" max="15872" width="6.28515625" style="509" customWidth="1"/>
    <col min="15873" max="15873" width="3.7109375" style="509" customWidth="1"/>
    <col min="15874" max="15874" width="14" style="509" customWidth="1"/>
    <col min="15875" max="15875" width="5" style="509" customWidth="1"/>
    <col min="15876" max="15876" width="11.42578125" style="509" bestFit="1" customWidth="1"/>
    <col min="15877" max="15877" width="5.85546875" style="509" customWidth="1"/>
    <col min="15878" max="15878" width="11.42578125" style="509" bestFit="1" customWidth="1"/>
    <col min="15879" max="15879" width="21.28515625" style="509" customWidth="1"/>
    <col min="15880" max="16126" width="9.140625" style="509"/>
    <col min="16127" max="16127" width="4" style="509" customWidth="1"/>
    <col min="16128" max="16128" width="6.28515625" style="509" customWidth="1"/>
    <col min="16129" max="16129" width="3.7109375" style="509" customWidth="1"/>
    <col min="16130" max="16130" width="14" style="509" customWidth="1"/>
    <col min="16131" max="16131" width="5" style="509" customWidth="1"/>
    <col min="16132" max="16132" width="11.42578125" style="509" bestFit="1" customWidth="1"/>
    <col min="16133" max="16133" width="5.85546875" style="509" customWidth="1"/>
    <col min="16134" max="16134" width="11.42578125" style="509" bestFit="1" customWidth="1"/>
    <col min="16135" max="16135" width="21.28515625" style="509" customWidth="1"/>
    <col min="16136" max="16384" width="9.140625" style="509"/>
  </cols>
  <sheetData>
    <row r="1" spans="1:9" ht="25.5">
      <c r="A1" s="507"/>
      <c r="B1" s="507" t="s">
        <v>329</v>
      </c>
      <c r="C1" s="542" t="s">
        <v>330</v>
      </c>
      <c r="D1" s="508" t="s">
        <v>331</v>
      </c>
      <c r="E1" s="508" t="s">
        <v>330</v>
      </c>
      <c r="F1" s="508" t="s">
        <v>332</v>
      </c>
      <c r="G1" s="534" t="s">
        <v>333</v>
      </c>
      <c r="H1" s="611" t="s">
        <v>334</v>
      </c>
      <c r="I1" s="507" t="s">
        <v>335</v>
      </c>
    </row>
    <row r="2" spans="1:9" ht="9" hidden="1" customHeight="1">
      <c r="A2" s="510"/>
      <c r="B2" s="507"/>
      <c r="C2" s="543"/>
      <c r="D2" s="511"/>
      <c r="E2" s="512"/>
      <c r="F2" s="511"/>
      <c r="G2" s="535"/>
      <c r="H2" s="612"/>
      <c r="I2" s="513"/>
    </row>
    <row r="3" spans="1:9" ht="27" hidden="1" customHeight="1">
      <c r="A3" s="510"/>
      <c r="B3" s="508"/>
      <c r="C3" s="542"/>
      <c r="D3" s="514"/>
      <c r="E3" s="508"/>
      <c r="F3" s="515"/>
      <c r="G3" s="536"/>
      <c r="H3" s="613"/>
      <c r="I3" s="516"/>
    </row>
    <row r="4" spans="1:9" ht="25.5">
      <c r="A4" s="510">
        <v>1</v>
      </c>
      <c r="B4" s="507">
        <v>183</v>
      </c>
      <c r="C4" s="542">
        <v>52</v>
      </c>
      <c r="D4" s="517">
        <v>2700</v>
      </c>
      <c r="E4" s="508">
        <v>36</v>
      </c>
      <c r="F4" s="517">
        <v>2700</v>
      </c>
      <c r="G4" s="537">
        <v>1</v>
      </c>
      <c r="H4" s="614"/>
      <c r="I4" s="518" t="s">
        <v>418</v>
      </c>
    </row>
    <row r="5" spans="1:9">
      <c r="A5" s="510"/>
      <c r="B5" s="507"/>
      <c r="C5" s="542"/>
      <c r="D5" s="517"/>
      <c r="E5" s="508"/>
      <c r="F5" s="517"/>
      <c r="G5" s="537"/>
      <c r="H5" s="614"/>
      <c r="I5" s="518"/>
    </row>
    <row r="6" spans="1:9" ht="38.25">
      <c r="A6" s="510">
        <v>2</v>
      </c>
      <c r="B6" s="507">
        <v>183</v>
      </c>
      <c r="C6" s="542">
        <v>0</v>
      </c>
      <c r="D6" s="517">
        <v>3386</v>
      </c>
      <c r="E6" s="508">
        <v>36</v>
      </c>
      <c r="F6" s="517">
        <v>3386</v>
      </c>
      <c r="G6" s="537">
        <v>999</v>
      </c>
      <c r="H6" s="614"/>
      <c r="I6" s="518" t="s">
        <v>405</v>
      </c>
    </row>
    <row r="7" spans="1:9">
      <c r="A7" s="510"/>
      <c r="B7" s="507"/>
      <c r="C7" s="542"/>
      <c r="D7" s="517"/>
      <c r="E7" s="508"/>
      <c r="F7" s="517"/>
      <c r="G7" s="537"/>
      <c r="H7" s="614"/>
      <c r="I7" s="518"/>
    </row>
    <row r="8" spans="1:9" ht="38.25">
      <c r="A8" s="510">
        <v>3</v>
      </c>
      <c r="B8" s="507">
        <v>183</v>
      </c>
      <c r="C8" s="542">
        <v>0</v>
      </c>
      <c r="D8" s="517">
        <v>4544</v>
      </c>
      <c r="E8" s="508">
        <v>36</v>
      </c>
      <c r="F8" s="517">
        <v>4544</v>
      </c>
      <c r="G8" s="537">
        <v>999</v>
      </c>
      <c r="H8" s="614"/>
      <c r="I8" s="518" t="s">
        <v>419</v>
      </c>
    </row>
    <row r="9" spans="1:9">
      <c r="A9" s="510"/>
      <c r="B9" s="507"/>
      <c r="C9" s="542"/>
      <c r="D9" s="517"/>
      <c r="E9" s="508"/>
      <c r="F9" s="517"/>
      <c r="G9" s="537"/>
      <c r="H9" s="614"/>
      <c r="I9" s="518"/>
    </row>
    <row r="10" spans="1:9" ht="40.15" customHeight="1">
      <c r="A10" s="510">
        <v>4</v>
      </c>
      <c r="B10" s="507">
        <v>199</v>
      </c>
      <c r="C10" s="542">
        <v>0</v>
      </c>
      <c r="D10" s="517">
        <v>188</v>
      </c>
      <c r="E10" s="508">
        <v>23</v>
      </c>
      <c r="F10" s="517">
        <v>188</v>
      </c>
      <c r="G10" s="537">
        <v>1</v>
      </c>
      <c r="H10" s="614"/>
      <c r="I10" s="518" t="s">
        <v>420</v>
      </c>
    </row>
    <row r="11" spans="1:9" ht="36.6" hidden="1" customHeight="1">
      <c r="A11" s="510">
        <v>14</v>
      </c>
      <c r="B11" s="508"/>
      <c r="C11" s="542"/>
      <c r="D11" s="514"/>
      <c r="E11" s="508"/>
      <c r="F11" s="515"/>
      <c r="G11" s="536"/>
      <c r="H11" s="613"/>
      <c r="I11" s="518"/>
    </row>
    <row r="12" spans="1:9" ht="36.6" hidden="1" customHeight="1">
      <c r="A12" s="510"/>
      <c r="B12" s="508"/>
      <c r="C12" s="542"/>
      <c r="D12" s="514"/>
      <c r="E12" s="508"/>
      <c r="F12" s="515"/>
      <c r="G12" s="536"/>
      <c r="H12" s="613"/>
      <c r="I12" s="518"/>
    </row>
    <row r="13" spans="1:9" ht="36.6" hidden="1" customHeight="1">
      <c r="A13" s="510">
        <v>15</v>
      </c>
      <c r="B13" s="508"/>
      <c r="C13" s="542"/>
      <c r="D13" s="514"/>
      <c r="E13" s="508"/>
      <c r="F13" s="515"/>
      <c r="G13" s="536"/>
      <c r="H13" s="613"/>
      <c r="I13" s="518"/>
    </row>
    <row r="14" spans="1:9" ht="36.6" hidden="1" customHeight="1">
      <c r="A14" s="510"/>
      <c r="B14" s="508"/>
      <c r="C14" s="542"/>
      <c r="D14" s="514"/>
      <c r="E14" s="508"/>
      <c r="F14" s="515"/>
      <c r="G14" s="536"/>
      <c r="H14" s="613"/>
      <c r="I14" s="518"/>
    </row>
    <row r="15" spans="1:9" ht="36.6" hidden="1" customHeight="1">
      <c r="A15" s="510">
        <v>16</v>
      </c>
      <c r="B15" s="508"/>
      <c r="C15" s="542"/>
      <c r="D15" s="514"/>
      <c r="E15" s="508"/>
      <c r="F15" s="515"/>
      <c r="G15" s="536"/>
      <c r="H15" s="613"/>
      <c r="I15" s="518"/>
    </row>
    <row r="16" spans="1:9" ht="36.6" hidden="1" customHeight="1">
      <c r="A16" s="510">
        <v>17</v>
      </c>
      <c r="B16" s="508"/>
      <c r="C16" s="542"/>
      <c r="D16" s="514"/>
      <c r="E16" s="508"/>
      <c r="F16" s="515"/>
      <c r="G16" s="536"/>
      <c r="H16" s="613"/>
      <c r="I16" s="518"/>
    </row>
    <row r="17" spans="1:9" ht="36.6" hidden="1" customHeight="1">
      <c r="A17" s="510"/>
      <c r="B17" s="508"/>
      <c r="C17" s="542"/>
      <c r="D17" s="514"/>
      <c r="E17" s="508"/>
      <c r="F17" s="515"/>
      <c r="G17" s="536"/>
      <c r="H17" s="613"/>
      <c r="I17" s="518"/>
    </row>
    <row r="18" spans="1:9" ht="36.6" hidden="1" customHeight="1">
      <c r="A18" s="510">
        <v>18</v>
      </c>
      <c r="B18" s="508"/>
      <c r="C18" s="542"/>
      <c r="D18" s="514"/>
      <c r="E18" s="508"/>
      <c r="F18" s="515"/>
      <c r="G18" s="536"/>
      <c r="H18" s="613"/>
      <c r="I18" s="518"/>
    </row>
    <row r="19" spans="1:9" ht="36.6" hidden="1" customHeight="1">
      <c r="A19" s="510"/>
      <c r="B19" s="508"/>
      <c r="C19" s="542"/>
      <c r="D19" s="514"/>
      <c r="E19" s="508"/>
      <c r="F19" s="515"/>
      <c r="G19" s="536"/>
      <c r="H19" s="613"/>
      <c r="I19" s="518"/>
    </row>
    <row r="20" spans="1:9" ht="36.6" hidden="1" customHeight="1">
      <c r="A20" s="510">
        <v>19</v>
      </c>
      <c r="B20" s="508"/>
      <c r="C20" s="542"/>
      <c r="D20" s="514"/>
      <c r="E20" s="508"/>
      <c r="F20" s="515"/>
      <c r="G20" s="536"/>
      <c r="H20" s="613"/>
      <c r="I20" s="518"/>
    </row>
    <row r="21" spans="1:9" ht="36.6" hidden="1" customHeight="1">
      <c r="A21" s="510"/>
      <c r="B21" s="508"/>
      <c r="C21" s="542"/>
      <c r="D21" s="514"/>
      <c r="E21" s="508"/>
      <c r="F21" s="515"/>
      <c r="G21" s="536"/>
      <c r="H21" s="613"/>
      <c r="I21" s="518"/>
    </row>
    <row r="22" spans="1:9" ht="36.6" hidden="1" customHeight="1">
      <c r="A22" s="510"/>
      <c r="B22" s="508"/>
      <c r="C22" s="542"/>
      <c r="D22" s="514"/>
      <c r="E22" s="508"/>
      <c r="F22" s="515"/>
      <c r="G22" s="536"/>
      <c r="H22" s="613"/>
      <c r="I22" s="518"/>
    </row>
    <row r="23" spans="1:9" ht="36.6" hidden="1" customHeight="1">
      <c r="A23" s="510">
        <v>20</v>
      </c>
      <c r="B23" s="508"/>
      <c r="C23" s="542"/>
      <c r="D23" s="514"/>
      <c r="E23" s="508"/>
      <c r="F23" s="515"/>
      <c r="G23" s="536"/>
      <c r="H23" s="613"/>
      <c r="I23" s="518"/>
    </row>
    <row r="24" spans="1:9" ht="36.6" hidden="1" customHeight="1">
      <c r="A24" s="510"/>
      <c r="B24" s="508"/>
      <c r="C24" s="542"/>
      <c r="D24" s="514"/>
      <c r="E24" s="508"/>
      <c r="F24" s="515"/>
      <c r="G24" s="536"/>
      <c r="H24" s="613"/>
      <c r="I24" s="518"/>
    </row>
    <row r="25" spans="1:9" ht="36.6" hidden="1" customHeight="1">
      <c r="A25" s="510">
        <v>21</v>
      </c>
      <c r="B25" s="508"/>
      <c r="C25" s="542"/>
      <c r="D25" s="514"/>
      <c r="E25" s="508"/>
      <c r="F25" s="515"/>
      <c r="G25" s="536"/>
      <c r="H25" s="613"/>
      <c r="I25" s="518"/>
    </row>
    <row r="26" spans="1:9" ht="36.6" hidden="1" customHeight="1">
      <c r="A26" s="510"/>
      <c r="B26" s="508"/>
      <c r="C26" s="542"/>
      <c r="D26" s="514"/>
      <c r="E26" s="508"/>
      <c r="F26" s="515"/>
      <c r="G26" s="536"/>
      <c r="H26" s="613"/>
      <c r="I26" s="518"/>
    </row>
    <row r="27" spans="1:9" ht="36.6" hidden="1" customHeight="1">
      <c r="A27" s="510">
        <v>22</v>
      </c>
      <c r="B27" s="508"/>
      <c r="C27" s="542"/>
      <c r="D27" s="514"/>
      <c r="E27" s="508"/>
      <c r="F27" s="515"/>
      <c r="G27" s="536"/>
      <c r="H27" s="613"/>
      <c r="I27" s="518"/>
    </row>
    <row r="28" spans="1:9" ht="36.6" hidden="1" customHeight="1">
      <c r="A28" s="510"/>
      <c r="B28" s="508"/>
      <c r="C28" s="542"/>
      <c r="D28" s="514"/>
      <c r="E28" s="508"/>
      <c r="F28" s="515"/>
      <c r="G28" s="536"/>
      <c r="H28" s="613"/>
      <c r="I28" s="518"/>
    </row>
    <row r="29" spans="1:9" ht="36.6" hidden="1" customHeight="1">
      <c r="A29" s="510">
        <v>23</v>
      </c>
      <c r="B29" s="508"/>
      <c r="C29" s="542"/>
      <c r="D29" s="514"/>
      <c r="E29" s="519"/>
      <c r="F29" s="520"/>
      <c r="G29" s="536"/>
      <c r="H29" s="613"/>
      <c r="I29" s="518"/>
    </row>
    <row r="30" spans="1:9">
      <c r="A30" s="510"/>
      <c r="B30" s="507"/>
      <c r="C30" s="542"/>
      <c r="D30" s="517"/>
      <c r="E30" s="508"/>
      <c r="F30" s="517"/>
      <c r="G30" s="537"/>
      <c r="H30" s="614"/>
      <c r="I30" s="518"/>
    </row>
    <row r="31" spans="1:9" ht="25.5">
      <c r="A31" s="510">
        <v>5</v>
      </c>
      <c r="B31" s="507">
        <v>199</v>
      </c>
      <c r="C31" s="542">
        <v>11</v>
      </c>
      <c r="D31" s="517">
        <v>1000</v>
      </c>
      <c r="E31" s="508">
        <v>13</v>
      </c>
      <c r="F31" s="517">
        <v>1000</v>
      </c>
      <c r="G31" s="537">
        <v>1</v>
      </c>
      <c r="H31" s="614"/>
      <c r="I31" s="518" t="s">
        <v>421</v>
      </c>
    </row>
    <row r="32" spans="1:9">
      <c r="A32" s="510"/>
      <c r="B32" s="507"/>
      <c r="C32" s="542"/>
      <c r="D32" s="517"/>
      <c r="E32" s="508"/>
      <c r="F32" s="517"/>
      <c r="G32" s="537"/>
      <c r="H32" s="614"/>
      <c r="I32" s="518"/>
    </row>
    <row r="33" spans="1:13" ht="25.5">
      <c r="A33" s="510">
        <v>6</v>
      </c>
      <c r="B33" s="507">
        <v>199</v>
      </c>
      <c r="C33" s="542">
        <v>11</v>
      </c>
      <c r="D33" s="517">
        <v>2808</v>
      </c>
      <c r="E33" s="508">
        <v>12</v>
      </c>
      <c r="F33" s="517">
        <v>2808</v>
      </c>
      <c r="G33" s="537">
        <v>41</v>
      </c>
      <c r="H33" s="614"/>
      <c r="I33" s="518" t="s">
        <v>422</v>
      </c>
    </row>
    <row r="34" spans="1:13">
      <c r="A34" s="510"/>
      <c r="B34" s="507"/>
      <c r="C34" s="542"/>
      <c r="D34" s="517"/>
      <c r="E34" s="508"/>
      <c r="F34" s="517"/>
      <c r="G34" s="537"/>
      <c r="H34" s="614"/>
      <c r="I34" s="518"/>
    </row>
    <row r="35" spans="1:13" ht="25.5">
      <c r="A35" s="510">
        <v>7</v>
      </c>
      <c r="B35" s="507">
        <v>199</v>
      </c>
      <c r="C35" s="542">
        <v>34</v>
      </c>
      <c r="D35" s="517">
        <v>2000</v>
      </c>
      <c r="E35" s="508">
        <v>36</v>
      </c>
      <c r="F35" s="517">
        <v>2000</v>
      </c>
      <c r="G35" s="537">
        <v>41</v>
      </c>
      <c r="H35" s="614"/>
      <c r="I35" s="518" t="s">
        <v>423</v>
      </c>
      <c r="M35" s="610" t="s">
        <v>85</v>
      </c>
    </row>
    <row r="36" spans="1:13">
      <c r="A36" s="510"/>
      <c r="B36" s="507"/>
      <c r="C36" s="542"/>
      <c r="D36" s="517"/>
      <c r="E36" s="508"/>
      <c r="F36" s="517"/>
      <c r="G36" s="537"/>
      <c r="H36" s="614"/>
      <c r="I36" s="518"/>
    </row>
    <row r="37" spans="1:13" s="609" customFormat="1" ht="25.5">
      <c r="A37" s="510">
        <v>8</v>
      </c>
      <c r="B37" s="507">
        <v>199</v>
      </c>
      <c r="C37" s="542">
        <v>11</v>
      </c>
      <c r="D37" s="517">
        <v>100</v>
      </c>
      <c r="E37" s="547">
        <v>31</v>
      </c>
      <c r="F37" s="517">
        <v>100</v>
      </c>
      <c r="G37" s="537">
        <v>821</v>
      </c>
      <c r="H37" s="614"/>
      <c r="I37" s="518" t="s">
        <v>424</v>
      </c>
    </row>
    <row r="38" spans="1:13">
      <c r="A38" s="510"/>
      <c r="B38" s="507"/>
      <c r="C38" s="542"/>
      <c r="D38" s="517"/>
      <c r="E38" s="547"/>
      <c r="F38" s="517"/>
      <c r="G38" s="537"/>
      <c r="H38" s="614"/>
      <c r="I38" s="518"/>
    </row>
    <row r="39" spans="1:13" ht="38.25">
      <c r="A39" s="510">
        <v>9</v>
      </c>
      <c r="B39" s="507">
        <v>199</v>
      </c>
      <c r="C39" s="542">
        <v>21</v>
      </c>
      <c r="D39" s="517">
        <v>900</v>
      </c>
      <c r="E39" s="508">
        <v>11</v>
      </c>
      <c r="F39" s="517">
        <v>900</v>
      </c>
      <c r="G39" s="537">
        <v>821</v>
      </c>
      <c r="H39" s="614"/>
      <c r="I39" s="518" t="s">
        <v>425</v>
      </c>
    </row>
    <row r="40" spans="1:13">
      <c r="A40" s="510"/>
      <c r="B40" s="507"/>
      <c r="C40" s="542"/>
      <c r="D40" s="517"/>
      <c r="E40" s="508"/>
      <c r="F40" s="517"/>
      <c r="G40" s="537"/>
      <c r="H40" s="614"/>
      <c r="I40" s="518"/>
    </row>
    <row r="41" spans="1:13" ht="38.25">
      <c r="A41" s="510">
        <v>10</v>
      </c>
      <c r="B41" s="507">
        <v>199</v>
      </c>
      <c r="C41" s="542">
        <v>0</v>
      </c>
      <c r="D41" s="517">
        <v>465427</v>
      </c>
      <c r="E41" s="547">
        <v>11</v>
      </c>
      <c r="F41" s="517">
        <v>465427</v>
      </c>
      <c r="G41" s="537">
        <v>821</v>
      </c>
      <c r="H41" s="614">
        <v>465427</v>
      </c>
      <c r="I41" s="518" t="s">
        <v>426</v>
      </c>
    </row>
    <row r="42" spans="1:13">
      <c r="A42" s="510"/>
      <c r="B42" s="507"/>
      <c r="C42" s="542"/>
      <c r="D42" s="517"/>
      <c r="E42" s="547"/>
      <c r="F42" s="517"/>
      <c r="G42" s="537"/>
      <c r="H42" s="614"/>
      <c r="I42" s="518"/>
    </row>
    <row r="43" spans="1:13" ht="51">
      <c r="A43" s="510">
        <v>11</v>
      </c>
      <c r="B43" s="507">
        <v>199</v>
      </c>
      <c r="C43" s="542">
        <v>0</v>
      </c>
      <c r="D43" s="517">
        <v>13000</v>
      </c>
      <c r="E43" s="547">
        <v>11</v>
      </c>
      <c r="F43" s="517">
        <v>13000</v>
      </c>
      <c r="G43" s="537">
        <v>823</v>
      </c>
      <c r="H43" s="614"/>
      <c r="I43" s="518" t="s">
        <v>427</v>
      </c>
    </row>
    <row r="44" spans="1:13">
      <c r="A44" s="510"/>
      <c r="B44" s="507"/>
      <c r="C44" s="542"/>
      <c r="D44" s="517"/>
      <c r="E44" s="547"/>
      <c r="F44" s="517"/>
      <c r="G44" s="537"/>
      <c r="H44" s="614"/>
      <c r="I44" s="518"/>
    </row>
    <row r="45" spans="1:13" ht="38.25">
      <c r="A45" s="510">
        <v>12</v>
      </c>
      <c r="B45" s="507">
        <v>199</v>
      </c>
      <c r="C45" s="542">
        <v>11</v>
      </c>
      <c r="D45" s="517">
        <v>7000</v>
      </c>
      <c r="E45" s="547">
        <v>53</v>
      </c>
      <c r="F45" s="517">
        <v>7000</v>
      </c>
      <c r="G45" s="537">
        <v>826</v>
      </c>
      <c r="H45" s="614"/>
      <c r="I45" s="518" t="s">
        <v>428</v>
      </c>
    </row>
    <row r="46" spans="1:13">
      <c r="A46" s="510"/>
      <c r="B46" s="507"/>
      <c r="C46" s="542"/>
      <c r="D46" s="517"/>
      <c r="E46" s="547"/>
      <c r="F46" s="517"/>
      <c r="G46" s="537"/>
      <c r="H46" s="614"/>
      <c r="I46" s="518"/>
    </row>
    <row r="47" spans="1:13" ht="25.5">
      <c r="A47" s="510">
        <v>13</v>
      </c>
      <c r="B47" s="507">
        <v>199</v>
      </c>
      <c r="C47" s="542">
        <v>11</v>
      </c>
      <c r="D47" s="517">
        <v>1200</v>
      </c>
      <c r="E47" s="547">
        <v>21</v>
      </c>
      <c r="F47" s="517">
        <v>1200</v>
      </c>
      <c r="G47" s="537">
        <v>821</v>
      </c>
      <c r="H47" s="614"/>
      <c r="I47" s="518" t="s">
        <v>446</v>
      </c>
    </row>
    <row r="48" spans="1:13">
      <c r="A48" s="510"/>
      <c r="B48" s="507"/>
      <c r="C48" s="542"/>
      <c r="D48" s="517"/>
      <c r="E48" s="508"/>
      <c r="F48" s="517"/>
      <c r="G48" s="537"/>
      <c r="H48" s="614"/>
      <c r="I48" s="518"/>
    </row>
    <row r="49" spans="1:9" ht="27.75" customHeight="1">
      <c r="A49" s="510"/>
      <c r="B49" s="507"/>
      <c r="C49" s="608" t="s">
        <v>336</v>
      </c>
      <c r="D49" s="514">
        <f>SUM(D3:D48)</f>
        <v>504253</v>
      </c>
      <c r="E49" s="521"/>
      <c r="F49" s="514">
        <f>SUM(F3:F48)</f>
        <v>504253</v>
      </c>
      <c r="G49" s="538"/>
      <c r="H49" s="613">
        <f>SUM(H3:H48)</f>
        <v>465427</v>
      </c>
      <c r="I49" s="518"/>
    </row>
    <row r="50" spans="1:9" ht="38.25" hidden="1" customHeight="1">
      <c r="A50" s="522"/>
      <c r="B50" s="523"/>
      <c r="C50" s="544"/>
      <c r="D50" s="524"/>
      <c r="E50" s="523"/>
      <c r="F50" s="525"/>
      <c r="G50" s="539"/>
      <c r="H50" s="615"/>
      <c r="I50" s="526"/>
    </row>
    <row r="51" spans="1:9" ht="38.25" hidden="1" customHeight="1">
      <c r="A51" s="527" t="s">
        <v>337</v>
      </c>
      <c r="B51" s="528"/>
      <c r="C51" s="545"/>
      <c r="D51" s="529"/>
      <c r="E51" s="530"/>
      <c r="F51" s="531"/>
      <c r="G51" s="540"/>
      <c r="H51" s="616"/>
      <c r="I51" s="532"/>
    </row>
    <row r="52" spans="1:9" ht="56.25" hidden="1" customHeight="1">
      <c r="A52" s="522"/>
      <c r="B52" s="522"/>
      <c r="C52" s="544"/>
      <c r="D52" s="525"/>
      <c r="E52" s="523"/>
      <c r="F52" s="525"/>
      <c r="G52" s="539"/>
      <c r="H52" s="617"/>
      <c r="I52" s="533"/>
    </row>
    <row r="53" spans="1:9" ht="38.25" hidden="1" customHeight="1"/>
    <row r="54" spans="1:9" ht="51.75" hidden="1" customHeight="1"/>
  </sheetData>
  <pageMargins left="0.75" right="0.75" top="1.5" bottom="1" header="0.5" footer="0.5"/>
  <pageSetup scale="96" orientation="portrait" r:id="rId1"/>
  <headerFooter>
    <oddHeader>&amp;CLittle Elm Independent School District
General Fund 
Budget Amendments
May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406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23169774</v>
      </c>
      <c r="E10" s="186">
        <f>404+13000</f>
        <v>13404</v>
      </c>
      <c r="F10" s="187">
        <f>D10+E10</f>
        <v>23183178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49518842</v>
      </c>
      <c r="E13" s="452">
        <f>SUM(E10:E12)</f>
        <v>13404</v>
      </c>
      <c r="F13" s="190">
        <f>SUM(F10:F12)</f>
        <v>49532246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30374851</v>
      </c>
      <c r="E16" s="200">
        <f>-6794+13000</f>
        <v>6206</v>
      </c>
      <c r="F16" s="462">
        <f t="shared" ref="F16:F35" si="0">D16+E16</f>
        <v>30381057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666864</v>
      </c>
      <c r="E17" s="189"/>
      <c r="F17" s="187">
        <f t="shared" ref="F17:F22" si="2">D17+E17</f>
        <v>666864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532971</v>
      </c>
      <c r="E18" s="189">
        <v>-6100</v>
      </c>
      <c r="F18" s="478">
        <f t="shared" si="2"/>
        <v>526871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632753</v>
      </c>
      <c r="E19" s="189">
        <v>8330</v>
      </c>
      <c r="F19" s="187">
        <f t="shared" si="2"/>
        <v>641083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3171577</v>
      </c>
      <c r="E20" s="189">
        <v>246</v>
      </c>
      <c r="F20" s="187">
        <f t="shared" si="2"/>
        <v>3171823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1684987</v>
      </c>
      <c r="E21" s="189"/>
      <c r="F21" s="187">
        <f t="shared" si="2"/>
        <v>1684987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>
        <v>4000</v>
      </c>
      <c r="F24" s="187">
        <f t="shared" si="0"/>
        <v>1552150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1367666</v>
      </c>
      <c r="E26" s="189">
        <v>1122</v>
      </c>
      <c r="F26" s="187">
        <f t="shared" si="0"/>
        <v>1368788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1989333</v>
      </c>
      <c r="E27" s="189">
        <v>-1000</v>
      </c>
      <c r="F27" s="187">
        <f t="shared" si="0"/>
        <v>1988333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5186553</v>
      </c>
      <c r="E28" s="189">
        <v>20000</v>
      </c>
      <c r="F28" s="187">
        <f t="shared" si="0"/>
        <v>5206553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964241</v>
      </c>
      <c r="E30" s="189">
        <v>600</v>
      </c>
      <c r="F30" s="187">
        <f t="shared" si="0"/>
        <v>964841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1156572</v>
      </c>
      <c r="E33" s="189">
        <v>1123730</v>
      </c>
      <c r="F33" s="187">
        <f t="shared" si="0"/>
        <v>2280302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51484385</v>
      </c>
      <c r="E36" s="191">
        <f>SUM(E16:E35)</f>
        <v>1157134</v>
      </c>
      <c r="F36" s="190">
        <f>SUM(F16:F35)</f>
        <v>52641519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88">
        <v>21653740</v>
      </c>
      <c r="E41" s="192"/>
      <c r="F41" s="193">
        <f>D41</f>
        <v>21653740</v>
      </c>
      <c r="G41" s="18"/>
      <c r="H41" s="486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407</v>
      </c>
      <c r="B44" s="20"/>
      <c r="D44" s="196">
        <f>D13-D36+D38+D41</f>
        <v>19688197</v>
      </c>
      <c r="E44" s="197">
        <f>F44-D44</f>
        <v>-1143730</v>
      </c>
      <c r="F44" s="198">
        <f>F13-F36+F38-F39+F41</f>
        <v>18544467</v>
      </c>
      <c r="G44" s="11"/>
      <c r="H44" s="214">
        <f>H13-H32+H38+H39+H41</f>
        <v>3710704</v>
      </c>
      <c r="I44" s="214">
        <f>I13-I32+I38+I39+I41</f>
        <v>0</v>
      </c>
      <c r="J44" s="214">
        <f>J13-J32+J38+J39+J41</f>
        <v>3710704</v>
      </c>
    </row>
    <row r="45" spans="1:13" ht="15.75">
      <c r="A45" s="20" t="s">
        <v>85</v>
      </c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74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March 31,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3143799</v>
      </c>
      <c r="E74" s="223"/>
      <c r="F74" s="206">
        <f t="shared" si="3"/>
        <v>3143799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590367</v>
      </c>
      <c r="I80" s="222"/>
      <c r="J80" s="206">
        <f t="shared" si="4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3143799</v>
      </c>
      <c r="E85" s="215">
        <f>F85-D85</f>
        <v>0</v>
      </c>
      <c r="F85" s="209">
        <f>SUM(F65:F84)</f>
        <v>3143799</v>
      </c>
      <c r="G85" s="203"/>
      <c r="H85" s="209">
        <f>SUM(H64:H84)</f>
        <v>590367</v>
      </c>
      <c r="I85" s="215">
        <f>J85-H85</f>
        <v>0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87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03/31/15</v>
      </c>
      <c r="D90" s="214">
        <f>D61-D85+D87</f>
        <v>859146</v>
      </c>
      <c r="E90" s="215">
        <f>F90-D90</f>
        <v>0</v>
      </c>
      <c r="F90" s="214">
        <f>F87+F61-F85</f>
        <v>859146</v>
      </c>
      <c r="G90" s="227"/>
      <c r="H90" s="214">
        <f>H61-H85+H87</f>
        <v>122957</v>
      </c>
      <c r="I90" s="215">
        <f>J90-H90</f>
        <v>0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opLeftCell="A7" workbookViewId="0">
      <selection activeCell="C7" sqref="C7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30" t="s">
        <v>235</v>
      </c>
      <c r="B1" s="630"/>
      <c r="C1" s="630"/>
      <c r="D1" s="630"/>
      <c r="E1" s="630"/>
      <c r="F1" s="630"/>
      <c r="G1" s="630"/>
      <c r="H1" s="630"/>
      <c r="I1" s="630"/>
    </row>
    <row r="2" spans="1:9">
      <c r="A2" s="630" t="s">
        <v>319</v>
      </c>
      <c r="B2" s="630"/>
      <c r="C2" s="630"/>
      <c r="D2" s="630"/>
      <c r="E2" s="630"/>
      <c r="F2" s="630"/>
      <c r="G2" s="630"/>
      <c r="H2" s="630"/>
      <c r="I2" s="630"/>
    </row>
    <row r="3" spans="1:9">
      <c r="A3" s="630" t="s">
        <v>408</v>
      </c>
      <c r="B3" s="630"/>
      <c r="C3" s="630"/>
      <c r="D3" s="630"/>
      <c r="E3" s="630"/>
      <c r="F3" s="630"/>
      <c r="G3" s="630"/>
      <c r="H3" s="630"/>
      <c r="I3" s="630"/>
    </row>
    <row r="4" spans="1:9" ht="15">
      <c r="A4" s="28"/>
    </row>
    <row r="5" spans="1:9">
      <c r="A5" s="630" t="s">
        <v>0</v>
      </c>
      <c r="B5" s="630"/>
      <c r="C5" s="630"/>
      <c r="D5" s="630"/>
      <c r="E5" s="630"/>
      <c r="F5" s="630"/>
      <c r="G5" s="630"/>
      <c r="H5" s="630"/>
      <c r="I5" s="630"/>
    </row>
    <row r="6" spans="1:9" ht="13.5" thickBot="1">
      <c r="A6" s="630" t="s">
        <v>248</v>
      </c>
      <c r="B6" s="630"/>
      <c r="C6" s="630"/>
      <c r="D6" s="630"/>
      <c r="E6" s="630"/>
      <c r="F6" s="630"/>
      <c r="G6" s="630"/>
      <c r="H6" s="630"/>
      <c r="I6" s="630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23183178</v>
      </c>
      <c r="E10" s="441">
        <v>344794.57</v>
      </c>
      <c r="F10" s="357">
        <v>24788531.899999999</v>
      </c>
      <c r="G10" s="357">
        <f>F10-D10</f>
        <v>1605353.8999999985</v>
      </c>
      <c r="H10" s="39">
        <f>F10/D10</f>
        <v>1.0692464984740229</v>
      </c>
      <c r="I10" s="40">
        <f>7/12</f>
        <v>0.58333333333333337</v>
      </c>
    </row>
    <row r="11" spans="1:9">
      <c r="A11" s="26">
        <v>5800</v>
      </c>
      <c r="B11" s="27" t="s">
        <v>11</v>
      </c>
      <c r="D11" s="356">
        <v>26074068</v>
      </c>
      <c r="E11" s="357">
        <v>444356.93</v>
      </c>
      <c r="F11" s="357">
        <v>14475216.49</v>
      </c>
      <c r="G11" s="357">
        <f>F11-D11</f>
        <v>-11598851.51</v>
      </c>
      <c r="H11" s="39">
        <f>F11/D11</f>
        <v>0.5551575799372771</v>
      </c>
      <c r="I11" s="40">
        <f>I10</f>
        <v>0.58333333333333337</v>
      </c>
    </row>
    <row r="12" spans="1:9">
      <c r="A12" s="26">
        <v>5900</v>
      </c>
      <c r="B12" s="27" t="s">
        <v>12</v>
      </c>
      <c r="D12" s="358">
        <v>275000</v>
      </c>
      <c r="E12" s="359">
        <v>441544.52</v>
      </c>
      <c r="F12" s="359">
        <v>686832.55</v>
      </c>
      <c r="G12" s="359">
        <f>F12-D12</f>
        <v>411832.55000000005</v>
      </c>
      <c r="H12" s="436">
        <f>F12/D12</f>
        <v>2.4975729090909091</v>
      </c>
      <c r="I12" s="437">
        <f>I10</f>
        <v>0.58333333333333337</v>
      </c>
    </row>
    <row r="13" spans="1:9">
      <c r="A13" s="34" t="s">
        <v>49</v>
      </c>
      <c r="D13" s="355">
        <f>SUM(D10:D12)</f>
        <v>49532246</v>
      </c>
      <c r="E13" s="234">
        <f>SUM(E10:E12)</f>
        <v>1230696.02</v>
      </c>
      <c r="F13" s="234">
        <f>SUM(F10:F12)</f>
        <v>39950580.939999998</v>
      </c>
      <c r="G13" s="234">
        <f>F13-D13</f>
        <v>-9581665.0600000024</v>
      </c>
      <c r="H13" s="44">
        <f>F13/D13</f>
        <v>0.80655702428676457</v>
      </c>
      <c r="I13" s="41">
        <f>I10</f>
        <v>0.58333333333333337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30381057</v>
      </c>
      <c r="E16" s="357">
        <v>2613990.59</v>
      </c>
      <c r="F16" s="357">
        <f>122748.67+20023690.7</f>
        <v>20146439.370000001</v>
      </c>
      <c r="G16" s="357">
        <f>D16-F16</f>
        <v>10234617.629999999</v>
      </c>
      <c r="H16" s="238">
        <f t="shared" ref="H16:H25" si="0">F16/D16</f>
        <v>0.66312503116662469</v>
      </c>
      <c r="I16" s="237">
        <f>7/12</f>
        <v>0.58333333333333337</v>
      </c>
    </row>
    <row r="17" spans="1:9">
      <c r="A17" s="42" t="s">
        <v>52</v>
      </c>
      <c r="B17" s="27" t="s">
        <v>53</v>
      </c>
      <c r="D17" s="356">
        <v>666864</v>
      </c>
      <c r="E17" s="357">
        <v>50849.02</v>
      </c>
      <c r="F17" s="357">
        <f>14201.66+412305.07</f>
        <v>426506.73</v>
      </c>
      <c r="G17" s="357">
        <f t="shared" ref="G17:G30" si="1">D17-F17</f>
        <v>240357.27000000002</v>
      </c>
      <c r="H17" s="39">
        <f t="shared" si="0"/>
        <v>0.63957078204851359</v>
      </c>
      <c r="I17" s="237">
        <f>$I$16</f>
        <v>0.58333333333333337</v>
      </c>
    </row>
    <row r="18" spans="1:9">
      <c r="A18" s="42" t="s">
        <v>54</v>
      </c>
      <c r="B18" s="235" t="s">
        <v>242</v>
      </c>
      <c r="D18" s="356">
        <v>526871</v>
      </c>
      <c r="E18" s="357">
        <v>40365.519999999997</v>
      </c>
      <c r="F18" s="357">
        <f>17368.33+281706.35</f>
        <v>299074.68</v>
      </c>
      <c r="G18" s="357">
        <f t="shared" si="1"/>
        <v>227796.32</v>
      </c>
      <c r="H18" s="238">
        <f t="shared" si="0"/>
        <v>0.56764308530930718</v>
      </c>
      <c r="I18" s="237">
        <f t="shared" ref="I18:I35" si="2">$I$16</f>
        <v>0.58333333333333337</v>
      </c>
    </row>
    <row r="19" spans="1:9">
      <c r="A19" s="42" t="s">
        <v>55</v>
      </c>
      <c r="B19" s="235" t="s">
        <v>241</v>
      </c>
      <c r="D19" s="356">
        <v>641083</v>
      </c>
      <c r="E19" s="357">
        <v>73077.52</v>
      </c>
      <c r="F19" s="357">
        <f>8960.17+349294.57</f>
        <v>358254.74</v>
      </c>
      <c r="G19" s="357">
        <f t="shared" si="1"/>
        <v>282828.26</v>
      </c>
      <c r="H19" s="39">
        <f t="shared" si="0"/>
        <v>0.55882739052509578</v>
      </c>
      <c r="I19" s="237">
        <f t="shared" si="2"/>
        <v>0.58333333333333337</v>
      </c>
    </row>
    <row r="20" spans="1:9">
      <c r="A20" s="42" t="s">
        <v>56</v>
      </c>
      <c r="B20" s="235" t="s">
        <v>240</v>
      </c>
      <c r="D20" s="356">
        <v>3171823</v>
      </c>
      <c r="E20" s="357">
        <v>282321.23</v>
      </c>
      <c r="F20" s="357">
        <f>14088.94+1964978.93</f>
        <v>1979067.8699999999</v>
      </c>
      <c r="G20" s="357">
        <f t="shared" si="1"/>
        <v>1192755.1300000001</v>
      </c>
      <c r="H20" s="39">
        <f t="shared" si="0"/>
        <v>0.62395280884210746</v>
      </c>
      <c r="I20" s="237">
        <f t="shared" si="2"/>
        <v>0.58333333333333337</v>
      </c>
    </row>
    <row r="21" spans="1:9">
      <c r="A21" s="42" t="s">
        <v>57</v>
      </c>
      <c r="B21" s="235" t="s">
        <v>243</v>
      </c>
      <c r="D21" s="356">
        <v>1684987</v>
      </c>
      <c r="E21" s="357">
        <v>125810.04</v>
      </c>
      <c r="F21" s="357">
        <f>20022.25+915265.55</f>
        <v>935287.8</v>
      </c>
      <c r="G21" s="357">
        <f t="shared" si="1"/>
        <v>749699.2</v>
      </c>
      <c r="H21" s="39">
        <f t="shared" si="0"/>
        <v>0.55507122606880654</v>
      </c>
      <c r="I21" s="237">
        <f t="shared" si="2"/>
        <v>0.58333333333333337</v>
      </c>
    </row>
    <row r="22" spans="1:9">
      <c r="A22" s="42" t="s">
        <v>58</v>
      </c>
      <c r="B22" s="235" t="s">
        <v>244</v>
      </c>
      <c r="D22" s="356">
        <v>13000</v>
      </c>
      <c r="E22" s="357">
        <v>44.34</v>
      </c>
      <c r="F22" s="357">
        <v>12206.87</v>
      </c>
      <c r="G22" s="357">
        <f t="shared" si="1"/>
        <v>793.1299999999992</v>
      </c>
      <c r="H22" s="39">
        <f t="shared" si="0"/>
        <v>0.9389900000000001</v>
      </c>
      <c r="I22" s="237">
        <f t="shared" si="2"/>
        <v>0.58333333333333337</v>
      </c>
    </row>
    <row r="23" spans="1:9">
      <c r="A23" s="42" t="s">
        <v>59</v>
      </c>
      <c r="B23" s="27" t="s">
        <v>60</v>
      </c>
      <c r="D23" s="356">
        <v>473366</v>
      </c>
      <c r="E23" s="357">
        <v>41587.82</v>
      </c>
      <c r="F23" s="357">
        <f>1230.59+319062.91</f>
        <v>320293.5</v>
      </c>
      <c r="G23" s="357">
        <f t="shared" si="1"/>
        <v>153072.5</v>
      </c>
      <c r="H23" s="39">
        <f t="shared" si="0"/>
        <v>0.67662971147061679</v>
      </c>
      <c r="I23" s="237">
        <f t="shared" si="2"/>
        <v>0.58333333333333337</v>
      </c>
    </row>
    <row r="24" spans="1:9">
      <c r="A24" s="42" t="s">
        <v>61</v>
      </c>
      <c r="B24" s="27" t="s">
        <v>62</v>
      </c>
      <c r="D24" s="356">
        <v>1552150</v>
      </c>
      <c r="E24" s="441">
        <v>15855.74</v>
      </c>
      <c r="F24" s="357">
        <f>280+737340.91</f>
        <v>737620.91</v>
      </c>
      <c r="G24" s="357">
        <f t="shared" si="1"/>
        <v>814529.09</v>
      </c>
      <c r="H24" s="39">
        <f t="shared" si="0"/>
        <v>0.47522527461907677</v>
      </c>
      <c r="I24" s="237">
        <f t="shared" si="2"/>
        <v>0.58333333333333337</v>
      </c>
    </row>
    <row r="25" spans="1:9">
      <c r="A25" s="42" t="s">
        <v>63</v>
      </c>
      <c r="B25" s="27" t="s">
        <v>64</v>
      </c>
      <c r="D25" s="356">
        <v>74460</v>
      </c>
      <c r="E25" s="357">
        <v>6470.9</v>
      </c>
      <c r="F25" s="357">
        <v>43741.01</v>
      </c>
      <c r="G25" s="357">
        <f t="shared" si="1"/>
        <v>30718.989999999998</v>
      </c>
      <c r="H25" s="39">
        <f t="shared" si="0"/>
        <v>0.58744305667472474</v>
      </c>
      <c r="I25" s="237">
        <f t="shared" si="2"/>
        <v>0.58333333333333337</v>
      </c>
    </row>
    <row r="26" spans="1:9">
      <c r="A26" s="42" t="s">
        <v>65</v>
      </c>
      <c r="B26" s="27" t="s">
        <v>66</v>
      </c>
      <c r="D26" s="356">
        <v>1368788</v>
      </c>
      <c r="E26" s="357">
        <v>105208.47</v>
      </c>
      <c r="F26" s="357">
        <f>22665.02+864486.05</f>
        <v>887151.07000000007</v>
      </c>
      <c r="G26" s="357">
        <f t="shared" si="1"/>
        <v>481636.92999999993</v>
      </c>
      <c r="H26" s="39">
        <f t="shared" ref="H26:H33" si="3">F26/D26</f>
        <v>0.64812890674085399</v>
      </c>
      <c r="I26" s="237">
        <f t="shared" si="2"/>
        <v>0.58333333333333337</v>
      </c>
    </row>
    <row r="27" spans="1:9">
      <c r="A27" s="42" t="s">
        <v>67</v>
      </c>
      <c r="B27" s="27" t="s">
        <v>68</v>
      </c>
      <c r="D27" s="356">
        <v>1988333</v>
      </c>
      <c r="E27" s="357">
        <v>174593.44</v>
      </c>
      <c r="F27" s="357">
        <f>15851.08+1103551.54</f>
        <v>1119402.6200000001</v>
      </c>
      <c r="G27" s="357">
        <f t="shared" si="1"/>
        <v>868930.37999999989</v>
      </c>
      <c r="H27" s="39">
        <f t="shared" si="3"/>
        <v>0.56298548583159869</v>
      </c>
      <c r="I27" s="237">
        <f t="shared" si="2"/>
        <v>0.58333333333333337</v>
      </c>
    </row>
    <row r="28" spans="1:9">
      <c r="A28" s="42" t="s">
        <v>69</v>
      </c>
      <c r="B28" s="235" t="s">
        <v>70</v>
      </c>
      <c r="D28" s="356">
        <v>5206553</v>
      </c>
      <c r="E28" s="357">
        <v>492120.45</v>
      </c>
      <c r="F28" s="441">
        <f>125121.76+2920542.84</f>
        <v>3045664.5999999996</v>
      </c>
      <c r="G28" s="357">
        <f t="shared" si="1"/>
        <v>2160888.4000000004</v>
      </c>
      <c r="H28" s="39">
        <f t="shared" si="3"/>
        <v>0.58496755915093912</v>
      </c>
      <c r="I28" s="237">
        <f t="shared" si="2"/>
        <v>0.58333333333333337</v>
      </c>
    </row>
    <row r="29" spans="1:9">
      <c r="A29" s="42" t="s">
        <v>71</v>
      </c>
      <c r="B29" s="235" t="s">
        <v>245</v>
      </c>
      <c r="D29" s="356">
        <v>482604</v>
      </c>
      <c r="E29" s="357">
        <v>7797.6</v>
      </c>
      <c r="F29" s="357">
        <f>189+228998.53</f>
        <v>229187.53</v>
      </c>
      <c r="G29" s="357">
        <f t="shared" si="1"/>
        <v>253416.47</v>
      </c>
      <c r="H29" s="39">
        <f t="shared" si="3"/>
        <v>0.47489770080645827</v>
      </c>
      <c r="I29" s="237">
        <f t="shared" si="2"/>
        <v>0.58333333333333337</v>
      </c>
    </row>
    <row r="30" spans="1:9">
      <c r="A30" s="42" t="s">
        <v>72</v>
      </c>
      <c r="B30" s="27" t="s">
        <v>73</v>
      </c>
      <c r="D30" s="356">
        <v>964841</v>
      </c>
      <c r="E30" s="357">
        <v>45131.41</v>
      </c>
      <c r="F30" s="357">
        <f>427.91+439048.85</f>
        <v>439476.75999999995</v>
      </c>
      <c r="G30" s="357">
        <f t="shared" si="1"/>
        <v>525364.24</v>
      </c>
      <c r="H30" s="43">
        <f t="shared" si="3"/>
        <v>0.45549138148150831</v>
      </c>
      <c r="I30" s="40">
        <f t="shared" si="2"/>
        <v>0.58333333333333337</v>
      </c>
    </row>
    <row r="31" spans="1:9">
      <c r="A31" s="42" t="s">
        <v>74</v>
      </c>
      <c r="B31" s="27" t="s">
        <v>75</v>
      </c>
      <c r="D31" s="356">
        <v>36831</v>
      </c>
      <c r="E31" s="357">
        <v>2999.2</v>
      </c>
      <c r="F31" s="357">
        <v>21301.32</v>
      </c>
      <c r="G31" s="357">
        <f>D31-F31</f>
        <v>15529.68</v>
      </c>
      <c r="H31" s="43">
        <f t="shared" si="3"/>
        <v>0.57835301783823412</v>
      </c>
      <c r="I31" s="40">
        <f t="shared" si="2"/>
        <v>0.58333333333333337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649754.93000000005</v>
      </c>
      <c r="G32" s="357">
        <f>D32-F32</f>
        <v>200851.06999999995</v>
      </c>
      <c r="H32" s="43">
        <f t="shared" si="3"/>
        <v>0.76387296821325035</v>
      </c>
      <c r="I32" s="40">
        <f t="shared" si="2"/>
        <v>0.58333333333333337</v>
      </c>
    </row>
    <row r="33" spans="1:10">
      <c r="A33" s="42" t="s">
        <v>78</v>
      </c>
      <c r="B33" s="27" t="s">
        <v>79</v>
      </c>
      <c r="D33" s="356">
        <v>2280302</v>
      </c>
      <c r="E33" s="357">
        <v>390000</v>
      </c>
      <c r="F33" s="357">
        <f>155379.7+1193528.47</f>
        <v>1348908.17</v>
      </c>
      <c r="G33" s="357">
        <f>D33-F33</f>
        <v>931393.83000000007</v>
      </c>
      <c r="H33" s="43">
        <f t="shared" si="3"/>
        <v>0.59154803618117247</v>
      </c>
      <c r="I33" s="40">
        <f t="shared" si="2"/>
        <v>0.58333333333333337</v>
      </c>
    </row>
    <row r="34" spans="1:10">
      <c r="A34" s="42" t="s">
        <v>80</v>
      </c>
      <c r="B34" s="27" t="s">
        <v>81</v>
      </c>
      <c r="D34" s="356">
        <v>32000</v>
      </c>
      <c r="E34" s="357">
        <v>5963</v>
      </c>
      <c r="F34" s="357">
        <v>8900</v>
      </c>
      <c r="G34" s="357">
        <f>D34-F34</f>
        <v>23100</v>
      </c>
      <c r="H34" s="43">
        <f>F34/D34</f>
        <v>0.27812500000000001</v>
      </c>
      <c r="I34" s="40">
        <f t="shared" si="2"/>
        <v>0.58333333333333337</v>
      </c>
    </row>
    <row r="35" spans="1:10">
      <c r="A35" s="42" t="s">
        <v>246</v>
      </c>
      <c r="B35" s="235" t="s">
        <v>247</v>
      </c>
      <c r="D35" s="358">
        <v>245000</v>
      </c>
      <c r="E35" s="359">
        <v>61208.32</v>
      </c>
      <c r="F35" s="359">
        <v>180633.28</v>
      </c>
      <c r="G35" s="438">
        <f>D35-F35</f>
        <v>64366.720000000001</v>
      </c>
      <c r="H35" s="439">
        <f>F35/D35</f>
        <v>0.73727869387755096</v>
      </c>
      <c r="I35" s="437">
        <f t="shared" si="2"/>
        <v>0.58333333333333337</v>
      </c>
    </row>
    <row r="36" spans="1:10">
      <c r="A36" s="34" t="s">
        <v>31</v>
      </c>
      <c r="D36" s="355">
        <f>SUM(D16:D35)</f>
        <v>52641519</v>
      </c>
      <c r="E36" s="234">
        <f>SUM(E16:E35)</f>
        <v>4535394.6100000013</v>
      </c>
      <c r="F36" s="234">
        <f>SUM(F16:F35)</f>
        <v>33188873.760000005</v>
      </c>
      <c r="G36" s="234">
        <f>SUM(G16:G35)</f>
        <v>19452645.239999995</v>
      </c>
      <c r="H36" s="44">
        <f>F36/D36</f>
        <v>0.63046953033403164</v>
      </c>
      <c r="I36" s="41">
        <f>I16</f>
        <v>0.58333333333333337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0" t="s">
        <v>327</v>
      </c>
      <c r="C43" s="235"/>
      <c r="D43" s="505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18544467.420000002</v>
      </c>
      <c r="E45" s="231"/>
      <c r="F45" s="231">
        <f>(F13-F36)+F41+F43</f>
        <v>28415447.599999994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34" activePane="bottomRight" state="frozen"/>
      <selection pane="topRight" activeCell="C1" sqref="C1"/>
      <selection pane="bottomLeft" activeCell="A7" sqref="A7"/>
      <selection pane="bottomRight" activeCell="Q8" sqref="Q8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f>+K43</f>
        <v>26090893.149999995</v>
      </c>
      <c r="N7" s="261"/>
      <c r="O7" s="247">
        <f>+M43</f>
        <v>25040531.269999996</v>
      </c>
      <c r="P7" s="261"/>
      <c r="Q7" s="247"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O8" s="182" t="s">
        <v>85</v>
      </c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3121729.62</v>
      </c>
      <c r="N10" s="261"/>
      <c r="O10" s="182">
        <v>279490.73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24288996.770000003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7001.62</v>
      </c>
      <c r="N11" s="261"/>
      <c r="O11" s="182">
        <v>6885.92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36945.29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63563.85</v>
      </c>
      <c r="N12" s="261"/>
      <c r="O12" s="182">
        <v>134529.46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1100112.3399999999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56167</v>
      </c>
      <c r="N13" s="261"/>
      <c r="O13" s="182">
        <v>263974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569360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11175880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5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877204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15804.65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252352.4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26196.3</v>
      </c>
      <c r="N17" s="261"/>
      <c r="O17" s="182">
        <v>12945.52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127857.54999999999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106514.6</v>
      </c>
      <c r="N18" s="261"/>
      <c r="O18" s="182">
        <v>575783.64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1407008.22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181930.11</v>
      </c>
      <c r="N19" s="261"/>
      <c r="O19" s="182">
        <v>186760.65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1150509.97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126139.3</v>
      </c>
      <c r="N20" s="261"/>
      <c r="O20" s="182">
        <v>133463.92000000001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918340.55000000016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1086.5</v>
      </c>
      <c r="N21" s="261"/>
      <c r="O21" s="182">
        <v>1134.5999999999999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6099.18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3690333.9</v>
      </c>
      <c r="N25" s="261"/>
      <c r="O25" s="247">
        <f>SUM(O10:O24)</f>
        <v>1610773.0899999999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44551582.700000003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2367331</v>
      </c>
      <c r="N28" s="261"/>
      <c r="O28" s="250">
        <v>2398850.2799999998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16424816.48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1107717.93</v>
      </c>
      <c r="N29" s="182"/>
      <c r="O29" s="255">
        <v>811711.17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13446333.939999999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934298.45</v>
      </c>
      <c r="N30" s="261"/>
      <c r="O30" s="182">
        <v>614955.34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4301936.7699999996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331084.40000000002</v>
      </c>
      <c r="N31" s="261"/>
      <c r="O31" s="182">
        <v>331019.86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2295979.9899999998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264</v>
      </c>
      <c r="N32" s="261"/>
      <c r="O32" s="256">
        <v>303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3254.39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4740695.78</v>
      </c>
      <c r="N33" s="261"/>
      <c r="O33" s="247">
        <f>SUM(O28:O32)</f>
        <v>4156839.6499999994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36472321.57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4740695.78</v>
      </c>
      <c r="N39" s="261"/>
      <c r="O39" s="247">
        <f>SUM(O35:O38)+O33</f>
        <v>4156839.6499999994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37349520.57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-1050361.8800000004</v>
      </c>
      <c r="N41" s="261"/>
      <c r="O41" s="247">
        <f>+O25-O39</f>
        <v>-2546066.5599999996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7202062.1300000018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26090893.149999995</v>
      </c>
      <c r="L43" s="266"/>
      <c r="M43" s="456">
        <f>+M7+M41</f>
        <v>25040531.269999996</v>
      </c>
      <c r="N43" s="266"/>
      <c r="O43" s="456">
        <f>+O7+O41</f>
        <v>22494464.709999997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22494464.709999993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f>+K46+K49</f>
        <v>12167234.5</v>
      </c>
      <c r="N46" s="261"/>
      <c r="O46" s="182">
        <f>+M46+M49</f>
        <v>12168364.59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f>+K47+K50</f>
        <v>1379008.6300000001</v>
      </c>
      <c r="N47" s="261"/>
      <c r="O47" s="182">
        <f>+M47+M50</f>
        <v>1379066.6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f>+K48+K51</f>
        <v>1809426.8999999997</v>
      </c>
      <c r="N48" s="261"/>
      <c r="O48" s="182">
        <f>+M48+M51</f>
        <v>1809573.8699999996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1130.0899999999999</v>
      </c>
      <c r="N49" s="261"/>
      <c r="O49" s="182">
        <v>1307.04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8481.7799999999988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57.97</v>
      </c>
      <c r="N50" s="261"/>
      <c r="O50" s="182">
        <v>70.760000000000005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375.77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146.97</v>
      </c>
      <c r="N51" s="261"/>
      <c r="O51" s="182">
        <v>187.97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1125.8800000000001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15357005.060000002</v>
      </c>
      <c r="N54" s="266"/>
      <c r="O54" s="247">
        <f>SUM(O46:O53)</f>
        <v>15358570.829999998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15358570.829999998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41446563.179999992</v>
      </c>
      <c r="L56" s="266"/>
      <c r="M56" s="456">
        <f>+M43+M54</f>
        <v>40397536.329999998</v>
      </c>
      <c r="N56" s="266"/>
      <c r="O56" s="456">
        <f>+O43+O54</f>
        <v>37853035.539999992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37853035.539999992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Q8" sqref="Q8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f>+K27</f>
        <v>5395579.2600000016</v>
      </c>
      <c r="N7" s="261"/>
      <c r="O7" s="247">
        <f>+M27</f>
        <v>1896175.8900000015</v>
      </c>
      <c r="P7" s="261"/>
      <c r="Q7" s="247"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1499896.01</v>
      </c>
      <c r="N10" s="261"/>
      <c r="O10" s="182">
        <v>134012.5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11679999.85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700.62</v>
      </c>
      <c r="N11" s="261"/>
      <c r="O11" s="182">
        <v>671.2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7042.02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1500596.6300000001</v>
      </c>
      <c r="N15" s="261"/>
      <c r="O15" s="247">
        <f>SUM(O10:O14)</f>
        <v>134683.70000000001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12564240.870000001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5000000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13000000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5000000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13004953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-3499403.37</v>
      </c>
      <c r="N25" s="261"/>
      <c r="O25" s="247">
        <f>+O15-O23</f>
        <v>134683.70000000001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-440712.12999999913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5395579.2600000016</v>
      </c>
      <c r="L27" s="266"/>
      <c r="M27" s="456">
        <f>+M7+M25</f>
        <v>1896175.8900000015</v>
      </c>
      <c r="N27" s="266"/>
      <c r="O27" s="456">
        <f>+O7+O25</f>
        <v>2030859.5900000015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2030859.590000001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f>+K30+K31</f>
        <v>9241501.4000000004</v>
      </c>
      <c r="N30" s="261"/>
      <c r="O30" s="182">
        <f>+M34</f>
        <v>11448184.710000001</v>
      </c>
      <c r="P30" s="261"/>
      <c r="Q30" s="182"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393.33</v>
      </c>
      <c r="N31" s="261"/>
      <c r="O31" s="182">
        <v>466.81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1373.37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5000000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13000000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-2793710.02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-2793710.02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11448184.710000001</v>
      </c>
      <c r="N34" s="266"/>
      <c r="O34" s="247">
        <f>SUM(O30:O33)</f>
        <v>11448651.520000001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11448651.52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14637080.660000002</v>
      </c>
      <c r="L36" s="266"/>
      <c r="M36" s="456">
        <f>+M27+M34</f>
        <v>13344360.600000001</v>
      </c>
      <c r="N36" s="266"/>
      <c r="O36" s="456">
        <f>+O27+O34</f>
        <v>13479511.110000003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13479511.110000001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34" sqref="G3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406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22494464.709999993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1809761.84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12169671.630000001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1379137.36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f>11784.69+3226.87</f>
        <v>15011.560000000001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51156.65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-656130.73-1750.18</f>
        <v>-657880.91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37261322.839999996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2030859.590000001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11448651.52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24578.23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13504089.340000002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50765412.18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H45" sqref="H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409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42064</v>
      </c>
      <c r="B11" s="632" t="s">
        <v>258</v>
      </c>
      <c r="C11" s="631"/>
      <c r="D11" s="289" t="s">
        <v>171</v>
      </c>
      <c r="E11" s="278">
        <v>12168364.590000002</v>
      </c>
      <c r="F11" s="290">
        <v>1</v>
      </c>
      <c r="G11" s="290">
        <v>1</v>
      </c>
      <c r="H11" s="290">
        <v>0</v>
      </c>
      <c r="I11" s="278">
        <f>+E11</f>
        <v>12168364.590000002</v>
      </c>
      <c r="J11" s="288"/>
      <c r="K11" s="290"/>
      <c r="L11" s="291"/>
      <c r="M11" s="292"/>
      <c r="O11" s="91"/>
    </row>
    <row r="12" spans="1:15">
      <c r="A12" s="293"/>
      <c r="B12" s="633"/>
      <c r="C12" s="633"/>
      <c r="D12" s="289" t="s">
        <v>173</v>
      </c>
      <c r="E12" s="279">
        <v>0</v>
      </c>
      <c r="F12" s="290"/>
      <c r="G12" s="290"/>
      <c r="H12" s="290"/>
      <c r="I12" s="279">
        <f>+I11+E12</f>
        <v>12168364.590000002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12168364.590000002</v>
      </c>
      <c r="J13" s="288"/>
      <c r="K13" s="290"/>
      <c r="L13" s="279"/>
      <c r="M13" s="295">
        <f>+E13</f>
        <v>0</v>
      </c>
      <c r="O13" s="91"/>
    </row>
    <row r="14" spans="1:15">
      <c r="A14" s="293">
        <v>42094</v>
      </c>
      <c r="B14" s="296"/>
      <c r="C14" s="288"/>
      <c r="D14" s="289" t="s">
        <v>105</v>
      </c>
      <c r="E14" s="280">
        <v>1307.04</v>
      </c>
      <c r="F14" s="290"/>
      <c r="G14" s="290"/>
      <c r="H14" s="290">
        <v>1.2999999999999999E-3</v>
      </c>
      <c r="I14" s="297">
        <f>+I13+E14</f>
        <v>12169671.630000001</v>
      </c>
      <c r="J14" s="288"/>
      <c r="K14" s="290"/>
      <c r="L14" s="280">
        <f>+E14</f>
        <v>1307.04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12169671.630000001</v>
      </c>
      <c r="F16" s="319"/>
      <c r="G16" s="319"/>
      <c r="H16" s="319"/>
      <c r="I16" s="318">
        <f>I14</f>
        <v>12169671.630000001</v>
      </c>
      <c r="J16" s="320"/>
      <c r="K16" s="319"/>
      <c r="L16" s="318">
        <f>SUM(L14:L15)</f>
        <v>1307.04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42064</v>
      </c>
      <c r="B26" s="631" t="s">
        <v>170</v>
      </c>
      <c r="C26" s="631"/>
      <c r="D26" s="306" t="s">
        <v>171</v>
      </c>
      <c r="E26" s="278">
        <v>1379066.5999999996</v>
      </c>
      <c r="F26" s="290">
        <v>1</v>
      </c>
      <c r="G26" s="290">
        <v>1</v>
      </c>
      <c r="H26" s="290">
        <v>0</v>
      </c>
      <c r="I26" s="278">
        <f>E26</f>
        <v>1379066.5999999996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1379066.5999999996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1379066.5999999996</v>
      </c>
      <c r="J28" s="288"/>
      <c r="K28" s="290"/>
      <c r="L28" s="279"/>
      <c r="M28" s="307">
        <f>+E28</f>
        <v>0</v>
      </c>
    </row>
    <row r="29" spans="1:13">
      <c r="A29" s="293">
        <f>+A14</f>
        <v>42094</v>
      </c>
      <c r="B29" s="296"/>
      <c r="C29" s="288"/>
      <c r="D29" s="306" t="s">
        <v>105</v>
      </c>
      <c r="E29" s="280">
        <v>70.760000000000005</v>
      </c>
      <c r="F29" s="290"/>
      <c r="G29" s="290"/>
      <c r="H29" s="290">
        <v>6.0400000000000004E-4</v>
      </c>
      <c r="I29" s="279">
        <f>+I28+E29</f>
        <v>1379137.3599999996</v>
      </c>
      <c r="J29" s="288"/>
      <c r="K29" s="290"/>
      <c r="L29" s="280">
        <f>E29</f>
        <v>70.760000000000005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1379137.3599999996</v>
      </c>
      <c r="F31" s="319"/>
      <c r="G31" s="319"/>
      <c r="H31" s="319"/>
      <c r="I31" s="318">
        <f>I29</f>
        <v>1379137.3599999996</v>
      </c>
      <c r="J31" s="320"/>
      <c r="K31" s="319"/>
      <c r="L31" s="318">
        <f>L29</f>
        <v>70.760000000000005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42064</v>
      </c>
      <c r="B41" s="631" t="s">
        <v>172</v>
      </c>
      <c r="C41" s="631"/>
      <c r="D41" s="306" t="s">
        <v>171</v>
      </c>
      <c r="E41" s="278">
        <v>1809573.8700000052</v>
      </c>
      <c r="F41" s="290">
        <v>1</v>
      </c>
      <c r="G41" s="290">
        <v>1</v>
      </c>
      <c r="H41" s="290">
        <v>0</v>
      </c>
      <c r="I41" s="278">
        <f>E41</f>
        <v>1809573.8700000052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1809573.8700000052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1809573.8700000052</v>
      </c>
      <c r="J43" s="288"/>
      <c r="K43" s="290"/>
      <c r="L43" s="279"/>
      <c r="M43" s="307">
        <f>+E43</f>
        <v>0</v>
      </c>
    </row>
    <row r="44" spans="1:13">
      <c r="A44" s="293">
        <f>+A14</f>
        <v>42094</v>
      </c>
      <c r="B44" s="296"/>
      <c r="C44" s="288"/>
      <c r="D44" s="306" t="s">
        <v>105</v>
      </c>
      <c r="E44" s="435">
        <v>187.97</v>
      </c>
      <c r="F44" s="290"/>
      <c r="G44" s="290"/>
      <c r="H44" s="290">
        <v>1.1999999999999999E-3</v>
      </c>
      <c r="I44" s="279">
        <f>+I43+E44</f>
        <v>1809761.8400000052</v>
      </c>
      <c r="J44" s="288"/>
      <c r="K44" s="290"/>
      <c r="L44" s="280">
        <f>E44</f>
        <v>187.97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1809761.8400000052</v>
      </c>
      <c r="F46" s="319"/>
      <c r="G46" s="319"/>
      <c r="H46" s="319"/>
      <c r="I46" s="318">
        <f>I44</f>
        <v>1809761.8400000052</v>
      </c>
      <c r="J46" s="320"/>
      <c r="K46" s="319"/>
      <c r="L46" s="318">
        <f>L44</f>
        <v>187.97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7" sqref="H17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410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42064</v>
      </c>
      <c r="B11" s="632" t="s">
        <v>263</v>
      </c>
      <c r="C11" s="631"/>
      <c r="D11" s="289" t="s">
        <v>171</v>
      </c>
      <c r="E11" s="278">
        <v>11448184.710000003</v>
      </c>
      <c r="F11" s="290">
        <v>1</v>
      </c>
      <c r="G11" s="290">
        <v>1</v>
      </c>
      <c r="H11" s="290">
        <v>0</v>
      </c>
      <c r="I11" s="278">
        <f>+E11</f>
        <v>11448184.710000003</v>
      </c>
      <c r="J11" s="288"/>
      <c r="K11" s="290"/>
      <c r="L11" s="291"/>
      <c r="M11" s="292"/>
      <c r="O11" s="91"/>
    </row>
    <row r="12" spans="1:15">
      <c r="A12" s="293"/>
      <c r="B12" s="633"/>
      <c r="C12" s="633"/>
      <c r="D12" s="289" t="s">
        <v>173</v>
      </c>
      <c r="E12" s="279">
        <v>0</v>
      </c>
      <c r="F12" s="290"/>
      <c r="G12" s="290"/>
      <c r="H12" s="290"/>
      <c r="I12" s="279">
        <f>+I11+E12</f>
        <v>11448184.710000003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11448184.710000003</v>
      </c>
      <c r="J13" s="288"/>
      <c r="K13" s="290"/>
      <c r="L13" s="279"/>
      <c r="M13" s="295">
        <f>+E13</f>
        <v>0</v>
      </c>
      <c r="O13" s="91"/>
    </row>
    <row r="14" spans="1:15">
      <c r="A14" s="459">
        <v>42094</v>
      </c>
      <c r="B14" s="296"/>
      <c r="C14" s="288"/>
      <c r="D14" s="289" t="s">
        <v>105</v>
      </c>
      <c r="E14" s="280">
        <v>466.81</v>
      </c>
      <c r="F14" s="290"/>
      <c r="G14" s="290"/>
      <c r="H14" s="479">
        <v>4.8000000000000001E-4</v>
      </c>
      <c r="I14" s="279">
        <f>+I13+E14</f>
        <v>11448651.520000003</v>
      </c>
      <c r="J14" s="288"/>
      <c r="K14" s="290"/>
      <c r="L14" s="280">
        <f>+E14</f>
        <v>466.81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11448651.520000003</v>
      </c>
      <c r="F16" s="319"/>
      <c r="G16" s="319"/>
      <c r="H16" s="319"/>
      <c r="I16" s="318">
        <f>I14</f>
        <v>11448651.520000003</v>
      </c>
      <c r="J16" s="320"/>
      <c r="K16" s="319"/>
      <c r="L16" s="318">
        <f>SUM(L14:L15)</f>
        <v>466.81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workbookViewId="0">
      <selection activeCell="A29" sqref="A29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34" t="s">
        <v>235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 t="s">
        <v>235</v>
      </c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  <c r="AA1" s="634"/>
      <c r="AB1" s="634"/>
      <c r="AC1" s="634" t="s">
        <v>235</v>
      </c>
      <c r="AD1" s="634"/>
      <c r="AE1" s="634"/>
      <c r="AF1" s="634"/>
      <c r="AG1" s="634"/>
      <c r="AH1" s="634"/>
      <c r="AI1" s="634"/>
      <c r="AJ1" s="634"/>
      <c r="AK1" s="634"/>
      <c r="AL1" s="634"/>
      <c r="AM1" s="634"/>
      <c r="AN1" s="634"/>
      <c r="AO1" s="634"/>
      <c r="AP1" s="634"/>
      <c r="AQ1" s="634" t="s">
        <v>235</v>
      </c>
      <c r="AR1" s="634"/>
      <c r="AS1" s="634"/>
      <c r="AT1" s="634"/>
      <c r="AU1" s="634"/>
      <c r="AV1" s="634"/>
      <c r="AW1" s="634"/>
      <c r="AX1" s="634"/>
      <c r="AY1" s="634"/>
      <c r="AZ1" s="634"/>
      <c r="BA1" s="634"/>
      <c r="BB1" s="634"/>
      <c r="BC1" s="634"/>
      <c r="BD1" s="634"/>
      <c r="BE1" s="338"/>
      <c r="BF1" s="339"/>
      <c r="BG1" s="339"/>
    </row>
    <row r="2" spans="1:59" ht="19.5">
      <c r="A2" s="634" t="s">
        <v>411</v>
      </c>
      <c r="B2" s="634"/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  <c r="N2" s="634"/>
      <c r="O2" s="634" t="str">
        <f>A2</f>
        <v>Summary of Revenue &amp; Expenditures As Of  03/31/15</v>
      </c>
      <c r="P2" s="634"/>
      <c r="Q2" s="634"/>
      <c r="R2" s="634"/>
      <c r="S2" s="634"/>
      <c r="T2" s="634"/>
      <c r="U2" s="634"/>
      <c r="V2" s="634"/>
      <c r="W2" s="634"/>
      <c r="X2" s="634"/>
      <c r="Y2" s="634"/>
      <c r="Z2" s="634"/>
      <c r="AA2" s="634"/>
      <c r="AB2" s="634"/>
      <c r="AC2" s="634" t="str">
        <f>A2</f>
        <v>Summary of Revenue &amp; Expenditures As Of  03/31/15</v>
      </c>
      <c r="AD2" s="634"/>
      <c r="AE2" s="634"/>
      <c r="AF2" s="634"/>
      <c r="AG2" s="634"/>
      <c r="AH2" s="634"/>
      <c r="AI2" s="634"/>
      <c r="AJ2" s="634"/>
      <c r="AK2" s="634"/>
      <c r="AL2" s="634"/>
      <c r="AM2" s="634"/>
      <c r="AN2" s="634"/>
      <c r="AO2" s="634"/>
      <c r="AP2" s="634"/>
      <c r="AQ2" s="634" t="str">
        <f>A2</f>
        <v>Summary of Revenue &amp; Expenditures As Of  03/31/15</v>
      </c>
      <c r="AR2" s="634"/>
      <c r="AS2" s="634"/>
      <c r="AT2" s="634"/>
      <c r="AU2" s="634"/>
      <c r="AV2" s="634"/>
      <c r="AW2" s="634"/>
      <c r="AX2" s="634"/>
      <c r="AY2" s="634"/>
      <c r="AZ2" s="634"/>
      <c r="BA2" s="634"/>
      <c r="BB2" s="634"/>
      <c r="BC2" s="634"/>
      <c r="BD2" s="634"/>
      <c r="BE2" s="338"/>
      <c r="BF2" s="339"/>
      <c r="BG2" s="339"/>
    </row>
    <row r="3" spans="1:59" s="144" customFormat="1" ht="19.5">
      <c r="A3" s="636" t="s">
        <v>412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 t="str">
        <f>A3</f>
        <v>Accounting Period: 03</v>
      </c>
      <c r="P3" s="636"/>
      <c r="Q3" s="636"/>
      <c r="R3" s="636"/>
      <c r="S3" s="636"/>
      <c r="T3" s="636"/>
      <c r="U3" s="636"/>
      <c r="V3" s="636"/>
      <c r="W3" s="636"/>
      <c r="X3" s="636"/>
      <c r="Y3" s="636"/>
      <c r="Z3" s="636"/>
      <c r="AA3" s="636"/>
      <c r="AB3" s="636"/>
      <c r="AC3" s="636" t="str">
        <f>O3</f>
        <v>Accounting Period: 03</v>
      </c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6"/>
      <c r="AO3" s="636"/>
      <c r="AP3" s="636"/>
      <c r="AQ3" s="636" t="str">
        <f>A3</f>
        <v>Accounting Period: 03</v>
      </c>
      <c r="AR3" s="636"/>
      <c r="AS3" s="636"/>
      <c r="AT3" s="636"/>
      <c r="AU3" s="636"/>
      <c r="AV3" s="636"/>
      <c r="AW3" s="636"/>
      <c r="AX3" s="636"/>
      <c r="AY3" s="636"/>
      <c r="AZ3" s="636"/>
      <c r="BA3" s="636"/>
      <c r="BB3" s="636"/>
      <c r="BC3" s="636"/>
      <c r="BD3" s="636"/>
      <c r="BE3" s="342"/>
      <c r="BF3" s="343"/>
      <c r="BG3" s="343"/>
    </row>
    <row r="4" spans="1:59" ht="20.25" thickBot="1">
      <c r="A4" s="635"/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5"/>
      <c r="W4" s="635"/>
      <c r="X4" s="635"/>
      <c r="Y4" s="635"/>
      <c r="Z4" s="635"/>
      <c r="AA4" s="635"/>
      <c r="AB4" s="635"/>
      <c r="AC4" s="635"/>
      <c r="AD4" s="635"/>
      <c r="AE4" s="635"/>
      <c r="AF4" s="635"/>
      <c r="AG4" s="635"/>
      <c r="AH4" s="635"/>
      <c r="AI4" s="635"/>
      <c r="AJ4" s="635"/>
      <c r="AK4" s="635"/>
      <c r="AL4" s="635"/>
      <c r="AM4" s="635"/>
      <c r="AN4" s="635"/>
      <c r="AO4" s="635"/>
      <c r="AP4" s="635"/>
      <c r="AQ4" s="635"/>
      <c r="AR4" s="635"/>
      <c r="AS4" s="635"/>
      <c r="AT4" s="635"/>
      <c r="AU4" s="635"/>
      <c r="AV4" s="635"/>
      <c r="AW4" s="635"/>
      <c r="AX4" s="635"/>
      <c r="AY4" s="636"/>
      <c r="AZ4" s="636"/>
      <c r="BA4" s="636"/>
      <c r="BB4" s="636"/>
      <c r="BC4" s="636"/>
      <c r="BD4" s="636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496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497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328</v>
      </c>
      <c r="AS7" s="472"/>
      <c r="AT7" s="473"/>
      <c r="AU7" s="325" t="s">
        <v>274</v>
      </c>
      <c r="AW7" s="498"/>
      <c r="AX7" s="491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499"/>
      <c r="AX8" s="491"/>
      <c r="AY8" s="346"/>
      <c r="AZ8" s="144"/>
      <c r="BA8" s="491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619"/>
      <c r="AS9" s="472"/>
      <c r="AT9" s="473"/>
      <c r="AW9" s="499"/>
      <c r="AX9" s="491"/>
      <c r="AY9" s="344"/>
      <c r="AZ9" s="144"/>
      <c r="BA9" s="491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49532246</v>
      </c>
      <c r="E10" s="160">
        <v>1</v>
      </c>
      <c r="F10" s="326">
        <v>463976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56530</v>
      </c>
      <c r="S10" s="160">
        <v>1</v>
      </c>
      <c r="T10" s="326">
        <v>51268</v>
      </c>
      <c r="V10" s="160">
        <v>1</v>
      </c>
      <c r="W10" s="326">
        <v>126410</v>
      </c>
      <c r="X10" s="326"/>
      <c r="Y10" s="160">
        <v>1</v>
      </c>
      <c r="Z10" s="335">
        <v>6639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238105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620">
        <v>18180345</v>
      </c>
      <c r="AS10" s="621"/>
      <c r="AT10" s="622">
        <v>1</v>
      </c>
      <c r="AU10" s="326">
        <v>579032</v>
      </c>
      <c r="AW10" s="500">
        <v>1</v>
      </c>
      <c r="AX10" s="161"/>
      <c r="AY10" s="348"/>
      <c r="AZ10" s="494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1230696.02</v>
      </c>
      <c r="E11" s="145"/>
      <c r="F11" s="323">
        <v>56858.85</v>
      </c>
      <c r="H11" s="163"/>
      <c r="I11" s="323">
        <v>76580.570000000007</v>
      </c>
      <c r="K11" s="163"/>
      <c r="L11" s="323">
        <v>49.25</v>
      </c>
      <c r="M11" s="164"/>
      <c r="N11" s="163"/>
      <c r="O11" s="152" t="s">
        <v>221</v>
      </c>
      <c r="P11" s="154"/>
      <c r="Q11" s="323">
        <v>7646.62</v>
      </c>
      <c r="S11" s="145"/>
      <c r="T11" s="323">
        <v>0</v>
      </c>
      <c r="V11" s="163"/>
      <c r="W11" s="323">
        <v>6049.35</v>
      </c>
      <c r="Y11" s="163"/>
      <c r="Z11" s="333">
        <v>0</v>
      </c>
      <c r="AB11" s="163"/>
      <c r="AC11" s="152" t="s">
        <v>221</v>
      </c>
      <c r="AD11" s="154"/>
      <c r="AE11" s="333">
        <v>0</v>
      </c>
      <c r="AG11" s="163"/>
      <c r="AH11" s="333">
        <v>15804.65</v>
      </c>
      <c r="AJ11" s="162"/>
      <c r="AK11" s="333">
        <v>332782.09000000003</v>
      </c>
      <c r="AM11" s="163"/>
      <c r="AN11" s="333">
        <v>139021.22</v>
      </c>
      <c r="AO11" s="146"/>
      <c r="AP11" s="163"/>
      <c r="AQ11" s="152" t="s">
        <v>221</v>
      </c>
      <c r="AR11" s="619">
        <v>187.97</v>
      </c>
      <c r="AS11" s="472"/>
      <c r="AT11" s="623"/>
      <c r="AU11" s="323">
        <v>50732.41</v>
      </c>
      <c r="AW11" s="498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39950580.939999998</v>
      </c>
      <c r="D12" s="148"/>
      <c r="E12" s="167">
        <f>C12/C10</f>
        <v>0.80655702428676457</v>
      </c>
      <c r="F12" s="327">
        <v>181599.26</v>
      </c>
      <c r="G12" s="148"/>
      <c r="H12" s="167">
        <f>F12/F10</f>
        <v>0.39139796023932272</v>
      </c>
      <c r="I12" s="327">
        <v>444977.93</v>
      </c>
      <c r="J12" s="327"/>
      <c r="K12" s="167">
        <f>I12/I10</f>
        <v>0.60360298316745864</v>
      </c>
      <c r="L12" s="327">
        <v>1577.76</v>
      </c>
      <c r="M12" s="166"/>
      <c r="N12" s="167">
        <f>L12/L10</f>
        <v>0.17575582042998775</v>
      </c>
      <c r="O12" s="152" t="s">
        <v>222</v>
      </c>
      <c r="P12" s="145"/>
      <c r="Q12" s="327">
        <v>11494.08</v>
      </c>
      <c r="R12" s="148"/>
      <c r="S12" s="167">
        <f>Q12/Q10</f>
        <v>0.20332708296479746</v>
      </c>
      <c r="T12" s="327">
        <v>8313.33</v>
      </c>
      <c r="U12" s="148"/>
      <c r="V12" s="167">
        <f>T12/T10</f>
        <v>0.16215436529609112</v>
      </c>
      <c r="W12" s="327">
        <v>46546</v>
      </c>
      <c r="X12" s="327"/>
      <c r="Y12" s="167">
        <f>W12/W10</f>
        <v>0.36821453998892495</v>
      </c>
      <c r="Z12" s="334">
        <v>6639</v>
      </c>
      <c r="AA12" s="148"/>
      <c r="AB12" s="167"/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239554.77</v>
      </c>
      <c r="AI12" s="148"/>
      <c r="AJ12" s="167">
        <f>AH12/AH10</f>
        <v>1.0060887843598412</v>
      </c>
      <c r="AK12" s="334">
        <v>2127498.17</v>
      </c>
      <c r="AL12" s="148"/>
      <c r="AM12" s="167">
        <f>AK12/AK10</f>
        <v>0.7465471663817328</v>
      </c>
      <c r="AN12" s="334">
        <v>12589510.59</v>
      </c>
      <c r="AO12" s="148"/>
      <c r="AP12" s="167">
        <f>AN12/AN10</f>
        <v>1.1110784110307987</v>
      </c>
      <c r="AQ12" s="152" t="s">
        <v>222</v>
      </c>
      <c r="AR12" s="624">
        <v>18193323.379999999</v>
      </c>
      <c r="AS12" s="470"/>
      <c r="AT12" s="625">
        <f>AR12/AR10</f>
        <v>1.0007138687412147</v>
      </c>
      <c r="AU12" s="327">
        <v>343196.12</v>
      </c>
      <c r="AV12" s="148"/>
      <c r="AW12" s="501">
        <f>AU12/AU10</f>
        <v>0.59270665524530597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619"/>
      <c r="AS13" s="472"/>
      <c r="AT13" s="623"/>
      <c r="AW13" s="502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9581665.0600000024</v>
      </c>
      <c r="D14" s="152"/>
      <c r="E14" s="170">
        <f>C14/C10</f>
        <v>0.19344297571323543</v>
      </c>
      <c r="F14" s="325">
        <f>F10-F12</f>
        <v>282376.74</v>
      </c>
      <c r="G14" s="152"/>
      <c r="H14" s="170">
        <f>F14/F10</f>
        <v>0.60860203976067728</v>
      </c>
      <c r="I14" s="325">
        <f>I10-I12</f>
        <v>292225.07</v>
      </c>
      <c r="J14" s="325"/>
      <c r="K14" s="170">
        <f>I14/I10</f>
        <v>0.39639701683254136</v>
      </c>
      <c r="L14" s="325">
        <f>L10-L12</f>
        <v>7399.24</v>
      </c>
      <c r="M14" s="431"/>
      <c r="N14" s="170">
        <f>L14/L10</f>
        <v>0.82424417957001228</v>
      </c>
      <c r="O14" s="152" t="s">
        <v>223</v>
      </c>
      <c r="P14" s="430"/>
      <c r="Q14" s="325">
        <f>Q10-Q12</f>
        <v>45035.92</v>
      </c>
      <c r="R14" s="152"/>
      <c r="S14" s="170">
        <f>Q14/Q10</f>
        <v>0.79667291703520249</v>
      </c>
      <c r="T14" s="325">
        <f>T10-T12</f>
        <v>42954.67</v>
      </c>
      <c r="U14" s="152"/>
      <c r="V14" s="170">
        <f>T14/T10</f>
        <v>0.83784563470390883</v>
      </c>
      <c r="W14" s="325">
        <f>W10-W12</f>
        <v>79864</v>
      </c>
      <c r="X14" s="325"/>
      <c r="Y14" s="170">
        <f>W14/W10</f>
        <v>0.63178546001107505</v>
      </c>
      <c r="Z14" s="332">
        <f>Z10-Z12</f>
        <v>0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/>
      <c r="AI14" s="152"/>
      <c r="AJ14" s="170">
        <f>AH14/AH10</f>
        <v>0</v>
      </c>
      <c r="AK14" s="466">
        <f>IF(AK10-AK12&lt;0,0,AK10-AK12)</f>
        <v>722285.83000000007</v>
      </c>
      <c r="AL14" s="152" t="s">
        <v>314</v>
      </c>
      <c r="AM14" s="170">
        <f>AK14/AK10</f>
        <v>0.25345283361826726</v>
      </c>
      <c r="AN14" s="466">
        <f>IF(AN10-AN12&lt;0,0,AN10-AN12)</f>
        <v>0</v>
      </c>
      <c r="AO14" s="152"/>
      <c r="AP14" s="170">
        <f>AN14/AN10</f>
        <v>0</v>
      </c>
      <c r="AQ14" s="152" t="s">
        <v>223</v>
      </c>
      <c r="AR14" s="466">
        <f>IF(AR10-AR12&lt;0,0,AR10-AR12)</f>
        <v>0</v>
      </c>
      <c r="AS14" s="626"/>
      <c r="AT14" s="627">
        <f>AR14/AR10</f>
        <v>0</v>
      </c>
      <c r="AU14" s="325">
        <f>AU10-AU12</f>
        <v>235835.88</v>
      </c>
      <c r="AV14" s="152"/>
      <c r="AW14" s="503">
        <f>AU14/AU10</f>
        <v>0.40729334475469403</v>
      </c>
      <c r="AX14" s="492"/>
      <c r="AY14" s="346"/>
      <c r="AZ14" s="495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619"/>
      <c r="AS15" s="472"/>
      <c r="AT15" s="623"/>
      <c r="AW15" s="502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619"/>
      <c r="AS16" s="472"/>
      <c r="AT16" s="623"/>
      <c r="AW16" s="502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52641519</v>
      </c>
      <c r="E17" s="163">
        <v>1</v>
      </c>
      <c r="F17" s="323">
        <v>463976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56530</v>
      </c>
      <c r="S17" s="163">
        <v>1</v>
      </c>
      <c r="T17" s="323">
        <v>51268</v>
      </c>
      <c r="V17" s="163">
        <v>1</v>
      </c>
      <c r="W17" s="323">
        <v>126410</v>
      </c>
      <c r="Y17" s="163">
        <v>1</v>
      </c>
      <c r="Z17" s="333">
        <v>6639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263030</v>
      </c>
      <c r="AJ17" s="162">
        <v>1</v>
      </c>
      <c r="AK17" s="333">
        <v>3143799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619">
        <v>18180345</v>
      </c>
      <c r="AS17" s="472"/>
      <c r="AT17" s="623">
        <v>1</v>
      </c>
      <c r="AU17" s="323">
        <v>590367</v>
      </c>
      <c r="AW17" s="502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4535394.6100000003</v>
      </c>
      <c r="E18" s="163"/>
      <c r="F18" s="323">
        <v>39746.65</v>
      </c>
      <c r="H18" s="163"/>
      <c r="I18" s="323">
        <v>65007.75</v>
      </c>
      <c r="K18" s="163"/>
      <c r="L18" s="323">
        <v>539.35</v>
      </c>
      <c r="M18" s="164"/>
      <c r="N18" s="163"/>
      <c r="O18" s="152" t="s">
        <v>225</v>
      </c>
      <c r="P18" s="145"/>
      <c r="Q18" s="323">
        <v>890</v>
      </c>
      <c r="S18" s="163"/>
      <c r="T18" s="323">
        <v>26706.6</v>
      </c>
      <c r="V18" s="163"/>
      <c r="W18" s="323">
        <v>10231.36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0</v>
      </c>
      <c r="AJ18" s="162"/>
      <c r="AK18" s="333">
        <v>380223.19</v>
      </c>
      <c r="AM18" s="163"/>
      <c r="AN18" s="333">
        <v>10500</v>
      </c>
      <c r="AO18" s="146"/>
      <c r="AP18" s="163"/>
      <c r="AQ18" s="152" t="s">
        <v>225</v>
      </c>
      <c r="AR18" s="619">
        <v>0</v>
      </c>
      <c r="AS18" s="472"/>
      <c r="AT18" s="623"/>
      <c r="AU18" s="323">
        <v>43711.3</v>
      </c>
      <c r="AW18" s="502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518535.08+32670338.68</f>
        <v>33188873.759999998</v>
      </c>
      <c r="D19" s="148"/>
      <c r="E19" s="167">
        <f>C19/C17</f>
        <v>0.63046953033403152</v>
      </c>
      <c r="F19" s="327">
        <f>28083.12+221345.91</f>
        <v>249429.03</v>
      </c>
      <c r="G19" s="148"/>
      <c r="H19" s="167">
        <f>F19/F17</f>
        <v>0.53759037105367524</v>
      </c>
      <c r="I19" s="428">
        <f>5630.02+509985.68</f>
        <v>515615.7</v>
      </c>
      <c r="J19" s="327"/>
      <c r="K19" s="167">
        <f>I19/I17</f>
        <v>0.69942159757895728</v>
      </c>
      <c r="L19" s="327">
        <f>130.29+2117.11</f>
        <v>2247.4</v>
      </c>
      <c r="M19" s="166"/>
      <c r="N19" s="167">
        <f>L19/L17</f>
        <v>0.25035089673610339</v>
      </c>
      <c r="O19" s="152" t="str">
        <f>A19</f>
        <v>Exp./Encumbrances to Date</v>
      </c>
      <c r="P19" s="145"/>
      <c r="Q19" s="327">
        <f>24098.11+12384.08</f>
        <v>36482.19</v>
      </c>
      <c r="R19" s="148"/>
      <c r="S19" s="167">
        <f>Q19/Q17</f>
        <v>0.64535980895099954</v>
      </c>
      <c r="T19" s="327">
        <f>2225.14+37219.93</f>
        <v>39445.07</v>
      </c>
      <c r="U19" s="148"/>
      <c r="V19" s="167">
        <f>T19/T17</f>
        <v>0.76938967777170941</v>
      </c>
      <c r="W19" s="327">
        <f>11467.86+56777.36</f>
        <v>68245.22</v>
      </c>
      <c r="X19" s="327"/>
      <c r="Y19" s="167">
        <f>W19/W17</f>
        <v>0.53987200379716793</v>
      </c>
      <c r="Z19" s="334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16931.12+222623.65</f>
        <v>239554.77</v>
      </c>
      <c r="AI19" s="148"/>
      <c r="AJ19" s="167">
        <f>AH19/AH17</f>
        <v>0.9107507508649203</v>
      </c>
      <c r="AK19" s="334">
        <f>104067.57+1786161.17</f>
        <v>1890228.74</v>
      </c>
      <c r="AL19" s="148"/>
      <c r="AM19" s="167">
        <f>AK19/AK17</f>
        <v>0.6012562317120147</v>
      </c>
      <c r="AN19" s="334">
        <v>2806620.02</v>
      </c>
      <c r="AO19" s="148"/>
      <c r="AP19" s="167">
        <f>AN19/AN17</f>
        <v>0.24769627777792977</v>
      </c>
      <c r="AQ19" s="152" t="str">
        <f>+A19</f>
        <v>Exp./Encumbrances to Date</v>
      </c>
      <c r="AR19" s="624">
        <v>16383561.539999999</v>
      </c>
      <c r="AS19" s="470"/>
      <c r="AT19" s="625">
        <f>AR19/AR17</f>
        <v>0.90116890191027721</v>
      </c>
      <c r="AU19" s="327">
        <f>14864.8+346974.31</f>
        <v>361839.11</v>
      </c>
      <c r="AV19" s="148"/>
      <c r="AW19" s="501">
        <f>AU19/AU17</f>
        <v>0.61290537919633037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619"/>
      <c r="AS20" s="472"/>
      <c r="AT20" s="623"/>
      <c r="AW20" s="502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19452645.240000002</v>
      </c>
      <c r="D21" s="152"/>
      <c r="E21" s="170">
        <f>C21/C17</f>
        <v>0.36953046966596848</v>
      </c>
      <c r="F21" s="325">
        <f>F17-F19</f>
        <v>214546.97</v>
      </c>
      <c r="G21" s="152"/>
      <c r="H21" s="170">
        <f>F21/F17</f>
        <v>0.46240962894632481</v>
      </c>
      <c r="I21" s="325">
        <f>I17-I19</f>
        <v>221587.3</v>
      </c>
      <c r="J21" s="325"/>
      <c r="K21" s="170">
        <f>I21/I17</f>
        <v>0.30057840242104278</v>
      </c>
      <c r="L21" s="325">
        <f>L17-L19</f>
        <v>6729.6</v>
      </c>
      <c r="M21" s="169"/>
      <c r="N21" s="170">
        <f>L21/L17</f>
        <v>0.74964910326389667</v>
      </c>
      <c r="O21" s="152" t="s">
        <v>227</v>
      </c>
      <c r="P21" s="145"/>
      <c r="Q21" s="325">
        <f>Q17-Q19</f>
        <v>20047.809999999998</v>
      </c>
      <c r="R21" s="152"/>
      <c r="S21" s="170">
        <f>Q21/Q17</f>
        <v>0.35464019104900046</v>
      </c>
      <c r="T21" s="325">
        <f>T17-T19</f>
        <v>11822.93</v>
      </c>
      <c r="U21" s="152"/>
      <c r="V21" s="170">
        <f>T21/T17</f>
        <v>0.23061032222829056</v>
      </c>
      <c r="W21" s="325">
        <f>W17-W19</f>
        <v>58164.78</v>
      </c>
      <c r="X21" s="325"/>
      <c r="Y21" s="170">
        <f>W21/W17</f>
        <v>0.46012799620283207</v>
      </c>
      <c r="Z21" s="332">
        <f>Z17-Z19</f>
        <v>6639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23475.23000000001</v>
      </c>
      <c r="AI21" s="152"/>
      <c r="AJ21" s="168">
        <f>AH21/AH17</f>
        <v>8.9249249135079686E-2</v>
      </c>
      <c r="AK21" s="332">
        <f>AK17-AK19</f>
        <v>1253570.26</v>
      </c>
      <c r="AL21" s="152"/>
      <c r="AM21" s="170">
        <f>AK21/AK17</f>
        <v>0.39874376828798536</v>
      </c>
      <c r="AN21" s="332">
        <f>AN17-AN19</f>
        <v>8524272.9800000004</v>
      </c>
      <c r="AO21" s="152"/>
      <c r="AP21" s="170">
        <f>AN21/AN17</f>
        <v>0.75230372222207031</v>
      </c>
      <c r="AQ21" s="152" t="s">
        <v>227</v>
      </c>
      <c r="AR21" s="466">
        <f>AR17-AR19</f>
        <v>1796783.4600000009</v>
      </c>
      <c r="AS21" s="626"/>
      <c r="AT21" s="627">
        <f>AR21/AR17</f>
        <v>9.8831098089722763E-2</v>
      </c>
      <c r="AU21" s="325">
        <f>AU17-AU19</f>
        <v>228527.89</v>
      </c>
      <c r="AV21" s="152"/>
      <c r="AW21" s="503">
        <f>AU21/AU17</f>
        <v>0.38709462080366963</v>
      </c>
      <c r="AX21" s="165"/>
      <c r="AY21" s="346"/>
      <c r="AZ21" s="495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619"/>
      <c r="AS22" s="472"/>
      <c r="AT22" s="623"/>
      <c r="AW22" s="502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619"/>
      <c r="AS23" s="472"/>
      <c r="AT23" s="473"/>
      <c r="AW23" s="498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75">
        <f>C12-C19</f>
        <v>6761707.1799999997</v>
      </c>
      <c r="D24" s="173"/>
      <c r="E24" s="174"/>
      <c r="F24" s="325">
        <f>F12-F19</f>
        <v>-67829.76999999999</v>
      </c>
      <c r="G24" s="173"/>
      <c r="H24" s="174"/>
      <c r="I24" s="271">
        <f>I12-I19</f>
        <v>-70637.770000000019</v>
      </c>
      <c r="J24" s="271"/>
      <c r="K24" s="174"/>
      <c r="L24" s="271">
        <f>L12-L19</f>
        <v>-669.6400000000001</v>
      </c>
      <c r="M24" s="175"/>
      <c r="N24" s="176"/>
      <c r="O24" s="152" t="s">
        <v>230</v>
      </c>
      <c r="P24" s="145"/>
      <c r="Q24" s="271">
        <f>Q12-Q19</f>
        <v>-24988.11</v>
      </c>
      <c r="R24" s="173"/>
      <c r="S24" s="174"/>
      <c r="T24" s="271">
        <f>T12-T19</f>
        <v>-31131.739999999998</v>
      </c>
      <c r="U24" s="173"/>
      <c r="V24" s="174"/>
      <c r="W24" s="271">
        <f>W12-W19</f>
        <v>-21699.22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0</v>
      </c>
      <c r="AI24" s="173"/>
      <c r="AJ24" s="173"/>
      <c r="AK24" s="332">
        <f>AK12-AK19</f>
        <v>237269.42999999993</v>
      </c>
      <c r="AL24" s="173"/>
      <c r="AM24" s="174"/>
      <c r="AN24" s="332">
        <f>AN12-AN19</f>
        <v>9782890.5700000003</v>
      </c>
      <c r="AO24" s="173"/>
      <c r="AP24" s="174"/>
      <c r="AQ24" s="172" t="str">
        <f>+A24</f>
        <v>Actual Expenditures &amp; Encumbrances:</v>
      </c>
      <c r="AR24" s="466">
        <f>AR12-AR19</f>
        <v>1809761.8399999999</v>
      </c>
      <c r="AS24" s="628"/>
      <c r="AT24" s="629"/>
      <c r="AU24" s="271">
        <f>AU12-AU19</f>
        <v>-18642.989999999991</v>
      </c>
      <c r="AV24" s="173"/>
      <c r="AW24" s="504"/>
      <c r="AX24" s="493"/>
      <c r="AY24" s="353"/>
      <c r="AZ24" s="493"/>
      <c r="BA24" s="493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619"/>
      <c r="AS25" s="472"/>
      <c r="AT25" s="473"/>
      <c r="AU25" s="270"/>
      <c r="AW25" s="498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619"/>
      <c r="AS26" s="472"/>
      <c r="AT26" s="473"/>
      <c r="AU26" s="270"/>
      <c r="AW26" s="498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619"/>
      <c r="AS27" s="468"/>
      <c r="AT27" s="473"/>
      <c r="AU27" s="270"/>
      <c r="AW27" s="498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619"/>
      <c r="AS28" s="468"/>
      <c r="AT28" s="473"/>
      <c r="AU28" s="270"/>
      <c r="AW28" s="498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619"/>
      <c r="AS29" s="468"/>
      <c r="AT29" s="473"/>
      <c r="AU29" s="270"/>
      <c r="AW29" s="498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17"/>
  <sheetViews>
    <sheetView showOutlineSymbols="0" topLeftCell="G10" zoomScale="75" zoomScaleNormal="75" zoomScaleSheetLayoutView="75" workbookViewId="0">
      <selection activeCell="X29" sqref="X29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06">
        <v>42078</v>
      </c>
      <c r="C9" s="384"/>
      <c r="D9" s="385"/>
      <c r="E9" s="384"/>
      <c r="F9" s="384"/>
      <c r="G9" s="384"/>
      <c r="H9" s="384"/>
      <c r="I9" s="100"/>
      <c r="J9" s="98"/>
      <c r="K9" s="506">
        <v>42078</v>
      </c>
      <c r="L9" s="384"/>
      <c r="M9" s="384"/>
      <c r="N9" s="386"/>
      <c r="O9" s="387"/>
      <c r="P9" s="384"/>
      <c r="Q9" s="386"/>
      <c r="R9" s="384"/>
      <c r="S9" s="100"/>
      <c r="T9" s="98"/>
      <c r="U9" s="476">
        <v>42078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413</v>
      </c>
      <c r="E16" s="106" t="s">
        <v>85</v>
      </c>
      <c r="F16" s="451" t="s">
        <v>414</v>
      </c>
      <c r="G16" s="99"/>
      <c r="H16" s="105" t="s">
        <v>286</v>
      </c>
      <c r="I16" s="100"/>
      <c r="J16" s="98"/>
      <c r="K16" s="106"/>
      <c r="L16" s="106"/>
      <c r="M16" s="106"/>
      <c r="N16" s="477" t="s">
        <v>415</v>
      </c>
      <c r="O16" s="107" t="s">
        <v>286</v>
      </c>
      <c r="P16" s="106"/>
      <c r="Q16" s="449" t="s">
        <v>416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265771.14</v>
      </c>
      <c r="E19" s="363"/>
      <c r="F19" s="363">
        <v>23953318.32</v>
      </c>
      <c r="G19" s="99" t="s">
        <v>85</v>
      </c>
      <c r="H19" s="113">
        <f>ROUND((+F19+F20)/F61,6)</f>
        <v>0.97472499999999995</v>
      </c>
      <c r="I19" s="100"/>
      <c r="J19" s="98"/>
      <c r="K19" s="99" t="s">
        <v>189</v>
      </c>
      <c r="L19" s="99"/>
      <c r="M19" s="99"/>
      <c r="N19" s="363">
        <f>+F19+F20</f>
        <v>35469336.189999998</v>
      </c>
      <c r="O19" s="113">
        <f>ROUND(+N19/N61,6)</f>
        <v>0.97472499999999995</v>
      </c>
      <c r="P19" s="99"/>
      <c r="Q19" s="480">
        <f>20599804.53+9903752.36</f>
        <v>30503556.890000001</v>
      </c>
      <c r="R19" s="113">
        <f>+Q19/Q57</f>
        <v>0.97616979389979508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127774.51</v>
      </c>
      <c r="E20" s="363"/>
      <c r="F20" s="363">
        <v>11516017.869999999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0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0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3322.53+14072.72+13.09+473.88-23.7</f>
        <v>17858.52</v>
      </c>
      <c r="E22" s="363"/>
      <c r="F22" s="363">
        <f>5427.31+26701.64+13.09+4349.26-217.47+0.32-6.47</f>
        <v>36267.68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51689.08</v>
      </c>
      <c r="O22" s="114"/>
      <c r="P22" s="99"/>
      <c r="Q22" s="480">
        <f>8629.41+40416.65+1093.4+4293.16-214.68</f>
        <v>54217.939999999995</v>
      </c>
      <c r="R22" s="105"/>
      <c r="S22" s="100"/>
      <c r="T22" s="98"/>
      <c r="U22" s="115" t="s">
        <v>429</v>
      </c>
      <c r="V22" s="99"/>
      <c r="W22" s="99"/>
      <c r="Y22" s="371">
        <v>1277835.8799999948</v>
      </c>
      <c r="Z22" s="116"/>
      <c r="AA22" s="371">
        <v>389309.28999999637</v>
      </c>
      <c r="AB22" s="100"/>
      <c r="AC22" s="96"/>
    </row>
    <row r="23" spans="1:29">
      <c r="A23" s="98"/>
      <c r="B23" s="99" t="s">
        <v>194</v>
      </c>
      <c r="C23" s="99"/>
      <c r="D23" s="363">
        <f>1592.81+6749.77</f>
        <v>8342.58</v>
      </c>
      <c r="E23" s="363"/>
      <c r="F23" s="363">
        <f>2604.12+12817.28</f>
        <v>15421.400000000001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0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0"/>
      <c r="R24" s="114"/>
      <c r="S24" s="100"/>
      <c r="T24" s="98"/>
      <c r="U24" s="99" t="s">
        <v>198</v>
      </c>
      <c r="V24" s="99"/>
      <c r="W24" s="99"/>
      <c r="Y24" s="363">
        <v>393545.65</v>
      </c>
      <c r="Z24" s="126"/>
      <c r="AA24" s="363">
        <f>397614.45-393545.65</f>
        <v>4068.7999999999884</v>
      </c>
      <c r="AB24" s="100"/>
      <c r="AC24" s="96"/>
    </row>
    <row r="25" spans="1:29">
      <c r="A25" s="98"/>
      <c r="B25" s="99" t="s">
        <v>196</v>
      </c>
      <c r="C25" s="99"/>
      <c r="D25" s="363">
        <v>2462.65</v>
      </c>
      <c r="E25" s="363"/>
      <c r="F25" s="363">
        <v>2462.65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2462.65</v>
      </c>
      <c r="O25" s="114"/>
      <c r="P25" s="99"/>
      <c r="Q25" s="480">
        <v>1473.77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0" t="s">
        <v>199</v>
      </c>
      <c r="R26" s="105"/>
      <c r="S26" s="100"/>
      <c r="T26" s="98"/>
      <c r="U26" s="99" t="s">
        <v>201</v>
      </c>
      <c r="V26" s="99"/>
      <c r="W26" s="99"/>
      <c r="Y26" s="379">
        <v>35453.54</v>
      </c>
      <c r="Z26" s="97" t="s">
        <v>85</v>
      </c>
      <c r="AA26" s="363">
        <f>397173.35-35453.54</f>
        <v>361719.81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422209.40000000008</v>
      </c>
      <c r="E27" s="363" t="s">
        <v>85</v>
      </c>
      <c r="F27" s="364">
        <f>SUM(F19:F26)</f>
        <v>35523487.919999994</v>
      </c>
      <c r="G27" s="99"/>
      <c r="H27" s="113">
        <f>ROUND(+F27/F61,6)</f>
        <v>0.976213</v>
      </c>
      <c r="I27" s="100"/>
      <c r="J27" s="98"/>
      <c r="K27" s="99" t="s">
        <v>200</v>
      </c>
      <c r="L27" s="99"/>
      <c r="M27" s="99"/>
      <c r="N27" s="364">
        <f>SUM(N19:N26)</f>
        <v>35523487.919999994</v>
      </c>
      <c r="O27" s="113">
        <f>ROUND(+N27/N61,6)</f>
        <v>0.976213</v>
      </c>
      <c r="P27" s="99"/>
      <c r="Q27" s="481">
        <f>SUM(Q19:Q26)</f>
        <v>30559248.600000001</v>
      </c>
      <c r="R27" s="113">
        <f>+Q27/Q57</f>
        <v>0.97795203081297455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0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0"/>
      <c r="R29" s="114"/>
      <c r="S29" s="100"/>
      <c r="T29" s="98"/>
      <c r="U29" s="115" t="s">
        <v>430</v>
      </c>
      <c r="V29" s="99"/>
      <c r="W29" s="99"/>
      <c r="X29" s="97" t="s">
        <v>85</v>
      </c>
      <c r="Y29" s="363">
        <f>+Y22-Y24+Y26</f>
        <v>919743.76999999478</v>
      </c>
      <c r="Z29" s="119"/>
      <c r="AA29" s="363">
        <f>+AA22-AA24+AA26</f>
        <v>746960.29999999632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0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0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2759.37</v>
      </c>
      <c r="E32" s="366"/>
      <c r="F32" s="366">
        <v>283625.99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419746.02</v>
      </c>
      <c r="O32" s="114"/>
      <c r="P32" s="99"/>
      <c r="Q32" s="480">
        <f>96244.84+17251.96-25703.76</f>
        <v>87793.04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1309.43</v>
      </c>
      <c r="E33" s="363"/>
      <c r="F33" s="363">
        <v>136120.03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0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82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630.93+364.83+8.76+16.55-0.83</f>
        <v>1020.2399999999999</v>
      </c>
      <c r="E35" s="363"/>
      <c r="F35" s="363">
        <f>36604.05+11213.86+8486.44+57.99+174.81-8.75+0.27-5.39</f>
        <v>56523.28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83252.84</v>
      </c>
      <c r="O35" s="114"/>
      <c r="P35" s="99"/>
      <c r="Q35" s="480">
        <f>3174.48+21552.76+10512.14+183.22+26.26+206.36-10.32</f>
        <v>35644.9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284.26+172.43</f>
        <v>456.69</v>
      </c>
      <c r="E36" s="363"/>
      <c r="F36" s="363">
        <f>17598.13+5084.77+4046.66</f>
        <v>26729.56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0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0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1172.18</v>
      </c>
      <c r="E38" s="363"/>
      <c r="F38" s="363">
        <v>25295.91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25295.91</v>
      </c>
      <c r="O38" s="114"/>
      <c r="P38" s="99"/>
      <c r="Q38" s="480">
        <v>22711.58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0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82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6717.91</v>
      </c>
      <c r="E41" s="363"/>
      <c r="F41" s="364">
        <f>SUM(F32:F40)</f>
        <v>528294.77</v>
      </c>
      <c r="G41" s="99"/>
      <c r="H41" s="374"/>
      <c r="I41" s="100"/>
      <c r="J41" s="98"/>
      <c r="K41" s="97" t="s">
        <v>200</v>
      </c>
      <c r="N41" s="367">
        <f>SUM(N32:N40)</f>
        <v>528294.77</v>
      </c>
      <c r="O41" s="374"/>
      <c r="Q41" s="483">
        <f>SUM(Q32:Q40)</f>
        <v>146149.52000000002</v>
      </c>
      <c r="R41" s="124"/>
      <c r="S41" s="100"/>
      <c r="T41" s="98"/>
      <c r="U41" s="99" t="s">
        <v>431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0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84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0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0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35889082.210000001</v>
      </c>
      <c r="O46" s="377"/>
      <c r="P46" s="99"/>
      <c r="Q46" s="480">
        <f>+Q19+Q32</f>
        <v>30591349.93</v>
      </c>
      <c r="R46" s="105"/>
      <c r="S46" s="100"/>
      <c r="T46" s="98"/>
      <c r="U46" s="99" t="s">
        <v>198</v>
      </c>
      <c r="V46" s="99"/>
      <c r="W46" s="99"/>
      <c r="Y46" s="363">
        <v>35469336.189999998</v>
      </c>
      <c r="Z46" s="126"/>
      <c r="AA46" s="363">
        <f>35889082.21-35469336.19</f>
        <v>419746.02000000328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268530.51</v>
      </c>
      <c r="E47" s="363"/>
      <c r="F47" s="363">
        <f>+F19+F32</f>
        <v>24236944.309999999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0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129083.93999999999</v>
      </c>
      <c r="E48" s="363"/>
      <c r="F48" s="363">
        <f>+F20+F33</f>
        <v>11652137.899999999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134941.91999999998</v>
      </c>
      <c r="O48" s="378"/>
      <c r="P48" s="99"/>
      <c r="Q48" s="480">
        <f>+Q22+Q35</f>
        <v>89862.84</v>
      </c>
      <c r="R48" s="114"/>
      <c r="S48" s="100"/>
      <c r="T48" s="98"/>
      <c r="U48" s="99" t="s">
        <v>207</v>
      </c>
      <c r="V48" s="99"/>
      <c r="W48" s="99"/>
      <c r="Y48" s="379">
        <v>460514.18</v>
      </c>
      <c r="Z48" s="97" t="s">
        <v>85</v>
      </c>
      <c r="AA48" s="363">
        <f>807323.31-460514.18</f>
        <v>346809.13000000006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0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18878.760000000002</v>
      </c>
      <c r="E50" s="363"/>
      <c r="F50" s="363">
        <f>+F22+F35</f>
        <v>92790.959999999992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0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8799.27</v>
      </c>
      <c r="E51" s="363"/>
      <c r="F51" s="363">
        <f>+F23+F36</f>
        <v>42150.960000000006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27758.560000000001</v>
      </c>
      <c r="O51" s="378"/>
      <c r="P51" s="99"/>
      <c r="Q51" s="480">
        <f>+Q25+Q38</f>
        <v>24185.350000000002</v>
      </c>
      <c r="R51" s="114"/>
      <c r="S51" s="100"/>
      <c r="T51" s="98"/>
      <c r="U51" s="99" t="s">
        <v>432</v>
      </c>
      <c r="V51" s="99"/>
      <c r="W51" s="99"/>
      <c r="X51" s="97" t="s">
        <v>85</v>
      </c>
      <c r="Y51" s="363">
        <f>+Y44-Y46+Y48</f>
        <v>919743.77000000351</v>
      </c>
      <c r="Z51" s="119"/>
      <c r="AA51" s="363">
        <f>+AA44-AA46+AA48</f>
        <v>746960.29999999446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3634.83</v>
      </c>
      <c r="E52" s="363"/>
      <c r="F52" s="363">
        <f>+F25+F38</f>
        <v>27758.560000000001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0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0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36051782.689999998</v>
      </c>
      <c r="O54" s="374"/>
      <c r="P54" s="99"/>
      <c r="Q54" s="481">
        <f>+Q27+Q41</f>
        <v>30705398.120000001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428927.31000000006</v>
      </c>
      <c r="E55" s="366"/>
      <c r="F55" s="367">
        <f>SUM(F47:F54)</f>
        <v>36051782.689999998</v>
      </c>
      <c r="H55" s="375"/>
      <c r="I55" s="100"/>
      <c r="J55" s="98"/>
      <c r="K55" s="99"/>
      <c r="L55" s="99"/>
      <c r="M55" s="99"/>
      <c r="N55" s="369"/>
      <c r="O55" s="377"/>
      <c r="P55" s="99"/>
      <c r="Q55" s="485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84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0">
        <v>31248208.129999999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36389079.960000001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36389079.960000001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89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view="pageLayout" workbookViewId="0">
      <selection activeCell="D8" sqref="D8"/>
    </sheetView>
  </sheetViews>
  <sheetFormatPr defaultColWidth="6" defaultRowHeight="12.75"/>
  <cols>
    <col min="1" max="1" width="23.5703125" style="552" customWidth="1"/>
    <col min="2" max="2" width="22.85546875" style="552" customWidth="1"/>
    <col min="3" max="3" width="16.85546875" style="551" bestFit="1" customWidth="1"/>
    <col min="4" max="4" width="14.5703125" style="551" bestFit="1" customWidth="1"/>
    <col min="5" max="5" width="15.7109375" style="551" bestFit="1" customWidth="1"/>
    <col min="6" max="6" width="13" style="552" customWidth="1"/>
    <col min="7" max="7" width="15.7109375" style="552" customWidth="1"/>
    <col min="8" max="10" width="13.28515625" style="552" customWidth="1"/>
    <col min="11" max="11" width="15.42578125" style="552" customWidth="1"/>
    <col min="12" max="12" width="14.5703125" style="552" customWidth="1"/>
    <col min="13" max="13" width="15.42578125" style="551" customWidth="1"/>
    <col min="14" max="14" width="13.7109375" style="552" customWidth="1"/>
    <col min="15" max="15" width="12.42578125" style="552" hidden="1" customWidth="1"/>
    <col min="16" max="16384" width="6" style="552"/>
  </cols>
  <sheetData>
    <row r="1" spans="1:15" ht="26.25">
      <c r="A1" s="548" t="s">
        <v>338</v>
      </c>
      <c r="B1" s="549"/>
      <c r="C1" s="550"/>
      <c r="D1" s="550"/>
    </row>
    <row r="3" spans="1:15">
      <c r="A3" s="552" t="s">
        <v>339</v>
      </c>
    </row>
    <row r="5" spans="1:15" ht="14.25">
      <c r="B5" s="552" t="s">
        <v>340</v>
      </c>
      <c r="C5" s="553">
        <v>15000000</v>
      </c>
    </row>
    <row r="6" spans="1:15" ht="14.25">
      <c r="B6" s="552" t="s">
        <v>341</v>
      </c>
      <c r="C6" s="553">
        <f>1238071+173</f>
        <v>1238244</v>
      </c>
    </row>
    <row r="7" spans="1:15" ht="14.25">
      <c r="B7" s="554" t="s">
        <v>342</v>
      </c>
      <c r="C7" s="553">
        <v>1400000</v>
      </c>
    </row>
    <row r="8" spans="1:15" ht="14.25">
      <c r="C8" s="555">
        <f>+C5+C6+C7</f>
        <v>17638244</v>
      </c>
    </row>
    <row r="9" spans="1:15" ht="14.25">
      <c r="C9" s="556"/>
    </row>
    <row r="10" spans="1:15" ht="14.25">
      <c r="C10" s="556"/>
    </row>
    <row r="12" spans="1:15">
      <c r="A12" s="557" t="s">
        <v>417</v>
      </c>
    </row>
    <row r="13" spans="1:15">
      <c r="C13" s="558" t="s">
        <v>43</v>
      </c>
      <c r="D13" s="559"/>
      <c r="E13" s="560"/>
      <c r="F13" s="561" t="s">
        <v>343</v>
      </c>
      <c r="G13" s="562"/>
      <c r="H13" s="563"/>
      <c r="I13" s="564"/>
      <c r="J13" s="564"/>
      <c r="K13" s="565"/>
    </row>
    <row r="14" spans="1:15">
      <c r="C14" s="558"/>
      <c r="D14" s="559"/>
      <c r="E14" s="560"/>
      <c r="F14" s="566" t="s">
        <v>344</v>
      </c>
      <c r="G14" s="561" t="s">
        <v>345</v>
      </c>
      <c r="H14" s="567"/>
      <c r="I14" s="561" t="s">
        <v>346</v>
      </c>
      <c r="J14" s="567"/>
      <c r="K14" s="568"/>
    </row>
    <row r="15" spans="1:15" ht="28.5">
      <c r="A15" s="569" t="s">
        <v>347</v>
      </c>
      <c r="B15" s="570" t="s">
        <v>348</v>
      </c>
      <c r="C15" s="571" t="s">
        <v>349</v>
      </c>
      <c r="D15" s="572" t="s">
        <v>350</v>
      </c>
      <c r="E15" s="573" t="s">
        <v>351</v>
      </c>
      <c r="F15" s="574" t="s">
        <v>349</v>
      </c>
      <c r="G15" s="574" t="s">
        <v>349</v>
      </c>
      <c r="H15" s="575" t="s">
        <v>350</v>
      </c>
      <c r="I15" s="574" t="s">
        <v>349</v>
      </c>
      <c r="J15" s="575" t="s">
        <v>350</v>
      </c>
      <c r="K15" s="576" t="s">
        <v>336</v>
      </c>
      <c r="L15" s="577" t="s">
        <v>352</v>
      </c>
      <c r="M15" s="578" t="s">
        <v>353</v>
      </c>
      <c r="N15" s="569" t="s">
        <v>354</v>
      </c>
      <c r="O15" s="569" t="s">
        <v>355</v>
      </c>
    </row>
    <row r="16" spans="1:15" ht="14.25">
      <c r="A16" s="579"/>
      <c r="B16" s="580"/>
      <c r="C16" s="581"/>
      <c r="D16" s="582"/>
      <c r="E16" s="581"/>
      <c r="F16" s="579"/>
      <c r="G16" s="579"/>
      <c r="H16" s="579"/>
      <c r="I16" s="579"/>
      <c r="J16" s="579"/>
      <c r="K16" s="579"/>
      <c r="L16" s="579"/>
      <c r="M16" s="581"/>
      <c r="N16" s="579"/>
      <c r="O16" s="579"/>
    </row>
    <row r="17" spans="1:15" ht="14.25">
      <c r="A17" s="583" t="s">
        <v>356</v>
      </c>
      <c r="B17" s="579" t="s">
        <v>357</v>
      </c>
      <c r="C17" s="581">
        <v>788384</v>
      </c>
      <c r="D17" s="582">
        <v>0</v>
      </c>
      <c r="E17" s="581">
        <f>+C17+D17</f>
        <v>788384</v>
      </c>
      <c r="F17" s="584">
        <v>622411.52000000002</v>
      </c>
      <c r="G17" s="584">
        <v>147822.74</v>
      </c>
      <c r="H17" s="584">
        <v>0</v>
      </c>
      <c r="I17" s="584">
        <v>0</v>
      </c>
      <c r="J17" s="584">
        <v>0</v>
      </c>
      <c r="K17" s="584">
        <f>SUM(F17:J17)</f>
        <v>770234.26</v>
      </c>
      <c r="L17" s="585">
        <v>7780.14</v>
      </c>
      <c r="M17" s="581">
        <f>E17-K17-L17</f>
        <v>10369.599999999991</v>
      </c>
      <c r="N17" s="586">
        <f>K17/E17</f>
        <v>0.97697855359824659</v>
      </c>
      <c r="O17" s="579"/>
    </row>
    <row r="18" spans="1:15" ht="14.25">
      <c r="A18" s="583" t="s">
        <v>358</v>
      </c>
      <c r="B18" s="579" t="s">
        <v>359</v>
      </c>
      <c r="C18" s="581">
        <v>75300</v>
      </c>
      <c r="D18" s="582">
        <v>0</v>
      </c>
      <c r="E18" s="581">
        <f t="shared" ref="E18:E27" si="0">+C18+D18</f>
        <v>75300</v>
      </c>
      <c r="F18" s="584">
        <v>58534.77</v>
      </c>
      <c r="G18" s="584">
        <f>11621.26+427.5</f>
        <v>12048.76</v>
      </c>
      <c r="H18" s="584">
        <v>0</v>
      </c>
      <c r="I18" s="584">
        <v>773.75</v>
      </c>
      <c r="J18" s="584">
        <v>0</v>
      </c>
      <c r="K18" s="584">
        <f t="shared" ref="K18:K27" si="1">SUM(F18:J18)</f>
        <v>71357.279999999999</v>
      </c>
      <c r="L18" s="585">
        <v>0</v>
      </c>
      <c r="M18" s="581">
        <f t="shared" ref="M18:M27" si="2">E18-K18-L18</f>
        <v>3942.7200000000012</v>
      </c>
      <c r="N18" s="586">
        <f t="shared" ref="N18:N27" si="3">K18/E18</f>
        <v>0.94763984063745021</v>
      </c>
      <c r="O18" s="579"/>
    </row>
    <row r="19" spans="1:15" ht="14.25">
      <c r="A19" s="583" t="s">
        <v>360</v>
      </c>
      <c r="B19" s="579" t="s">
        <v>361</v>
      </c>
      <c r="C19" s="587">
        <v>24000</v>
      </c>
      <c r="D19" s="581">
        <v>0</v>
      </c>
      <c r="E19" s="581">
        <f t="shared" si="0"/>
        <v>24000</v>
      </c>
      <c r="F19" s="584">
        <v>0</v>
      </c>
      <c r="G19" s="584">
        <v>24000</v>
      </c>
      <c r="H19" s="584">
        <v>0</v>
      </c>
      <c r="I19" s="584">
        <v>0</v>
      </c>
      <c r="J19" s="584">
        <v>0</v>
      </c>
      <c r="K19" s="584">
        <f t="shared" si="1"/>
        <v>24000</v>
      </c>
      <c r="L19" s="585">
        <v>0</v>
      </c>
      <c r="M19" s="581">
        <f t="shared" si="2"/>
        <v>0</v>
      </c>
      <c r="N19" s="586">
        <f>K19/E19</f>
        <v>1</v>
      </c>
      <c r="O19" s="579"/>
    </row>
    <row r="20" spans="1:15" ht="14.25">
      <c r="A20" s="583" t="s">
        <v>362</v>
      </c>
      <c r="B20" s="579" t="s">
        <v>363</v>
      </c>
      <c r="C20" s="581">
        <v>24000</v>
      </c>
      <c r="D20" s="582">
        <v>0</v>
      </c>
      <c r="E20" s="581">
        <f t="shared" si="0"/>
        <v>24000</v>
      </c>
      <c r="F20" s="584">
        <v>0</v>
      </c>
      <c r="G20" s="584">
        <v>24000</v>
      </c>
      <c r="H20" s="584">
        <v>0</v>
      </c>
      <c r="I20" s="584">
        <v>0</v>
      </c>
      <c r="J20" s="584">
        <v>0</v>
      </c>
      <c r="K20" s="584">
        <f t="shared" si="1"/>
        <v>24000</v>
      </c>
      <c r="L20" s="585">
        <v>0</v>
      </c>
      <c r="M20" s="581">
        <f t="shared" si="2"/>
        <v>0</v>
      </c>
      <c r="N20" s="586">
        <f t="shared" si="3"/>
        <v>1</v>
      </c>
      <c r="O20" s="579"/>
    </row>
    <row r="21" spans="1:15" ht="14.25">
      <c r="A21" s="583" t="s">
        <v>364</v>
      </c>
      <c r="B21" s="588" t="s">
        <v>365</v>
      </c>
      <c r="C21" s="581">
        <f>14694470+512863+146376</f>
        <v>15353709</v>
      </c>
      <c r="D21" s="589">
        <v>1400000</v>
      </c>
      <c r="E21" s="581">
        <f t="shared" si="0"/>
        <v>16753709</v>
      </c>
      <c r="F21" s="584">
        <v>0</v>
      </c>
      <c r="G21" s="584">
        <f>14789295.8-G26-G27</f>
        <v>15472665.600000001</v>
      </c>
      <c r="H21" s="584">
        <v>962468.4</v>
      </c>
      <c r="I21" s="584">
        <v>26141.46</v>
      </c>
      <c r="J21" s="584">
        <v>210789.54</v>
      </c>
      <c r="K21" s="584">
        <f>SUM(F21:J21)</f>
        <v>16672065.000000002</v>
      </c>
      <c r="L21" s="585">
        <f>80549-36942</f>
        <v>43607</v>
      </c>
      <c r="M21" s="581">
        <f t="shared" si="2"/>
        <v>38036.999999998137</v>
      </c>
      <c r="N21" s="586">
        <f t="shared" si="3"/>
        <v>0.9951268104274702</v>
      </c>
      <c r="O21" s="579"/>
    </row>
    <row r="22" spans="1:15" ht="14.25">
      <c r="A22" s="583" t="s">
        <v>366</v>
      </c>
      <c r="B22" s="579" t="s">
        <v>367</v>
      </c>
      <c r="C22" s="581">
        <v>52590</v>
      </c>
      <c r="D22" s="582">
        <v>0</v>
      </c>
      <c r="E22" s="581">
        <f t="shared" si="0"/>
        <v>52590</v>
      </c>
      <c r="F22" s="584">
        <v>0</v>
      </c>
      <c r="G22" s="584">
        <v>57764.2</v>
      </c>
      <c r="H22" s="584">
        <v>0</v>
      </c>
      <c r="I22" s="584">
        <v>0</v>
      </c>
      <c r="J22" s="584">
        <v>0</v>
      </c>
      <c r="K22" s="584">
        <f t="shared" si="1"/>
        <v>57764.2</v>
      </c>
      <c r="L22" s="585">
        <v>0</v>
      </c>
      <c r="M22" s="581">
        <f t="shared" si="2"/>
        <v>-5174.1999999999971</v>
      </c>
      <c r="N22" s="586">
        <f t="shared" si="3"/>
        <v>1.098387526145655</v>
      </c>
      <c r="O22" s="579"/>
    </row>
    <row r="23" spans="1:15" ht="14.25">
      <c r="A23" s="583" t="s">
        <v>368</v>
      </c>
      <c r="B23" s="579" t="s">
        <v>369</v>
      </c>
      <c r="C23" s="581">
        <f>404500-D23</f>
        <v>404500</v>
      </c>
      <c r="D23" s="582">
        <v>0</v>
      </c>
      <c r="E23" s="581">
        <f t="shared" si="0"/>
        <v>404500</v>
      </c>
      <c r="F23" s="584">
        <v>0</v>
      </c>
      <c r="G23" s="584">
        <v>385358.19</v>
      </c>
      <c r="H23" s="584">
        <v>0</v>
      </c>
      <c r="I23" s="584">
        <v>15002.59</v>
      </c>
      <c r="J23" s="584">
        <v>0</v>
      </c>
      <c r="K23" s="584">
        <f t="shared" si="1"/>
        <v>400360.78</v>
      </c>
      <c r="L23" s="585">
        <v>0</v>
      </c>
      <c r="M23" s="581">
        <f t="shared" si="2"/>
        <v>4139.2199999999721</v>
      </c>
      <c r="N23" s="586">
        <f t="shared" si="3"/>
        <v>0.98976707045735479</v>
      </c>
      <c r="O23" s="579"/>
    </row>
    <row r="24" spans="1:15" ht="14.25">
      <c r="A24" s="583" t="s">
        <v>370</v>
      </c>
      <c r="B24" s="579" t="s">
        <v>371</v>
      </c>
      <c r="C24" s="581">
        <v>100000</v>
      </c>
      <c r="D24" s="582">
        <v>0</v>
      </c>
      <c r="E24" s="581">
        <f>+C24+D24</f>
        <v>100000</v>
      </c>
      <c r="F24" s="584">
        <v>0</v>
      </c>
      <c r="G24" s="584">
        <v>0</v>
      </c>
      <c r="H24" s="584">
        <v>0</v>
      </c>
      <c r="I24" s="584">
        <v>0</v>
      </c>
      <c r="J24" s="584">
        <v>0</v>
      </c>
      <c r="K24" s="584">
        <f t="shared" si="1"/>
        <v>0</v>
      </c>
      <c r="L24" s="585">
        <v>0</v>
      </c>
      <c r="M24" s="581">
        <f>E24-K24-L24</f>
        <v>100000</v>
      </c>
      <c r="N24" s="586">
        <f>K24/E24</f>
        <v>0</v>
      </c>
      <c r="O24" s="579"/>
    </row>
    <row r="25" spans="1:15" ht="14.25">
      <c r="A25" s="583" t="s">
        <v>372</v>
      </c>
      <c r="B25" s="579" t="s">
        <v>373</v>
      </c>
      <c r="C25" s="581">
        <v>75000</v>
      </c>
      <c r="D25" s="582">
        <v>0</v>
      </c>
      <c r="E25" s="581">
        <v>75000</v>
      </c>
      <c r="F25" s="584">
        <v>0</v>
      </c>
      <c r="G25" s="584">
        <v>75090.509999999995</v>
      </c>
      <c r="H25" s="584">
        <v>0</v>
      </c>
      <c r="I25" s="584">
        <v>0</v>
      </c>
      <c r="J25" s="584">
        <v>0</v>
      </c>
      <c r="K25" s="584">
        <f t="shared" si="1"/>
        <v>75090.509999999995</v>
      </c>
      <c r="L25" s="585">
        <v>0</v>
      </c>
      <c r="M25" s="581">
        <f>E25-K25-L25</f>
        <v>-90.509999999994761</v>
      </c>
      <c r="N25" s="586">
        <f>K25/E25</f>
        <v>1.0012067999999998</v>
      </c>
      <c r="O25" s="579"/>
    </row>
    <row r="26" spans="1:15" ht="14.25">
      <c r="A26" s="583"/>
      <c r="B26" s="579" t="s">
        <v>374</v>
      </c>
      <c r="C26" s="584">
        <v>-512863</v>
      </c>
      <c r="D26" s="582">
        <v>0</v>
      </c>
      <c r="E26" s="581">
        <f t="shared" si="0"/>
        <v>-512863</v>
      </c>
      <c r="F26" s="584">
        <v>0</v>
      </c>
      <c r="G26" s="584">
        <v>-498460</v>
      </c>
      <c r="H26" s="584">
        <v>0</v>
      </c>
      <c r="I26" s="584">
        <v>0</v>
      </c>
      <c r="J26" s="584">
        <v>0</v>
      </c>
      <c r="K26" s="584">
        <f t="shared" si="1"/>
        <v>-498460</v>
      </c>
      <c r="L26" s="584">
        <v>0</v>
      </c>
      <c r="M26" s="581">
        <f t="shared" si="2"/>
        <v>-14403</v>
      </c>
      <c r="N26" s="586">
        <f t="shared" si="3"/>
        <v>0.97191647671990378</v>
      </c>
      <c r="O26" s="579"/>
    </row>
    <row r="27" spans="1:15" ht="14.25">
      <c r="A27" s="583"/>
      <c r="B27" s="579" t="s">
        <v>375</v>
      </c>
      <c r="C27" s="584">
        <v>-146376</v>
      </c>
      <c r="D27" s="582">
        <v>0</v>
      </c>
      <c r="E27" s="581">
        <f t="shared" si="0"/>
        <v>-146376</v>
      </c>
      <c r="F27" s="584">
        <v>0</v>
      </c>
      <c r="G27" s="584">
        <v>-184909.8</v>
      </c>
      <c r="H27" s="584">
        <v>0</v>
      </c>
      <c r="I27" s="584">
        <v>0</v>
      </c>
      <c r="J27" s="584">
        <v>0</v>
      </c>
      <c r="K27" s="584">
        <f t="shared" si="1"/>
        <v>-184909.8</v>
      </c>
      <c r="L27" s="584">
        <v>0</v>
      </c>
      <c r="M27" s="581">
        <f t="shared" si="2"/>
        <v>38533.799999999988</v>
      </c>
      <c r="N27" s="586">
        <f t="shared" si="3"/>
        <v>1.2632521724872929</v>
      </c>
      <c r="O27" s="579"/>
    </row>
    <row r="28" spans="1:15" ht="15">
      <c r="A28" s="590"/>
      <c r="B28" s="579"/>
      <c r="C28" s="581"/>
      <c r="D28" s="582"/>
      <c r="E28" s="581"/>
      <c r="F28" s="591"/>
      <c r="G28" s="591"/>
      <c r="H28" s="591"/>
      <c r="I28" s="591"/>
      <c r="J28" s="591"/>
      <c r="K28" s="591"/>
      <c r="L28" s="584"/>
      <c r="M28" s="581"/>
      <c r="N28" s="579"/>
      <c r="O28" s="579"/>
    </row>
    <row r="29" spans="1:15" ht="14.25">
      <c r="A29" s="592"/>
      <c r="B29" s="592" t="s">
        <v>376</v>
      </c>
      <c r="C29" s="593">
        <f>SUM(C17:C28)</f>
        <v>16238244</v>
      </c>
      <c r="D29" s="593">
        <f>SUM(D17:D28)</f>
        <v>1400000</v>
      </c>
      <c r="E29" s="593">
        <f>SUM(E16:E27)</f>
        <v>17638244</v>
      </c>
      <c r="F29" s="594">
        <f t="shared" ref="F29:K29" si="4">SUM(F16:F27)</f>
        <v>680946.29</v>
      </c>
      <c r="G29" s="594">
        <f t="shared" si="4"/>
        <v>15515380.199999999</v>
      </c>
      <c r="H29" s="594">
        <f t="shared" si="4"/>
        <v>962468.4</v>
      </c>
      <c r="I29" s="594">
        <f t="shared" si="4"/>
        <v>41917.800000000003</v>
      </c>
      <c r="J29" s="594">
        <f t="shared" si="4"/>
        <v>210789.54</v>
      </c>
      <c r="K29" s="594">
        <f t="shared" si="4"/>
        <v>17411502.230000004</v>
      </c>
      <c r="L29" s="595">
        <f>SUM(L16:L27)</f>
        <v>51387.14</v>
      </c>
      <c r="M29" s="596">
        <f>SUM(M16:M28)</f>
        <v>175354.62999999808</v>
      </c>
      <c r="N29" s="597">
        <f>+K29/E29</f>
        <v>0.98714487848110077</v>
      </c>
      <c r="O29" s="592"/>
    </row>
    <row r="32" spans="1:15">
      <c r="E32" s="551">
        <f>+E29-17638244</f>
        <v>0</v>
      </c>
    </row>
    <row r="34" spans="2:12" ht="23.25">
      <c r="B34" s="549"/>
      <c r="C34" s="550"/>
      <c r="D34" s="550"/>
      <c r="E34" s="550"/>
    </row>
    <row r="38" spans="2:12">
      <c r="L38" s="552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3"/>
  <sheetViews>
    <sheetView view="pageLayout" topLeftCell="A7" workbookViewId="0">
      <selection activeCell="F29" sqref="F29"/>
    </sheetView>
  </sheetViews>
  <sheetFormatPr defaultRowHeight="12.75"/>
  <cols>
    <col min="1" max="1" width="29.7109375" style="552" customWidth="1"/>
    <col min="2" max="2" width="25.7109375" style="552" customWidth="1"/>
    <col min="3" max="3" width="18.140625" style="552" bestFit="1" customWidth="1"/>
    <col min="4" max="6" width="16.42578125" style="552" customWidth="1"/>
    <col min="7" max="7" width="14.5703125" style="552" customWidth="1"/>
    <col min="8" max="8" width="16.5703125" style="552" customWidth="1"/>
    <col min="9" max="9" width="16.140625" style="552" customWidth="1"/>
    <col min="10" max="10" width="12.42578125" style="552" hidden="1" customWidth="1"/>
    <col min="11" max="16384" width="9.140625" style="552"/>
  </cols>
  <sheetData>
    <row r="1" spans="1:10" ht="26.25">
      <c r="A1" s="548" t="s">
        <v>377</v>
      </c>
      <c r="B1" s="549"/>
    </row>
    <row r="3" spans="1:10">
      <c r="A3" s="552" t="s">
        <v>339</v>
      </c>
    </row>
    <row r="5" spans="1:10" ht="14.25">
      <c r="D5" s="553">
        <v>4700000</v>
      </c>
      <c r="E5" s="554" t="s">
        <v>378</v>
      </c>
      <c r="F5" s="553"/>
    </row>
    <row r="6" spans="1:10" ht="14.25">
      <c r="D6" s="553">
        <v>-1043325</v>
      </c>
      <c r="E6" s="552" t="s">
        <v>379</v>
      </c>
      <c r="F6" s="553"/>
    </row>
    <row r="7" spans="1:10" ht="14.25">
      <c r="D7" s="555">
        <f>D5+D6</f>
        <v>3656675</v>
      </c>
      <c r="E7" s="553"/>
      <c r="F7" s="553"/>
    </row>
    <row r="9" spans="1:10">
      <c r="A9" s="557" t="str">
        <f>+'K-8 STEM Academy '!A12</f>
        <v>Expenditures as of 05/01/15</v>
      </c>
    </row>
    <row r="11" spans="1:10" ht="15.75" customHeight="1">
      <c r="A11" s="598"/>
      <c r="B11" s="599"/>
      <c r="C11" s="598"/>
      <c r="D11" s="600" t="s">
        <v>343</v>
      </c>
      <c r="E11" s="600"/>
      <c r="F11" s="600"/>
      <c r="G11" s="598"/>
      <c r="H11" s="598"/>
      <c r="I11" s="598"/>
      <c r="J11" s="569" t="s">
        <v>355</v>
      </c>
    </row>
    <row r="12" spans="1:10" ht="17.25" customHeight="1">
      <c r="A12" s="601" t="s">
        <v>347</v>
      </c>
      <c r="B12" s="602" t="s">
        <v>348</v>
      </c>
      <c r="C12" s="601" t="s">
        <v>380</v>
      </c>
      <c r="D12" s="569" t="s">
        <v>345</v>
      </c>
      <c r="E12" s="569" t="s">
        <v>346</v>
      </c>
      <c r="F12" s="569" t="s">
        <v>336</v>
      </c>
      <c r="G12" s="601" t="s">
        <v>381</v>
      </c>
      <c r="H12" s="601" t="s">
        <v>353</v>
      </c>
      <c r="I12" s="601" t="s">
        <v>354</v>
      </c>
      <c r="J12" s="569"/>
    </row>
    <row r="13" spans="1:10" ht="14.25">
      <c r="A13" s="579"/>
      <c r="B13" s="580"/>
      <c r="C13" s="603"/>
      <c r="D13" s="579"/>
      <c r="E13" s="579"/>
      <c r="F13" s="579"/>
      <c r="G13" s="579"/>
      <c r="H13" s="579"/>
      <c r="I13" s="579"/>
      <c r="J13" s="579"/>
    </row>
    <row r="14" spans="1:10" ht="14.25">
      <c r="A14" s="583" t="s">
        <v>382</v>
      </c>
      <c r="B14" s="579" t="s">
        <v>357</v>
      </c>
      <c r="C14" s="581">
        <v>212228</v>
      </c>
      <c r="D14" s="581">
        <v>212228</v>
      </c>
      <c r="E14" s="581"/>
      <c r="F14" s="581">
        <f>+D14+E14</f>
        <v>212228</v>
      </c>
      <c r="G14" s="581"/>
      <c r="H14" s="581">
        <f>+C14-F14-G14</f>
        <v>0</v>
      </c>
      <c r="I14" s="586">
        <f>+D14/C14</f>
        <v>1</v>
      </c>
      <c r="J14" s="579"/>
    </row>
    <row r="15" spans="1:10" ht="14.25">
      <c r="A15" s="583" t="s">
        <v>383</v>
      </c>
      <c r="B15" s="579" t="s">
        <v>359</v>
      </c>
      <c r="C15" s="581">
        <v>216972</v>
      </c>
      <c r="D15" s="581">
        <f>136117.27</f>
        <v>136117.26999999999</v>
      </c>
      <c r="E15" s="581">
        <v>28531.93</v>
      </c>
      <c r="F15" s="581">
        <f>+D15+E15</f>
        <v>164649.19999999998</v>
      </c>
      <c r="G15" s="604"/>
      <c r="H15" s="581">
        <f>+C15-F15-G15</f>
        <v>52322.800000000017</v>
      </c>
      <c r="I15" s="586">
        <f>+D15/C15</f>
        <v>0.62734947366480465</v>
      </c>
      <c r="J15" s="579"/>
    </row>
    <row r="16" spans="1:10" ht="14.25">
      <c r="A16" s="583" t="s">
        <v>384</v>
      </c>
      <c r="B16" s="579" t="s">
        <v>385</v>
      </c>
      <c r="C16" s="581">
        <v>700000</v>
      </c>
      <c r="D16" s="581">
        <v>672955.75</v>
      </c>
      <c r="E16" s="581"/>
      <c r="F16" s="581">
        <f>+D16+E16</f>
        <v>672955.75</v>
      </c>
      <c r="G16" s="581"/>
      <c r="H16" s="581">
        <f>+C16-F16-G16</f>
        <v>27044.25</v>
      </c>
      <c r="I16" s="586">
        <f>+D16/C16</f>
        <v>0.96136535714285709</v>
      </c>
      <c r="J16" s="579"/>
    </row>
    <row r="17" spans="1:10" ht="14.25">
      <c r="A17" s="583" t="s">
        <v>386</v>
      </c>
      <c r="B17" s="588" t="s">
        <v>365</v>
      </c>
      <c r="C17" s="581">
        <v>2527475</v>
      </c>
      <c r="D17" s="581">
        <f>2399869.12+87605.88</f>
        <v>2487475</v>
      </c>
      <c r="E17" s="581"/>
      <c r="F17" s="581">
        <f>+D17+E17</f>
        <v>2487475</v>
      </c>
      <c r="G17" s="581">
        <f>38703+1297</f>
        <v>40000</v>
      </c>
      <c r="H17" s="581">
        <f>+C17-F17-G17</f>
        <v>0</v>
      </c>
      <c r="I17" s="586">
        <f>+D17/C17</f>
        <v>0.98417392852550467</v>
      </c>
      <c r="J17" s="579"/>
    </row>
    <row r="18" spans="1:10" ht="14.25">
      <c r="A18" s="583"/>
      <c r="B18" s="579"/>
      <c r="C18" s="581"/>
      <c r="D18" s="581"/>
      <c r="E18" s="581"/>
      <c r="F18" s="581"/>
      <c r="G18" s="581"/>
      <c r="H18" s="581"/>
      <c r="I18" s="586"/>
      <c r="J18" s="579"/>
    </row>
    <row r="19" spans="1:10" ht="14.25">
      <c r="A19" s="583"/>
      <c r="B19" s="579"/>
      <c r="C19" s="581"/>
      <c r="D19" s="581"/>
      <c r="E19" s="581"/>
      <c r="F19" s="581"/>
      <c r="G19" s="581"/>
      <c r="H19" s="581"/>
      <c r="I19" s="586"/>
      <c r="J19" s="579"/>
    </row>
    <row r="20" spans="1:10" ht="14.25">
      <c r="A20" s="583"/>
      <c r="B20" s="579"/>
      <c r="C20" s="581"/>
      <c r="D20" s="581"/>
      <c r="E20" s="581"/>
      <c r="F20" s="581"/>
      <c r="G20" s="581"/>
      <c r="H20" s="581"/>
      <c r="I20" s="586"/>
      <c r="J20" s="579"/>
    </row>
    <row r="21" spans="1:10" ht="14.25">
      <c r="A21" s="583"/>
      <c r="B21" s="579"/>
      <c r="C21" s="581"/>
      <c r="D21" s="581"/>
      <c r="E21" s="581"/>
      <c r="F21" s="581"/>
      <c r="G21" s="581"/>
      <c r="H21" s="581"/>
      <c r="I21" s="586"/>
      <c r="J21" s="579"/>
    </row>
    <row r="22" spans="1:10" ht="14.25">
      <c r="A22" s="590"/>
      <c r="B22" s="579"/>
      <c r="C22" s="581"/>
      <c r="D22" s="581"/>
      <c r="E22" s="581"/>
      <c r="F22" s="581"/>
      <c r="G22" s="581"/>
      <c r="H22" s="581"/>
      <c r="I22" s="579"/>
      <c r="J22" s="579"/>
    </row>
    <row r="23" spans="1:10" ht="15">
      <c r="A23" s="590"/>
      <c r="B23" s="579"/>
      <c r="C23" s="581"/>
      <c r="D23" s="605"/>
      <c r="E23" s="605"/>
      <c r="F23" s="605"/>
      <c r="G23" s="581"/>
      <c r="H23" s="581"/>
      <c r="I23" s="579"/>
      <c r="J23" s="579"/>
    </row>
    <row r="24" spans="1:10" ht="14.25">
      <c r="A24" s="592"/>
      <c r="B24" s="592" t="s">
        <v>376</v>
      </c>
      <c r="C24" s="596">
        <f t="shared" ref="C24:H24" si="0">SUM(C13:C23)</f>
        <v>3656675</v>
      </c>
      <c r="D24" s="596">
        <f t="shared" si="0"/>
        <v>3508776.02</v>
      </c>
      <c r="E24" s="596">
        <f t="shared" si="0"/>
        <v>28531.93</v>
      </c>
      <c r="F24" s="596">
        <f t="shared" si="0"/>
        <v>3537307.95</v>
      </c>
      <c r="G24" s="596">
        <f t="shared" si="0"/>
        <v>40000</v>
      </c>
      <c r="H24" s="596">
        <f t="shared" si="0"/>
        <v>79367.050000000017</v>
      </c>
      <c r="I24" s="597">
        <f>+D24/C24</f>
        <v>0.95955369837352245</v>
      </c>
      <c r="J24" s="592"/>
    </row>
    <row r="25" spans="1:10">
      <c r="C25" s="551"/>
      <c r="D25" s="551"/>
      <c r="E25" s="551"/>
      <c r="F25" s="551"/>
      <c r="G25" s="551"/>
      <c r="H25" s="551"/>
    </row>
    <row r="29" spans="1:10" ht="23.25">
      <c r="B29" s="549"/>
      <c r="C29" s="549"/>
    </row>
    <row r="33" spans="7:7">
      <c r="G33" s="552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18" sqref="D18"/>
    </sheetView>
  </sheetViews>
  <sheetFormatPr defaultRowHeight="12.75"/>
  <cols>
    <col min="1" max="1" width="29.7109375" style="552" customWidth="1"/>
    <col min="2" max="2" width="25.710937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387</v>
      </c>
      <c r="B1" s="549"/>
    </row>
    <row r="3" spans="1:8">
      <c r="A3" s="552" t="s">
        <v>339</v>
      </c>
      <c r="C3" s="551">
        <f>16024+26874+26874+543400+543400</f>
        <v>1156572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05/01/15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389</v>
      </c>
      <c r="B14" s="579" t="s">
        <v>390</v>
      </c>
      <c r="C14" s="581">
        <v>16024</v>
      </c>
      <c r="D14" s="581">
        <v>15710</v>
      </c>
      <c r="E14" s="581"/>
      <c r="F14" s="581">
        <f>+C14-D14-E14</f>
        <v>314</v>
      </c>
      <c r="G14" s="586">
        <f>+D14/C14</f>
        <v>0.98040439340988517</v>
      </c>
      <c r="H14" s="579"/>
    </row>
    <row r="15" spans="1:8" ht="14.25">
      <c r="A15" s="583" t="s">
        <v>391</v>
      </c>
      <c r="B15" s="579" t="s">
        <v>392</v>
      </c>
      <c r="C15" s="581">
        <v>26874</v>
      </c>
      <c r="D15" s="581">
        <v>26347</v>
      </c>
      <c r="E15" s="581"/>
      <c r="F15" s="581">
        <f>+C15-D15-E15</f>
        <v>527</v>
      </c>
      <c r="G15" s="586">
        <f>+D15/C15</f>
        <v>0.98038996799880929</v>
      </c>
      <c r="H15" s="579"/>
    </row>
    <row r="16" spans="1:8" ht="14.25">
      <c r="A16" s="583" t="s">
        <v>393</v>
      </c>
      <c r="B16" s="588" t="s">
        <v>394</v>
      </c>
      <c r="C16" s="581">
        <v>26874</v>
      </c>
      <c r="D16" s="581">
        <v>26347</v>
      </c>
      <c r="E16" s="581"/>
      <c r="F16" s="581">
        <f>+C16-D16-E16</f>
        <v>527</v>
      </c>
      <c r="G16" s="586">
        <f>+D16/C16</f>
        <v>0.98038996799880929</v>
      </c>
      <c r="H16" s="579"/>
    </row>
    <row r="17" spans="1:8" ht="14.25">
      <c r="A17" s="583" t="s">
        <v>395</v>
      </c>
      <c r="B17" s="579" t="s">
        <v>396</v>
      </c>
      <c r="C17" s="581">
        <v>543400</v>
      </c>
      <c r="D17" s="581">
        <v>506107.75</v>
      </c>
      <c r="E17" s="581"/>
      <c r="F17" s="581">
        <f>+C17-D17-E17</f>
        <v>37292.25</v>
      </c>
      <c r="G17" s="586">
        <f>+D17/C17</f>
        <v>0.93137237762237757</v>
      </c>
      <c r="H17" s="579"/>
    </row>
    <row r="18" spans="1:8" ht="14.25">
      <c r="A18" s="583" t="s">
        <v>397</v>
      </c>
      <c r="B18" s="579" t="s">
        <v>398</v>
      </c>
      <c r="C18" s="581">
        <v>543400</v>
      </c>
      <c r="D18" s="581">
        <v>532745</v>
      </c>
      <c r="E18" s="581"/>
      <c r="F18" s="581">
        <f>+C18-D18-E18</f>
        <v>10655</v>
      </c>
      <c r="G18" s="586">
        <f>+D18/C18</f>
        <v>0.98039197644460807</v>
      </c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1156572</v>
      </c>
      <c r="D24" s="596">
        <f>SUM(D14:D23)</f>
        <v>1107256.75</v>
      </c>
      <c r="E24" s="596">
        <f>SUM(E14:E23)</f>
        <v>0</v>
      </c>
      <c r="F24" s="596">
        <f>SUM(F14:F23)</f>
        <v>49315.25</v>
      </c>
      <c r="G24" s="597">
        <f>+D24/C24</f>
        <v>0.9573608474007671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4" workbookViewId="0">
      <selection activeCell="C30" sqref="C30"/>
    </sheetView>
  </sheetViews>
  <sheetFormatPr defaultRowHeight="12.75"/>
  <cols>
    <col min="1" max="1" width="29.7109375" style="552" customWidth="1"/>
    <col min="2" max="2" width="31.14062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404</v>
      </c>
      <c r="B1" s="549"/>
    </row>
    <row r="3" spans="1:8">
      <c r="A3" s="552" t="s">
        <v>339</v>
      </c>
      <c r="C3" s="551">
        <v>373808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05/01/15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433</v>
      </c>
      <c r="B14" s="579" t="s">
        <v>434</v>
      </c>
      <c r="C14" s="581">
        <v>40000</v>
      </c>
      <c r="D14" s="581">
        <v>0</v>
      </c>
      <c r="E14" s="581">
        <v>0</v>
      </c>
      <c r="F14" s="581">
        <f>+C14-D14-E14</f>
        <v>40000</v>
      </c>
      <c r="G14" s="586">
        <f>+D14/C14</f>
        <v>0</v>
      </c>
      <c r="H14" s="579"/>
    </row>
    <row r="15" spans="1:8" ht="14.25">
      <c r="A15" s="583" t="s">
        <v>435</v>
      </c>
      <c r="B15" s="579" t="s">
        <v>436</v>
      </c>
      <c r="C15" s="581">
        <v>183808</v>
      </c>
      <c r="D15" s="581">
        <v>0</v>
      </c>
      <c r="E15" s="581">
        <v>0</v>
      </c>
      <c r="F15" s="581">
        <f t="shared" ref="F15:F17" si="0">+C15-D15-E15</f>
        <v>183808</v>
      </c>
      <c r="G15" s="586">
        <f t="shared" ref="G15:G17" si="1">+D15/C15</f>
        <v>0</v>
      </c>
      <c r="H15" s="579"/>
    </row>
    <row r="16" spans="1:8" ht="14.25">
      <c r="A16" s="583" t="s">
        <v>437</v>
      </c>
      <c r="B16" s="588" t="s">
        <v>438</v>
      </c>
      <c r="C16" s="581">
        <v>100000</v>
      </c>
      <c r="D16" s="581">
        <v>0</v>
      </c>
      <c r="E16" s="581">
        <v>0</v>
      </c>
      <c r="F16" s="581">
        <f t="shared" si="0"/>
        <v>100000</v>
      </c>
      <c r="G16" s="586">
        <f t="shared" si="1"/>
        <v>0</v>
      </c>
      <c r="H16" s="579"/>
    </row>
    <row r="17" spans="1:8" ht="14.25">
      <c r="A17" s="583" t="s">
        <v>440</v>
      </c>
      <c r="B17" s="579" t="s">
        <v>439</v>
      </c>
      <c r="C17" s="581">
        <v>50000</v>
      </c>
      <c r="D17" s="581">
        <v>0</v>
      </c>
      <c r="E17" s="581">
        <v>0</v>
      </c>
      <c r="F17" s="581">
        <f t="shared" si="0"/>
        <v>50000</v>
      </c>
      <c r="G17" s="586">
        <f t="shared" si="1"/>
        <v>0</v>
      </c>
      <c r="H17" s="579"/>
    </row>
    <row r="18" spans="1:8" ht="14.25">
      <c r="A18" s="583"/>
      <c r="B18" s="579"/>
      <c r="C18" s="581"/>
      <c r="D18" s="581"/>
      <c r="E18" s="581"/>
      <c r="F18" s="581"/>
      <c r="G18" s="586"/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373808</v>
      </c>
      <c r="D24" s="596">
        <f>SUM(D14:D23)</f>
        <v>0</v>
      </c>
      <c r="E24" s="596">
        <f>SUM(E14:E23)</f>
        <v>0</v>
      </c>
      <c r="F24" s="596">
        <f>SUM(F14:F23)</f>
        <v>373808</v>
      </c>
      <c r="G24" s="597">
        <f>+D24/C24</f>
        <v>0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E21" sqref="E21"/>
    </sheetView>
  </sheetViews>
  <sheetFormatPr defaultRowHeight="12.75"/>
  <cols>
    <col min="1" max="1" width="29.7109375" style="552" customWidth="1"/>
    <col min="2" max="2" width="28.570312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402</v>
      </c>
      <c r="B1" s="549"/>
    </row>
    <row r="3" spans="1:8">
      <c r="A3" s="552" t="s">
        <v>339</v>
      </c>
      <c r="C3" s="551">
        <v>179492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05/01/15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403</v>
      </c>
      <c r="B14" s="579" t="s">
        <v>441</v>
      </c>
      <c r="C14" s="581">
        <v>6502</v>
      </c>
      <c r="D14" s="581">
        <v>0</v>
      </c>
      <c r="E14" s="581">
        <v>0</v>
      </c>
      <c r="F14" s="581">
        <f>+C14-D14-E14</f>
        <v>6502</v>
      </c>
      <c r="G14" s="586">
        <f>+D14/C14</f>
        <v>0</v>
      </c>
      <c r="H14" s="579"/>
    </row>
    <row r="15" spans="1:8" ht="14.25">
      <c r="A15" s="583" t="s">
        <v>442</v>
      </c>
      <c r="B15" s="579" t="s">
        <v>443</v>
      </c>
      <c r="C15" s="581">
        <v>90791</v>
      </c>
      <c r="D15" s="581">
        <v>0</v>
      </c>
      <c r="E15" s="581">
        <v>0</v>
      </c>
      <c r="F15" s="581">
        <f t="shared" ref="F15:F16" si="0">+C15-D15-E15</f>
        <v>90791</v>
      </c>
      <c r="G15" s="586">
        <f t="shared" ref="G15:G16" si="1">+D15/C15</f>
        <v>0</v>
      </c>
      <c r="H15" s="579"/>
    </row>
    <row r="16" spans="1:8" ht="14.25">
      <c r="A16" s="583" t="s">
        <v>444</v>
      </c>
      <c r="B16" s="588" t="s">
        <v>445</v>
      </c>
      <c r="C16" s="581">
        <v>82199</v>
      </c>
      <c r="D16" s="581">
        <v>0</v>
      </c>
      <c r="E16" s="581">
        <v>0</v>
      </c>
      <c r="F16" s="581">
        <f t="shared" si="0"/>
        <v>82199</v>
      </c>
      <c r="G16" s="586">
        <f t="shared" si="1"/>
        <v>0</v>
      </c>
      <c r="H16" s="579"/>
    </row>
    <row r="17" spans="1:8" ht="14.25">
      <c r="A17" s="583"/>
      <c r="B17" s="579"/>
      <c r="C17" s="581"/>
      <c r="D17" s="581"/>
      <c r="E17" s="581"/>
      <c r="F17" s="581"/>
      <c r="G17" s="586"/>
      <c r="H17" s="579"/>
    </row>
    <row r="18" spans="1:8" ht="14.25">
      <c r="A18" s="583"/>
      <c r="B18" s="579"/>
      <c r="C18" s="581"/>
      <c r="D18" s="581"/>
      <c r="E18" s="581"/>
      <c r="F18" s="581"/>
      <c r="G18" s="586"/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179492</v>
      </c>
      <c r="D24" s="596">
        <f>SUM(D14:D23)</f>
        <v>0</v>
      </c>
      <c r="E24" s="596">
        <f>SUM(E14:E23)</f>
        <v>0</v>
      </c>
      <c r="F24" s="596">
        <f>SUM(F14:F23)</f>
        <v>179492</v>
      </c>
      <c r="G24" s="597">
        <f>+D24/C24</f>
        <v>0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workbookViewId="0">
      <selection activeCell="E29" sqref="E29"/>
    </sheetView>
  </sheetViews>
  <sheetFormatPr defaultRowHeight="12.75"/>
  <cols>
    <col min="1" max="1" width="29.7109375" style="552" customWidth="1"/>
    <col min="2" max="2" width="25.710937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399</v>
      </c>
      <c r="B1" s="549"/>
    </row>
    <row r="3" spans="1:8">
      <c r="A3" s="552" t="s">
        <v>339</v>
      </c>
      <c r="C3" s="551">
        <v>25000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05/01/15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400</v>
      </c>
      <c r="B14" s="579" t="s">
        <v>401</v>
      </c>
      <c r="C14" s="581">
        <v>25000</v>
      </c>
      <c r="D14" s="581">
        <v>25000</v>
      </c>
      <c r="E14" s="581"/>
      <c r="F14" s="581">
        <f>+C14-D14-E14</f>
        <v>0</v>
      </c>
      <c r="G14" s="586">
        <f>+D14/C14</f>
        <v>1</v>
      </c>
      <c r="H14" s="579"/>
    </row>
    <row r="15" spans="1:8" ht="14.25">
      <c r="A15" s="583"/>
      <c r="B15" s="579"/>
      <c r="C15" s="581"/>
      <c r="D15" s="581"/>
      <c r="E15" s="581"/>
      <c r="F15" s="581"/>
      <c r="G15" s="586"/>
      <c r="H15" s="579"/>
    </row>
    <row r="16" spans="1:8" ht="14.25">
      <c r="A16" s="583"/>
      <c r="B16" s="588"/>
      <c r="C16" s="581"/>
      <c r="D16" s="581"/>
      <c r="E16" s="581"/>
      <c r="F16" s="581"/>
      <c r="G16" s="586"/>
      <c r="H16" s="579"/>
    </row>
    <row r="17" spans="1:8" ht="14.25">
      <c r="A17" s="583"/>
      <c r="B17" s="579"/>
      <c r="C17" s="581"/>
      <c r="D17" s="581"/>
      <c r="E17" s="581"/>
      <c r="F17" s="581"/>
      <c r="G17" s="586"/>
      <c r="H17" s="579"/>
    </row>
    <row r="18" spans="1:8" ht="14.25">
      <c r="A18" s="583"/>
      <c r="B18" s="579"/>
      <c r="C18" s="581"/>
      <c r="D18" s="581"/>
      <c r="E18" s="581"/>
      <c r="F18" s="581"/>
      <c r="G18" s="586"/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25000</v>
      </c>
      <c r="D24" s="596">
        <f>SUM(D14:D23)</f>
        <v>25000</v>
      </c>
      <c r="E24" s="596">
        <f>SUM(E14:E23)</f>
        <v>0</v>
      </c>
      <c r="F24" s="596">
        <f>SUM(F14:F23)</f>
        <v>0</v>
      </c>
      <c r="G24" s="597">
        <f>+D24/C24</f>
        <v>1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6</vt:i4>
      </vt:variant>
    </vt:vector>
  </HeadingPairs>
  <TitlesOfParts>
    <vt:vector size="22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Invest</vt:lpstr>
      <vt:lpstr>Debt Srv Fund Invest</vt:lpstr>
      <vt:lpstr>Rev Exp All Funds</vt:lpstr>
      <vt:lpstr>Tax Collections</vt:lpstr>
      <vt:lpstr>K-8 STEM Academy </vt:lpstr>
      <vt:lpstr>LMS Renovations 2014</vt:lpstr>
      <vt:lpstr>Roofs</vt:lpstr>
      <vt:lpstr>LEHS Classroom Renovations</vt:lpstr>
      <vt:lpstr>LEHS LAB Renovations</vt:lpstr>
      <vt:lpstr>Zellars Renovations</vt:lpstr>
      <vt:lpstr>'GF Budget Amds'!Print_Area</vt:lpstr>
      <vt:lpstr>'Rev Exp All Funds'!Print_Area</vt:lpstr>
      <vt:lpstr>'Stat of Unaudited'!Print_Area</vt:lpstr>
      <vt:lpstr>'Tax Collections'!Print_Area</vt:lpstr>
      <vt:lpstr>Print_Area</vt:lpstr>
      <vt:lpstr>'GF Budget Amds'!Print_Titles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2015-05-04T15:56:38Z</cp:lastPrinted>
  <dcterms:created xsi:type="dcterms:W3CDTF">2011-10-25T18:13:49Z</dcterms:created>
  <dcterms:modified xsi:type="dcterms:W3CDTF">2015-05-29T20:33:15Z</dcterms:modified>
</cp:coreProperties>
</file>