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calcChain.xml" ContentType="application/vnd.openxmlformats-officedocument.spreadsheetml.calcChain+xml"/>
  <Override PartName="/xl/tables/table8.xml" ContentType="application/vnd.openxmlformats-officedocument.spreadsheetml.table+xml"/>
  <Override PartName="/xl/tables/table4.xml" ContentType="application/vnd.openxmlformats-officedocument.spreadsheetml.table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xl/tables/table5.xml" ContentType="application/vnd.openxmlformats-officedocument.spreadsheetml.table+xml"/>
  <Override PartName="/xl/tables/table7.xml" ContentType="application/vnd.openxmlformats-officedocument.spreadsheetml.table+xml"/>
  <Override PartName="/xl/tables/table6.xml" ContentType="application/vnd.openxmlformats-officedocument.spreadsheetml.table+xml"/>
  <Override PartName="/xl/tables/table1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e.schuff\Desktop\Budget Docs\COVID funding\"/>
    </mc:Choice>
  </mc:AlternateContent>
  <xr:revisionPtr revIDLastSave="0" documentId="10_ncr:100000_{1164E4BD-F682-475D-95C0-B83342C33808}" xr6:coauthVersionLast="31" xr6:coauthVersionMax="31" xr10:uidLastSave="{00000000-0000-0000-0000-000000000000}"/>
  <bookViews>
    <workbookView xWindow="0" yWindow="0" windowWidth="28800" windowHeight="11100" tabRatio="714" xr2:uid="{41C03BF3-E3CE-49F5-BE24-FA182769009F}"/>
  </bookViews>
  <sheets>
    <sheet name="Summary" sheetId="8" r:id="rId1"/>
    <sheet name="20-21 ESSER I Alloc" sheetId="4" r:id="rId2"/>
    <sheet name="20-21 ESSER II Alloc" sheetId="6" r:id="rId3"/>
    <sheet name="2020-21 ESSER III Alloc" sheetId="1" r:id="rId4"/>
    <sheet name="SB 117 Allocation" sheetId="5" r:id="rId5"/>
    <sheet name="fy20 LLMF Allocations" sheetId="7" r:id="rId6"/>
    <sheet name="IPI Grant -Rev Alloc" sheetId="2" r:id="rId7"/>
    <sheet name="ELO RevAlloc (All LEAs)" sheetId="3" r:id="rId8"/>
  </sheets>
  <externalReferences>
    <externalReference r:id="rId9"/>
    <externalReference r:id="rId10"/>
  </externalReferences>
  <definedNames>
    <definedName name="_1_2005_06_RE_CERTIFICATIO" localSheetId="0">#REF!</definedName>
    <definedName name="_1_2005_06_RE_CERTIFICATIO">#REF!</definedName>
    <definedName name="_xlnm._FilterDatabase" localSheetId="1" hidden="1">'20-21 ESSER I Alloc'!$C$5:$R$175</definedName>
    <definedName name="_xlnm._FilterDatabase" localSheetId="2" hidden="1">'20-21 ESSER II Alloc'!#REF!</definedName>
    <definedName name="_xlnm._FilterDatabase" localSheetId="7" hidden="1">'ELO RevAlloc (All LEAs)'!$A$8:$W$186</definedName>
    <definedName name="_xlnm._FilterDatabase" localSheetId="5" hidden="1">'fy20 LLMF Allocations'!$A$6:$V$187</definedName>
    <definedName name="_xlnm._FilterDatabase" localSheetId="6" hidden="1">'IPI Grant -Rev Alloc'!$A$9:$M$188</definedName>
    <definedName name="_xlnm._FilterDatabase" localSheetId="4" hidden="1">'SB 117 Allocation'!$A$5:$AF$135</definedName>
    <definedName name="_xlnm._FilterDatabase" localSheetId="0" hidden="1">Summary!$A$5:$O$49</definedName>
    <definedName name="Add_Ons" localSheetId="7">#REF!</definedName>
    <definedName name="Add_Ons" localSheetId="5">#REF!</definedName>
    <definedName name="Add_Ons" localSheetId="4">#REF!</definedName>
    <definedName name="Add_Ons" localSheetId="0">#REF!</definedName>
    <definedName name="Add_Ons">#REF!</definedName>
    <definedName name="Att_COE" localSheetId="7">#REF!</definedName>
    <definedName name="Att_COE" localSheetId="5">#REF!</definedName>
    <definedName name="Att_COE" localSheetId="4">#REF!</definedName>
    <definedName name="Att_COE" localSheetId="0">#REF!</definedName>
    <definedName name="Att_COE">#REF!</definedName>
    <definedName name="Att_CS" localSheetId="7">#REF!</definedName>
    <definedName name="Att_CS" localSheetId="5">#REF!</definedName>
    <definedName name="Att_CS" localSheetId="4">#REF!</definedName>
    <definedName name="Att_CS" localSheetId="0">#REF!</definedName>
    <definedName name="Att_CS">#REF!</definedName>
    <definedName name="CALSTARS_to_FI_Cal_Crosswalk" localSheetId="7">#REF!</definedName>
    <definedName name="CALSTARS_to_FI_Cal_Crosswalk" localSheetId="5">#REF!</definedName>
    <definedName name="CALSTARS_to_FI_Cal_Crosswalk" localSheetId="0">#REF!</definedName>
    <definedName name="CALSTARS_to_FI_Cal_Crosswalk">#REF!</definedName>
    <definedName name="CharterInfoReport" localSheetId="0">#REF!</definedName>
    <definedName name="CharterInfoReport">#REF!</definedName>
    <definedName name="closed" localSheetId="0">#REF!</definedName>
    <definedName name="closed">#REF!</definedName>
    <definedName name="CNIPS" localSheetId="7">#REF!</definedName>
    <definedName name="CNIPS" localSheetId="5">#REF!</definedName>
    <definedName name="CNIPS" localSheetId="0">#REF!</definedName>
    <definedName name="CNIPS">#REF!</definedName>
    <definedName name="CNVAP" localSheetId="7">#REF!</definedName>
    <definedName name="CNVAP" localSheetId="5">#REF!</definedName>
    <definedName name="CNVAP" localSheetId="0">#REF!</definedName>
    <definedName name="CNVAP">#REF!</definedName>
    <definedName name="County_UPP" localSheetId="7">#REF!</definedName>
    <definedName name="County_UPP" localSheetId="5">#REF!</definedName>
    <definedName name="County_UPP" localSheetId="4">#REF!</definedName>
    <definedName name="County_UPP" localSheetId="0">#REF!</definedName>
    <definedName name="County_UPP">#REF!</definedName>
    <definedName name="Crosswalk" localSheetId="7">#REF!</definedName>
    <definedName name="Crosswalk" localSheetId="5">#REF!</definedName>
    <definedName name="Crosswalk" localSheetId="0">#REF!</definedName>
    <definedName name="Crosswalk">#REF!</definedName>
    <definedName name="Current_Period" localSheetId="7">#REF!</definedName>
    <definedName name="Current_Period" localSheetId="5">#REF!</definedName>
    <definedName name="Current_Period" localSheetId="4">#REF!</definedName>
    <definedName name="Current_Period" localSheetId="0">#REF!</definedName>
    <definedName name="Current_Period">#REF!</definedName>
    <definedName name="CY_P2" localSheetId="7">#REF!</definedName>
    <definedName name="CY_P2" localSheetId="5">#REF!</definedName>
    <definedName name="CY_P2" localSheetId="4">#REF!</definedName>
    <definedName name="CY_P2" localSheetId="0">#REF!</definedName>
    <definedName name="CY_P2">#REF!</definedName>
    <definedName name="Debbie" localSheetId="7">#REF!</definedName>
    <definedName name="Debbie" localSheetId="5">#REF!</definedName>
    <definedName name="Debbie" localSheetId="0">#REF!</definedName>
    <definedName name="Debbie">#REF!</definedName>
    <definedName name="District_Count" localSheetId="7">#REF!</definedName>
    <definedName name="District_Count" localSheetId="5">#REF!</definedName>
    <definedName name="District_Count" localSheetId="4">#REF!</definedName>
    <definedName name="District_Count" localSheetId="0">#REF!</definedName>
    <definedName name="District_Count">#REF!</definedName>
    <definedName name="DistrictDetailExpanded" localSheetId="0">#REF!</definedName>
    <definedName name="DistrictDetailExpanded">#REF!</definedName>
    <definedName name="EL_Count_and_Criteria" localSheetId="0">'[1]137-MRPD-EL'!#REF!</definedName>
    <definedName name="EL_Count_and_Criteria">'[1]137-MRPD-EL'!#REF!</definedName>
    <definedName name="EMP" localSheetId="7">#REF!</definedName>
    <definedName name="EMP" localSheetId="5">#REF!</definedName>
    <definedName name="EMP" localSheetId="0">#REF!</definedName>
    <definedName name="EMP">#REF!</definedName>
    <definedName name="ENC" localSheetId="7">#REF!</definedName>
    <definedName name="ENC" localSheetId="5">#REF!</definedName>
    <definedName name="ENC" localSheetId="0">#REF!</definedName>
    <definedName name="ENC">#REF!</definedName>
    <definedName name="EPA" localSheetId="7">#REF!</definedName>
    <definedName name="EPA" localSheetId="5">#REF!</definedName>
    <definedName name="EPA" localSheetId="4">#REF!</definedName>
    <definedName name="EPA" localSheetId="0">#REF!</definedName>
    <definedName name="EPA">#REF!</definedName>
    <definedName name="Foster_Youth_Floor" localSheetId="7">#REF!</definedName>
    <definedName name="Foster_Youth_Floor" localSheetId="5">#REF!</definedName>
    <definedName name="Foster_Youth_Floor" localSheetId="4">#REF!</definedName>
    <definedName name="Foster_Youth_Floor" localSheetId="0">#REF!</definedName>
    <definedName name="Foster_Youth_Floor">#REF!</definedName>
    <definedName name="Foster_Youth_Target" localSheetId="7">#REF!</definedName>
    <definedName name="Foster_Youth_Target" localSheetId="5">#REF!</definedName>
    <definedName name="Foster_Youth_Target" localSheetId="4">#REF!</definedName>
    <definedName name="Foster_Youth_Target" localSheetId="0">#REF!</definedName>
    <definedName name="Foster_Youth_Target">#REF!</definedName>
    <definedName name="GOV" localSheetId="7">#REF!</definedName>
    <definedName name="GOV" localSheetId="5">#REF!</definedName>
    <definedName name="GOV" localSheetId="0">#REF!</definedName>
    <definedName name="GOV">#REF!</definedName>
    <definedName name="Local_Revenue" localSheetId="7">#REF!</definedName>
    <definedName name="Local_Revenue" localSheetId="5">#REF!</definedName>
    <definedName name="Local_Revenue" localSheetId="4">#REF!</definedName>
    <definedName name="Local_Revenue" localSheetId="0">#REF!</definedName>
    <definedName name="Local_Revenue">#REF!</definedName>
    <definedName name="Merge_ELPD_Base_Data3" localSheetId="0">#REF!</definedName>
    <definedName name="Merge_ELPD_Base_Data3">#REF!</definedName>
    <definedName name="Merged_CBEDS_Charter_Data" localSheetId="0">#REF!</definedName>
    <definedName name="Merged_CBEDS_Charter_Data">#REF!</definedName>
    <definedName name="Open_ClosedSchools" localSheetId="0">#REF!</definedName>
    <definedName name="Open_ClosedSchools">#REF!</definedName>
    <definedName name="OpenDoc" localSheetId="7">#REF!</definedName>
    <definedName name="OpenDoc" localSheetId="5">#REF!</definedName>
    <definedName name="OpenDoc" localSheetId="0">#REF!</definedName>
    <definedName name="OpenDoc">#REF!</definedName>
    <definedName name="Ops_Grant" localSheetId="7">#REF!</definedName>
    <definedName name="Ops_Grant" localSheetId="5">#REF!</definedName>
    <definedName name="Ops_Grant" localSheetId="4">#REF!</definedName>
    <definedName name="Ops_Grant" localSheetId="0">#REF!</definedName>
    <definedName name="Ops_Grant">#REF!</definedName>
    <definedName name="PA_Summary" localSheetId="7">#REF!</definedName>
    <definedName name="PA_Summary" localSheetId="5">#REF!</definedName>
    <definedName name="PA_Summary" localSheetId="4">#REF!</definedName>
    <definedName name="PA_Summary" localSheetId="0">#REF!</definedName>
    <definedName name="PA_Summary">#REF!</definedName>
    <definedName name="PARIS" localSheetId="7">#REF!</definedName>
    <definedName name="PARIS" localSheetId="5">#REF!</definedName>
    <definedName name="PARIS" localSheetId="0">#REF!</definedName>
    <definedName name="PARIS">#REF!</definedName>
    <definedName name="pmt" localSheetId="0">#REF!</definedName>
    <definedName name="pmt">#REF!</definedName>
    <definedName name="_xlnm.Print_Area" localSheetId="7">'ELO RevAlloc (All LEAs)'!$A$8:$W$186</definedName>
    <definedName name="_xlnm.Print_Area" localSheetId="6">'IPI Grant -Rev Alloc'!$A$8:$M$188</definedName>
    <definedName name="_xlnm.Print_Titles" localSheetId="1">'20-21 ESSER I Alloc'!$1:$5</definedName>
    <definedName name="_xlnm.Print_Titles" localSheetId="7">'ELO RevAlloc (All LEAs)'!$1:$8</definedName>
    <definedName name="_xlnm.Print_Titles" localSheetId="5">'fy20 LLMF Allocations'!$1:$6</definedName>
    <definedName name="_xlnm.Print_Titles" localSheetId="6">'IPI Grant -Rev Alloc'!$1:$9</definedName>
    <definedName name="_xlnm.Print_Titles" localSheetId="4">'SB 117 Allocation'!$C:$G,'SB 117 Allocation'!$1:$5</definedName>
    <definedName name="_xlnm.Print_Titles" localSheetId="0">Summary!$1:$5</definedName>
    <definedName name="Prior_Period" localSheetId="7">#REF!</definedName>
    <definedName name="Prior_Period" localSheetId="5">#REF!</definedName>
    <definedName name="Prior_Period" localSheetId="4">#REF!</definedName>
    <definedName name="Prior_Period" localSheetId="0">#REF!</definedName>
    <definedName name="Prior_Period">#REF!</definedName>
    <definedName name="PY_P2" localSheetId="7">#REF!</definedName>
    <definedName name="PY_P2" localSheetId="5">#REF!</definedName>
    <definedName name="PY_P2" localSheetId="4">#REF!</definedName>
    <definedName name="PY_P2" localSheetId="0">#REF!</definedName>
    <definedName name="PY_P2">#REF!</definedName>
    <definedName name="PYC_Summary" localSheetId="7">#REF!</definedName>
    <definedName name="PYC_Summary" localSheetId="5">#REF!</definedName>
    <definedName name="PYC_Summary" localSheetId="4">#REF!</definedName>
    <definedName name="PYC_Summary" localSheetId="0">#REF!</definedName>
    <definedName name="PYC_Summary">#REF!</definedName>
    <definedName name="qry_08_09_AdjSchLvl___Dist___LFs" localSheetId="0">#REF!</definedName>
    <definedName name="qry_08_09_AdjSchLvl___Dist___LFs">#REF!</definedName>
    <definedName name="qry_aggr2007_Teacher_ct_to_LEA_level" localSheetId="0">#REF!</definedName>
    <definedName name="qry_aggr2007_Teacher_ct_to_LEA_level">#REF!</definedName>
    <definedName name="qry_aggre_2007_CBED_PAR_Sch_Level_to_dist_level" localSheetId="0">#REF!</definedName>
    <definedName name="qry_aggre_2007_CBED_PAR_Sch_Level_to_dist_level">#REF!</definedName>
    <definedName name="qry_may_7_master_IV_16_programs" localSheetId="0">#REF!</definedName>
    <definedName name="qry_may_7_master_IV_16_programs">#REF!</definedName>
    <definedName name="qry_Teacher_ct_PAR_File_Sch_Level_to_Dist_Level" localSheetId="0">#REF!</definedName>
    <definedName name="qry_Teacher_ct_PAR_File_Sch_Level_to_Dist_Level">#REF!</definedName>
    <definedName name="qry03_District_Level_Data_LEAs" localSheetId="0">#REF!</definedName>
    <definedName name="qry03_District_Level_Data_LEAs">#REF!</definedName>
    <definedName name="qry05_District_Level_Data_NFCS" localSheetId="0">#REF!</definedName>
    <definedName name="qry05_District_Level_Data_NFCS">#REF!</definedName>
    <definedName name="qryChartersActive" localSheetId="0">#REF!</definedName>
    <definedName name="qryChartersActive">#REF!</definedName>
    <definedName name="qryFed_File_District_Level_no_DFCS" localSheetId="0">#REF!</definedName>
    <definedName name="qryFed_File_District_Level_no_DFCS">#REF!</definedName>
    <definedName name="qryPubschls" localSheetId="0">#REF!</definedName>
    <definedName name="qryPubschls">#REF!</definedName>
    <definedName name="QryReorgedDistricts" localSheetId="0">#REF!</definedName>
    <definedName name="QryReorgedDistricts">#REF!</definedName>
    <definedName name="SchoolDetailExpanded" localSheetId="0">#REF!</definedName>
    <definedName name="SchoolDetailExpanded">#REF!</definedName>
    <definedName name="STD" localSheetId="7">#REF!</definedName>
    <definedName name="STD" localSheetId="5">#REF!</definedName>
    <definedName name="STD" localSheetId="0">#REF!</definedName>
    <definedName name="STD">#REF!</definedName>
    <definedName name="tblPubschlsDownload" localSheetId="0">#REF!</definedName>
    <definedName name="tblPubschlsDownload">#REF!</definedName>
    <definedName name="TEST">'[2]4a. Rvsd LEA Ent -No DFCS'!$A$1:$G$1030</definedName>
    <definedName name="Vendor_Match_Results" localSheetId="7">#REF!</definedName>
    <definedName name="Vendor_Match_Results" localSheetId="5">#REF!</definedName>
    <definedName name="Vendor_Match_Results" localSheetId="0">#REF!</definedName>
    <definedName name="Vendor_Match_Results">#REF!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72" i="4" l="1"/>
  <c r="L172" i="4"/>
  <c r="M172" i="4"/>
  <c r="N172" i="4"/>
  <c r="O172" i="4"/>
  <c r="P172" i="4"/>
  <c r="Q172" i="4"/>
  <c r="J48" i="8" l="1"/>
  <c r="J47" i="8"/>
  <c r="J46" i="8"/>
  <c r="J45" i="8"/>
  <c r="J44" i="8"/>
  <c r="J43" i="8"/>
  <c r="J42" i="8"/>
  <c r="J41" i="8"/>
  <c r="J40" i="8"/>
  <c r="J39" i="8"/>
  <c r="J38" i="8"/>
  <c r="J37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2" i="8"/>
  <c r="J21" i="8"/>
  <c r="J20" i="8"/>
  <c r="J19" i="8"/>
  <c r="J18" i="8"/>
  <c r="J17" i="8"/>
  <c r="J16" i="8"/>
  <c r="J15" i="8"/>
  <c r="J14" i="8"/>
  <c r="J13" i="8"/>
  <c r="J12" i="8"/>
  <c r="J11" i="8"/>
  <c r="J10" i="8"/>
  <c r="J9" i="8"/>
  <c r="J8" i="8"/>
  <c r="J7" i="8"/>
  <c r="J6" i="8"/>
  <c r="W184" i="3"/>
  <c r="M48" i="8"/>
  <c r="M47" i="8"/>
  <c r="M46" i="8"/>
  <c r="M45" i="8"/>
  <c r="M44" i="8"/>
  <c r="M43" i="8"/>
  <c r="M42" i="8"/>
  <c r="M41" i="8"/>
  <c r="M40" i="8"/>
  <c r="M39" i="8"/>
  <c r="M38" i="8"/>
  <c r="M37" i="8"/>
  <c r="M36" i="8"/>
  <c r="M35" i="8"/>
  <c r="M34" i="8"/>
  <c r="M33" i="8"/>
  <c r="M32" i="8"/>
  <c r="M31" i="8"/>
  <c r="M30" i="8"/>
  <c r="M29" i="8"/>
  <c r="M28" i="8"/>
  <c r="M27" i="8"/>
  <c r="M26" i="8"/>
  <c r="M25" i="8"/>
  <c r="M24" i="8"/>
  <c r="M23" i="8"/>
  <c r="M22" i="8"/>
  <c r="M21" i="8"/>
  <c r="M20" i="8"/>
  <c r="M19" i="8"/>
  <c r="M18" i="8"/>
  <c r="M17" i="8"/>
  <c r="M16" i="8"/>
  <c r="M15" i="8"/>
  <c r="M14" i="8"/>
  <c r="M13" i="8"/>
  <c r="M12" i="8"/>
  <c r="M11" i="8"/>
  <c r="M10" i="8"/>
  <c r="M9" i="8"/>
  <c r="M8" i="8"/>
  <c r="M7" i="8"/>
  <c r="M6" i="8"/>
  <c r="K185" i="2"/>
  <c r="L48" i="8"/>
  <c r="L47" i="8"/>
  <c r="L46" i="8"/>
  <c r="L45" i="8"/>
  <c r="L44" i="8"/>
  <c r="L43" i="8"/>
  <c r="L42" i="8"/>
  <c r="L41" i="8"/>
  <c r="L40" i="8"/>
  <c r="L39" i="8"/>
  <c r="L38" i="8"/>
  <c r="L37" i="8"/>
  <c r="L36" i="8"/>
  <c r="L35" i="8"/>
  <c r="L34" i="8"/>
  <c r="L33" i="8"/>
  <c r="L32" i="8"/>
  <c r="L31" i="8"/>
  <c r="L30" i="8"/>
  <c r="L29" i="8"/>
  <c r="L28" i="8"/>
  <c r="L27" i="8"/>
  <c r="L26" i="8"/>
  <c r="L25" i="8"/>
  <c r="L24" i="8"/>
  <c r="L23" i="8"/>
  <c r="L22" i="8"/>
  <c r="L21" i="8"/>
  <c r="L20" i="8"/>
  <c r="L19" i="8"/>
  <c r="L18" i="8"/>
  <c r="L17" i="8"/>
  <c r="L16" i="8"/>
  <c r="L15" i="8"/>
  <c r="L14" i="8"/>
  <c r="L13" i="8"/>
  <c r="L12" i="8"/>
  <c r="L11" i="8"/>
  <c r="L10" i="8"/>
  <c r="L9" i="8"/>
  <c r="L8" i="8"/>
  <c r="L7" i="8"/>
  <c r="L6" i="8"/>
  <c r="K48" i="8"/>
  <c r="K47" i="8"/>
  <c r="K46" i="8"/>
  <c r="K45" i="8"/>
  <c r="K44" i="8"/>
  <c r="K43" i="8"/>
  <c r="K42" i="8"/>
  <c r="K41" i="8"/>
  <c r="K40" i="8"/>
  <c r="K39" i="8"/>
  <c r="K38" i="8"/>
  <c r="K37" i="8"/>
  <c r="K36" i="8"/>
  <c r="K35" i="8"/>
  <c r="K34" i="8"/>
  <c r="K33" i="8"/>
  <c r="K32" i="8"/>
  <c r="K31" i="8"/>
  <c r="K30" i="8"/>
  <c r="K29" i="8"/>
  <c r="K28" i="8"/>
  <c r="K27" i="8"/>
  <c r="K26" i="8"/>
  <c r="K25" i="8"/>
  <c r="K24" i="8"/>
  <c r="K23" i="8"/>
  <c r="K22" i="8"/>
  <c r="K21" i="8"/>
  <c r="K20" i="8"/>
  <c r="K19" i="8"/>
  <c r="K18" i="8"/>
  <c r="K17" i="8"/>
  <c r="K16" i="8"/>
  <c r="K15" i="8"/>
  <c r="K14" i="8"/>
  <c r="K13" i="8"/>
  <c r="K12" i="8"/>
  <c r="K11" i="8"/>
  <c r="K10" i="8"/>
  <c r="K9" i="8"/>
  <c r="K8" i="8"/>
  <c r="K7" i="8"/>
  <c r="K6" i="8"/>
  <c r="V185" i="7"/>
  <c r="E2" i="7"/>
  <c r="F2" i="7" s="1"/>
  <c r="G2" i="7" s="1"/>
  <c r="H2" i="7" s="1"/>
  <c r="I2" i="7" s="1"/>
  <c r="J2" i="7" s="1"/>
  <c r="K2" i="7" s="1"/>
  <c r="L2" i="7" s="1"/>
  <c r="M2" i="7" s="1"/>
  <c r="N2" i="7" s="1"/>
  <c r="O2" i="7" s="1"/>
  <c r="P2" i="7" s="1"/>
  <c r="Q2" i="7" s="1"/>
  <c r="R2" i="7" s="1"/>
  <c r="S2" i="7" s="1"/>
  <c r="T2" i="7" s="1"/>
  <c r="U2" i="7" s="1"/>
  <c r="V2" i="7" s="1"/>
  <c r="D2" i="7"/>
  <c r="U173" i="1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H50" i="8"/>
  <c r="M173" i="6"/>
  <c r="K173" i="4"/>
  <c r="H6" i="8"/>
  <c r="H7" i="8"/>
  <c r="H8" i="8"/>
  <c r="H9" i="8"/>
  <c r="H10" i="8"/>
  <c r="H11" i="8"/>
  <c r="H12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H41" i="8"/>
  <c r="H42" i="8"/>
  <c r="H43" i="8"/>
  <c r="H44" i="8"/>
  <c r="H45" i="8"/>
  <c r="H46" i="8"/>
  <c r="H47" i="8"/>
  <c r="H48" i="8"/>
  <c r="G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N27" i="8" s="1"/>
  <c r="G28" i="8"/>
  <c r="G29" i="8"/>
  <c r="G30" i="8"/>
  <c r="G31" i="8"/>
  <c r="G32" i="8"/>
  <c r="G33" i="8"/>
  <c r="G34" i="8"/>
  <c r="G35" i="8"/>
  <c r="N35" i="8" s="1"/>
  <c r="G36" i="8"/>
  <c r="G37" i="8"/>
  <c r="G38" i="8"/>
  <c r="G39" i="8"/>
  <c r="G40" i="8"/>
  <c r="G41" i="8"/>
  <c r="G42" i="8"/>
  <c r="G43" i="8"/>
  <c r="G44" i="8"/>
  <c r="G45" i="8"/>
  <c r="G46" i="8"/>
  <c r="G47" i="8"/>
  <c r="G48" i="8"/>
  <c r="I184" i="7"/>
  <c r="J184" i="7"/>
  <c r="K184" i="7"/>
  <c r="L184" i="7"/>
  <c r="M184" i="7"/>
  <c r="N184" i="7"/>
  <c r="O184" i="7"/>
  <c r="P184" i="7"/>
  <c r="Q184" i="7"/>
  <c r="R184" i="7"/>
  <c r="S184" i="7"/>
  <c r="T184" i="7"/>
  <c r="U184" i="7"/>
  <c r="V184" i="7"/>
  <c r="N9" i="8" l="1"/>
  <c r="N17" i="8"/>
  <c r="N25" i="8"/>
  <c r="N33" i="8"/>
  <c r="N41" i="8"/>
  <c r="N10" i="8"/>
  <c r="N18" i="8"/>
  <c r="N26" i="8"/>
  <c r="N34" i="8"/>
  <c r="N42" i="8"/>
  <c r="N11" i="8"/>
  <c r="N19" i="8"/>
  <c r="N43" i="8"/>
  <c r="N12" i="8"/>
  <c r="N20" i="8"/>
  <c r="N28" i="8"/>
  <c r="N36" i="8"/>
  <c r="N44" i="8"/>
  <c r="N13" i="8"/>
  <c r="N21" i="8"/>
  <c r="N29" i="8"/>
  <c r="N37" i="8"/>
  <c r="N45" i="8"/>
  <c r="N6" i="8"/>
  <c r="N14" i="8"/>
  <c r="N22" i="8"/>
  <c r="N30" i="8"/>
  <c r="N38" i="8"/>
  <c r="N46" i="8"/>
  <c r="N7" i="8"/>
  <c r="N15" i="8"/>
  <c r="N23" i="8"/>
  <c r="N31" i="8"/>
  <c r="N39" i="8"/>
  <c r="N47" i="8"/>
  <c r="N8" i="8"/>
  <c r="N16" i="8"/>
  <c r="N24" i="8"/>
  <c r="N32" i="8"/>
  <c r="N40" i="8"/>
  <c r="N48" i="8"/>
  <c r="J49" i="8"/>
  <c r="J50" i="8" s="1"/>
  <c r="M49" i="8"/>
  <c r="M50" i="8" s="1"/>
  <c r="L49" i="8"/>
  <c r="L50" i="8" s="1"/>
  <c r="K49" i="8"/>
  <c r="K50" i="8" s="1"/>
  <c r="I49" i="8"/>
  <c r="I50" i="8" s="1"/>
  <c r="H49" i="8"/>
  <c r="G49" i="8"/>
  <c r="G50" i="8" s="1"/>
  <c r="I172" i="6"/>
  <c r="M172" i="6"/>
  <c r="N172" i="6"/>
  <c r="O172" i="6"/>
  <c r="P172" i="6"/>
  <c r="Q172" i="6"/>
  <c r="N49" i="8" l="1"/>
  <c r="I135" i="5"/>
  <c r="J135" i="5"/>
  <c r="K135" i="5"/>
  <c r="L135" i="5"/>
  <c r="M135" i="5"/>
  <c r="N135" i="5"/>
  <c r="O135" i="5"/>
  <c r="P135" i="5"/>
  <c r="Q135" i="5"/>
  <c r="R135" i="5"/>
  <c r="S135" i="5"/>
  <c r="T135" i="5"/>
  <c r="U135" i="5"/>
  <c r="V135" i="5"/>
  <c r="W135" i="5"/>
  <c r="X135" i="5"/>
  <c r="Y135" i="5"/>
  <c r="Z135" i="5"/>
  <c r="AA135" i="5"/>
  <c r="I183" i="3" l="1"/>
  <c r="J183" i="3"/>
  <c r="K183" i="3"/>
  <c r="L183" i="3"/>
  <c r="M183" i="3"/>
  <c r="N183" i="3"/>
  <c r="O183" i="3"/>
  <c r="P183" i="3"/>
  <c r="Q183" i="3"/>
  <c r="R183" i="3"/>
  <c r="S183" i="3"/>
  <c r="T183" i="3"/>
  <c r="U183" i="3"/>
  <c r="V183" i="3"/>
  <c r="W183" i="3"/>
  <c r="I184" i="2" l="1"/>
  <c r="J184" i="2"/>
  <c r="K184" i="2"/>
  <c r="L184" i="2"/>
  <c r="M184" i="2"/>
  <c r="W172" i="1" l="1"/>
  <c r="V172" i="1"/>
  <c r="U172" i="1"/>
  <c r="T172" i="1"/>
  <c r="S172" i="1"/>
  <c r="R172" i="1"/>
  <c r="Q172" i="1"/>
  <c r="P172" i="1"/>
  <c r="O172" i="1"/>
  <c r="K172" i="1"/>
  <c r="J172" i="1"/>
  <c r="I172" i="1"/>
  <c r="X172" i="1"/>
</calcChain>
</file>

<file path=xl/sharedStrings.xml><?xml version="1.0" encoding="utf-8"?>
<sst xmlns="http://schemas.openxmlformats.org/spreadsheetml/2006/main" count="11160" uniqueCount="994">
  <si>
    <t>American Rescue Plan (ARP) Act , 2020–21</t>
  </si>
  <si>
    <t>Elementary and Secondary School Emergency Relief III (ESSER III) Funds</t>
  </si>
  <si>
    <t>To receive a preliminary eligibility amount for ESSER III, the LEA must have received a 2020-21 Title I allocation by 1) meeting Title I, Part A eligiblity requirements, 2) submitting the 2020-21 CARS Application for Funding by 4/16/2021, and 3) submitting the LCAP Federal Addendum by 4/16/2021.</t>
  </si>
  <si>
    <t>LEAs with $0 preliminary ESSER III eligibility in Column I did not meet one or more of the requirements listed above in row 3.</t>
  </si>
  <si>
    <t>LEAs must complete the ESSER III Legal Assurances to receive an allocation amount and payments.</t>
  </si>
  <si>
    <t>County
Name</t>
  </si>
  <si>
    <t>Full CDS Code</t>
  </si>
  <si>
    <t>County
Code</t>
  </si>
  <si>
    <t>District
Code</t>
  </si>
  <si>
    <t>School
Code</t>
  </si>
  <si>
    <t>Direct
Funded
Charter School
Number</t>
  </si>
  <si>
    <t>Service
Location
Field</t>
  </si>
  <si>
    <t>Local Educational Agency</t>
  </si>
  <si>
    <t>Current
Authority
Eligibility
Amount</t>
  </si>
  <si>
    <t>Future
Authority
Eligibility
Amount</t>
  </si>
  <si>
    <t>Revised 
Total
Eligibility
Amount</t>
  </si>
  <si>
    <t>CARS
Application
for Funding</t>
  </si>
  <si>
    <t>LCAP Federal Addendum</t>
  </si>
  <si>
    <t>ESSER III 
Legal 
Assurances</t>
  </si>
  <si>
    <t>80% of Funding Allowable Uses of ESSER III
Resource 3213
(Current Authority)</t>
  </si>
  <si>
    <t>Total
Revised
Allocation
Amount
(Current Authority)</t>
  </si>
  <si>
    <t>80% of Funding Allowable Uses of ESSER III
Resource 3213
(Future Authority)</t>
  </si>
  <si>
    <t>Total
Revised
Allocation
Amount
(Future Authority)</t>
  </si>
  <si>
    <t>Total Revised Allocation Amount
(Current + Future)</t>
  </si>
  <si>
    <t>1st
Apportionment
(10% of Current Authority)</t>
  </si>
  <si>
    <t>Total Paid</t>
  </si>
  <si>
    <t>0000000</t>
  </si>
  <si>
    <t>N/A</t>
  </si>
  <si>
    <t>Lakeside Union Elementary</t>
  </si>
  <si>
    <t>Excel Academy Charter</t>
  </si>
  <si>
    <t>San Diego</t>
  </si>
  <si>
    <t>37103710000000</t>
  </si>
  <si>
    <t>37</t>
  </si>
  <si>
    <t>10371</t>
  </si>
  <si>
    <t>San Diego County Office of Education</t>
  </si>
  <si>
    <t>37679670000000</t>
  </si>
  <si>
    <t>67967</t>
  </si>
  <si>
    <t>Alpine Union Elementary</t>
  </si>
  <si>
    <t>37679830000000</t>
  </si>
  <si>
    <t>67983</t>
  </si>
  <si>
    <t>Borrego Springs Unified</t>
  </si>
  <si>
    <t>37679910000000</t>
  </si>
  <si>
    <t>67991</t>
  </si>
  <si>
    <t>Cajon Valley Union</t>
  </si>
  <si>
    <t>37680070000000</t>
  </si>
  <si>
    <t>68007</t>
  </si>
  <si>
    <t>Cardiff Elementary</t>
  </si>
  <si>
    <t>37680230000000</t>
  </si>
  <si>
    <t>68023</t>
  </si>
  <si>
    <t>Chula Vista Elementary</t>
  </si>
  <si>
    <t>37680310000000</t>
  </si>
  <si>
    <t>68031</t>
  </si>
  <si>
    <t>Coronado Unified</t>
  </si>
  <si>
    <t>37680490000000</t>
  </si>
  <si>
    <t>68049</t>
  </si>
  <si>
    <t>Dehesa Elementary</t>
  </si>
  <si>
    <t>37680560000000</t>
  </si>
  <si>
    <t>68056</t>
  </si>
  <si>
    <t>Del Mar Union Elementary</t>
  </si>
  <si>
    <t>37680800000000</t>
  </si>
  <si>
    <t>68080</t>
  </si>
  <si>
    <t>Encinitas Union Elementary</t>
  </si>
  <si>
    <t>37680980000000</t>
  </si>
  <si>
    <t>68098</t>
  </si>
  <si>
    <t>Escondido Union</t>
  </si>
  <si>
    <t>37681060000000</t>
  </si>
  <si>
    <t>68106</t>
  </si>
  <si>
    <t>Escondido Union High</t>
  </si>
  <si>
    <t>37681140000000</t>
  </si>
  <si>
    <t>68114</t>
  </si>
  <si>
    <t>Fallbrook Union Elementary</t>
  </si>
  <si>
    <t>37681220000000</t>
  </si>
  <si>
    <t>68122</t>
  </si>
  <si>
    <t>Fallbrook Union High</t>
  </si>
  <si>
    <t>37681300000000</t>
  </si>
  <si>
    <t>68130</t>
  </si>
  <si>
    <t>Grossmont Union High</t>
  </si>
  <si>
    <t>37681550000000</t>
  </si>
  <si>
    <t>68155</t>
  </si>
  <si>
    <t>Jamul-Dulzura Union Elementary</t>
  </si>
  <si>
    <t>37681630000000</t>
  </si>
  <si>
    <t>68163</t>
  </si>
  <si>
    <t>Julian Union Elementary</t>
  </si>
  <si>
    <t>37681710000000</t>
  </si>
  <si>
    <t>68171</t>
  </si>
  <si>
    <t>Julian Union High</t>
  </si>
  <si>
    <t>37681890000000</t>
  </si>
  <si>
    <t>68189</t>
  </si>
  <si>
    <t>37681970000000</t>
  </si>
  <si>
    <t>68197</t>
  </si>
  <si>
    <t>La Mesa-Spring Valley</t>
  </si>
  <si>
    <t>37682050000000</t>
  </si>
  <si>
    <t>68205</t>
  </si>
  <si>
    <t>Lemon Grove</t>
  </si>
  <si>
    <t>37682130000000</t>
  </si>
  <si>
    <t>68213</t>
  </si>
  <si>
    <t>Mountain Empire Unified</t>
  </si>
  <si>
    <t>37682210000000</t>
  </si>
  <si>
    <t>68221</t>
  </si>
  <si>
    <t>National Elementary</t>
  </si>
  <si>
    <t>37682960000000</t>
  </si>
  <si>
    <t>68296</t>
  </si>
  <si>
    <t>Poway Unified</t>
  </si>
  <si>
    <t>37683040000000</t>
  </si>
  <si>
    <t>68304</t>
  </si>
  <si>
    <t>Ramona City Unified</t>
  </si>
  <si>
    <t>37683120000000</t>
  </si>
  <si>
    <t>68312</t>
  </si>
  <si>
    <t>Rancho Santa Fe Elementary</t>
  </si>
  <si>
    <t>37683380000000</t>
  </si>
  <si>
    <t>68338</t>
  </si>
  <si>
    <t>San Diego Unified</t>
  </si>
  <si>
    <t>37683460000000</t>
  </si>
  <si>
    <t>68346</t>
  </si>
  <si>
    <t>San Dieguito Union High</t>
  </si>
  <si>
    <t>37683530000000</t>
  </si>
  <si>
    <t>68353</t>
  </si>
  <si>
    <t>San Pasqual Union Elementary</t>
  </si>
  <si>
    <t>37683610000000</t>
  </si>
  <si>
    <t>68361</t>
  </si>
  <si>
    <t>Santee</t>
  </si>
  <si>
    <t>37683790000000</t>
  </si>
  <si>
    <t>68379</t>
  </si>
  <si>
    <t>San Ysidro Elementary</t>
  </si>
  <si>
    <t>37683870000000</t>
  </si>
  <si>
    <t>68387</t>
  </si>
  <si>
    <t>Solana Beach Elementary</t>
  </si>
  <si>
    <t>37683950000000</t>
  </si>
  <si>
    <t>68395</t>
  </si>
  <si>
    <t>South Bay Union</t>
  </si>
  <si>
    <t>37684030000000</t>
  </si>
  <si>
    <t>68403</t>
  </si>
  <si>
    <t>Spencer Valley Elementary</t>
  </si>
  <si>
    <t>37684110000000</t>
  </si>
  <si>
    <t>68411</t>
  </si>
  <si>
    <t>Sweetwater Union High</t>
  </si>
  <si>
    <t>37684370000000</t>
  </si>
  <si>
    <t>68437</t>
  </si>
  <si>
    <t>Vallecitos Elementary</t>
  </si>
  <si>
    <t>37684520000000</t>
  </si>
  <si>
    <t>68452</t>
  </si>
  <si>
    <t>Vista Unified</t>
  </si>
  <si>
    <t>37735510000000</t>
  </si>
  <si>
    <t>73551</t>
  </si>
  <si>
    <t>Carlsbad Unified</t>
  </si>
  <si>
    <t>37735690000000</t>
  </si>
  <si>
    <t>73569</t>
  </si>
  <si>
    <t>Oceanside Unified</t>
  </si>
  <si>
    <t>37737910000000</t>
  </si>
  <si>
    <t>73791</t>
  </si>
  <si>
    <t>San Marcos Unified</t>
  </si>
  <si>
    <t>37754160000000</t>
  </si>
  <si>
    <t>75416</t>
  </si>
  <si>
    <t>Warner Unified</t>
  </si>
  <si>
    <t>37756140000000</t>
  </si>
  <si>
    <t>75614</t>
  </si>
  <si>
    <t>Valley Center-Pauma Unified</t>
  </si>
  <si>
    <t>37768510000000</t>
  </si>
  <si>
    <t>76851</t>
  </si>
  <si>
    <t>Bonsall Unified</t>
  </si>
  <si>
    <t>37683383730959</t>
  </si>
  <si>
    <t>3730959</t>
  </si>
  <si>
    <t>0028</t>
  </si>
  <si>
    <t>C0028</t>
  </si>
  <si>
    <t>Charter School of San Diego</t>
  </si>
  <si>
    <t>37683386039457</t>
  </si>
  <si>
    <t>6039457</t>
  </si>
  <si>
    <t>0033</t>
  </si>
  <si>
    <t>C0033</t>
  </si>
  <si>
    <t>Darnall Charter</t>
  </si>
  <si>
    <t>37683386040018</t>
  </si>
  <si>
    <t>6040018</t>
  </si>
  <si>
    <t>0046</t>
  </si>
  <si>
    <t>C0046</t>
  </si>
  <si>
    <t>Harriet Tubman Village Charter</t>
  </si>
  <si>
    <t>37683386061964</t>
  </si>
  <si>
    <t>6061964</t>
  </si>
  <si>
    <t>0048</t>
  </si>
  <si>
    <t>C0048</t>
  </si>
  <si>
    <t>The O'Farrell Charter</t>
  </si>
  <si>
    <t>37684523730942</t>
  </si>
  <si>
    <t>3730942</t>
  </si>
  <si>
    <t>0050</t>
  </si>
  <si>
    <t>C0050</t>
  </si>
  <si>
    <t>Guajome Park Academy Charter</t>
  </si>
  <si>
    <t>37680236111322</t>
  </si>
  <si>
    <t>6111322</t>
  </si>
  <si>
    <t>0054</t>
  </si>
  <si>
    <t>C0054</t>
  </si>
  <si>
    <t>Discovery Charter</t>
  </si>
  <si>
    <t>37680236037980</t>
  </si>
  <si>
    <t>6037980</t>
  </si>
  <si>
    <t>0064</t>
  </si>
  <si>
    <t>C0064</t>
  </si>
  <si>
    <t>Mueller Charter (Robert L.)</t>
  </si>
  <si>
    <t>37683386115570</t>
  </si>
  <si>
    <t>6115570</t>
  </si>
  <si>
    <t>0081</t>
  </si>
  <si>
    <t>C0081</t>
  </si>
  <si>
    <t>Museum</t>
  </si>
  <si>
    <t>37683386113211</t>
  </si>
  <si>
    <t>6113211</t>
  </si>
  <si>
    <t>0095</t>
  </si>
  <si>
    <t>C0095</t>
  </si>
  <si>
    <t>McGill School of Success</t>
  </si>
  <si>
    <t>37681063731023</t>
  </si>
  <si>
    <t>3731023</t>
  </si>
  <si>
    <t>0109</t>
  </si>
  <si>
    <t>C0109</t>
  </si>
  <si>
    <t>Escondido Charter High</t>
  </si>
  <si>
    <t>37681893731072</t>
  </si>
  <si>
    <t>3731072</t>
  </si>
  <si>
    <t>0120</t>
  </si>
  <si>
    <t>C0120</t>
  </si>
  <si>
    <t>River Valley Charter</t>
  </si>
  <si>
    <t>37680236037956</t>
  </si>
  <si>
    <t>6037956</t>
  </si>
  <si>
    <t>0121</t>
  </si>
  <si>
    <t>C0121</t>
  </si>
  <si>
    <t>Feaster (Mae L.) Charter</t>
  </si>
  <si>
    <t>37680236115778</t>
  </si>
  <si>
    <t>6115778</t>
  </si>
  <si>
    <t>0135</t>
  </si>
  <si>
    <t>C0135</t>
  </si>
  <si>
    <t>Chula Vista Learning Community Charter</t>
  </si>
  <si>
    <t>37681303732732</t>
  </si>
  <si>
    <t>3732732</t>
  </si>
  <si>
    <t>0150</t>
  </si>
  <si>
    <t>C0150</t>
  </si>
  <si>
    <t>Helix High</t>
  </si>
  <si>
    <t>37683383731189</t>
  </si>
  <si>
    <t>3731189</t>
  </si>
  <si>
    <t>0169</t>
  </si>
  <si>
    <t>C0169</t>
  </si>
  <si>
    <t>Preuss School UCSD</t>
  </si>
  <si>
    <t>37680986116776</t>
  </si>
  <si>
    <t>6116776</t>
  </si>
  <si>
    <t>0199</t>
  </si>
  <si>
    <t>C0199</t>
  </si>
  <si>
    <t>Classical Academy</t>
  </si>
  <si>
    <t>37735693731221</t>
  </si>
  <si>
    <t>3731221</t>
  </si>
  <si>
    <t>0247</t>
  </si>
  <si>
    <t>C0247</t>
  </si>
  <si>
    <t>Pacific View Charter</t>
  </si>
  <si>
    <t>37681556117303</t>
  </si>
  <si>
    <t>6117303</t>
  </si>
  <si>
    <t>0261</t>
  </si>
  <si>
    <t>C0261</t>
  </si>
  <si>
    <t>Greater San Diego Academy</t>
  </si>
  <si>
    <t>37683386117279</t>
  </si>
  <si>
    <t>6117279</t>
  </si>
  <si>
    <t>0264</t>
  </si>
  <si>
    <t>C0264</t>
  </si>
  <si>
    <t>Holly Drive Leadership Academy</t>
  </si>
  <si>
    <t>37681633731239</t>
  </si>
  <si>
    <t>3731239</t>
  </si>
  <si>
    <t>0267</t>
  </si>
  <si>
    <t>C0267</t>
  </si>
  <si>
    <t>Julian Charter</t>
  </si>
  <si>
    <t>37683383731247</t>
  </si>
  <si>
    <t>3731247</t>
  </si>
  <si>
    <t>0269</t>
  </si>
  <si>
    <t>C0269</t>
  </si>
  <si>
    <t>High Tech High</t>
  </si>
  <si>
    <t>37683386117683</t>
  </si>
  <si>
    <t>6117683</t>
  </si>
  <si>
    <t>0278</t>
  </si>
  <si>
    <t>C0278</t>
  </si>
  <si>
    <t>High Tech Elementary Explorer</t>
  </si>
  <si>
    <t>37684113731304</t>
  </si>
  <si>
    <t>3731304</t>
  </si>
  <si>
    <t>0303</t>
  </si>
  <si>
    <t>C0303</t>
  </si>
  <si>
    <t>MAAC Community Charter</t>
  </si>
  <si>
    <t>37683386119168</t>
  </si>
  <si>
    <t>6119168</t>
  </si>
  <si>
    <t>0396</t>
  </si>
  <si>
    <t>C0396</t>
  </si>
  <si>
    <t>San Diego Cooperative Charter</t>
  </si>
  <si>
    <t>37103716119119</t>
  </si>
  <si>
    <t>6119119</t>
  </si>
  <si>
    <t>0405</t>
  </si>
  <si>
    <t>C0405</t>
  </si>
  <si>
    <t>Literacy First Charter</t>
  </si>
  <si>
    <t>37683383731395</t>
  </si>
  <si>
    <t>3731395</t>
  </si>
  <si>
    <t>0406</t>
  </si>
  <si>
    <t>C0406</t>
  </si>
  <si>
    <t>Audeo Charter</t>
  </si>
  <si>
    <t>37683386119598</t>
  </si>
  <si>
    <t>6119598</t>
  </si>
  <si>
    <t>0420</t>
  </si>
  <si>
    <t>C0420</t>
  </si>
  <si>
    <t>King-Chavez Academy of Excellence</t>
  </si>
  <si>
    <t>37681896120901</t>
  </si>
  <si>
    <t>6120901</t>
  </si>
  <si>
    <t>0469</t>
  </si>
  <si>
    <t>C0469</t>
  </si>
  <si>
    <t>Barona Indian Charter</t>
  </si>
  <si>
    <t>37680236116859</t>
  </si>
  <si>
    <t>6116859</t>
  </si>
  <si>
    <t>0483</t>
  </si>
  <si>
    <t>C0483</t>
  </si>
  <si>
    <t>Arroyo Vista Charter</t>
  </si>
  <si>
    <t>37683386120935</t>
  </si>
  <si>
    <t>6120935</t>
  </si>
  <si>
    <t>0488</t>
  </si>
  <si>
    <t>C0488</t>
  </si>
  <si>
    <t>Albert Einstein Academy Charter Elementary</t>
  </si>
  <si>
    <t>37684036120893</t>
  </si>
  <si>
    <t>6120893</t>
  </si>
  <si>
    <t>0493</t>
  </si>
  <si>
    <t>C0493</t>
  </si>
  <si>
    <t>California Virtual Academy @ San Diego</t>
  </si>
  <si>
    <t>37735690136267</t>
  </si>
  <si>
    <t>0136267</t>
  </si>
  <si>
    <t>0516</t>
  </si>
  <si>
    <t>C0516</t>
  </si>
  <si>
    <t>Coastal Academy Charter</t>
  </si>
  <si>
    <t>37683380101204</t>
  </si>
  <si>
    <t>0101204</t>
  </si>
  <si>
    <t>0546</t>
  </si>
  <si>
    <t>C0546</t>
  </si>
  <si>
    <t>High Tech Middle</t>
  </si>
  <si>
    <t>37683380101345</t>
  </si>
  <si>
    <t>0101345</t>
  </si>
  <si>
    <t>0550</t>
  </si>
  <si>
    <t>C0550</t>
  </si>
  <si>
    <t>KIPP Adelante Preparatory Academy</t>
  </si>
  <si>
    <t>37682210101360</t>
  </si>
  <si>
    <t>0101360</t>
  </si>
  <si>
    <t>0553</t>
  </si>
  <si>
    <t>C0553</t>
  </si>
  <si>
    <t>Integrity Charter</t>
  </si>
  <si>
    <t>37680980101535</t>
  </si>
  <si>
    <t>0101535</t>
  </si>
  <si>
    <t>0556</t>
  </si>
  <si>
    <t>C0556</t>
  </si>
  <si>
    <t>Heritage K-8 Charter</t>
  </si>
  <si>
    <t>37683380108787</t>
  </si>
  <si>
    <t>0108787</t>
  </si>
  <si>
    <t>0622</t>
  </si>
  <si>
    <t>C0622</t>
  </si>
  <si>
    <t>High Tech High Media Arts</t>
  </si>
  <si>
    <t>37683380106732</t>
  </si>
  <si>
    <t>0106732</t>
  </si>
  <si>
    <t>0623</t>
  </si>
  <si>
    <t>C0623</t>
  </si>
  <si>
    <t>High Tech High International</t>
  </si>
  <si>
    <t>37684520106120</t>
  </si>
  <si>
    <t>0106120</t>
  </si>
  <si>
    <t>0627</t>
  </si>
  <si>
    <t>C0627</t>
  </si>
  <si>
    <t>SIATech</t>
  </si>
  <si>
    <t>37683380106799</t>
  </si>
  <si>
    <t>0106799</t>
  </si>
  <si>
    <t>0659</t>
  </si>
  <si>
    <t>C0659</t>
  </si>
  <si>
    <t>Learning Choice Academy</t>
  </si>
  <si>
    <t>37683380107573</t>
  </si>
  <si>
    <t>0107573</t>
  </si>
  <si>
    <t>0660</t>
  </si>
  <si>
    <t>C0660</t>
  </si>
  <si>
    <t>High Tech Middle Media Arts</t>
  </si>
  <si>
    <t>37103710108548</t>
  </si>
  <si>
    <t>0108548</t>
  </si>
  <si>
    <t>0680</t>
  </si>
  <si>
    <t>C0680</t>
  </si>
  <si>
    <t>Iftin Charter</t>
  </si>
  <si>
    <t>37679910108563</t>
  </si>
  <si>
    <t>0108563</t>
  </si>
  <si>
    <t>0683</t>
  </si>
  <si>
    <t>C0683</t>
  </si>
  <si>
    <t>EJE Elementary Academy Charter</t>
  </si>
  <si>
    <t>37683386039812</t>
  </si>
  <si>
    <t>6039812</t>
  </si>
  <si>
    <t>0695</t>
  </si>
  <si>
    <t>C0695</t>
  </si>
  <si>
    <t>Keiller Leadership Academy</t>
  </si>
  <si>
    <t>37683380109157</t>
  </si>
  <si>
    <t>0109157</t>
  </si>
  <si>
    <t>0698</t>
  </si>
  <si>
    <t>C0698</t>
  </si>
  <si>
    <t>Magnolia Science Academy San Diego</t>
  </si>
  <si>
    <t>37683380109033</t>
  </si>
  <si>
    <t>0109033</t>
  </si>
  <si>
    <t>0704</t>
  </si>
  <si>
    <t>C0704</t>
  </si>
  <si>
    <t>King-Chavez Arts Academy</t>
  </si>
  <si>
    <t>37683386040190</t>
  </si>
  <si>
    <t>6040190</t>
  </si>
  <si>
    <t>0705</t>
  </si>
  <si>
    <t>C0705</t>
  </si>
  <si>
    <t>King-Chavez Primary Academy</t>
  </si>
  <si>
    <t>37764710000000</t>
  </si>
  <si>
    <t>76471</t>
  </si>
  <si>
    <t>0756</t>
  </si>
  <si>
    <t>C0756</t>
  </si>
  <si>
    <t>SBC - High Tech High</t>
  </si>
  <si>
    <t>37681060111195</t>
  </si>
  <si>
    <t>0111195</t>
  </si>
  <si>
    <t>0759</t>
  </si>
  <si>
    <t>C0759</t>
  </si>
  <si>
    <t>Classical Academy High</t>
  </si>
  <si>
    <t>37683380111906</t>
  </si>
  <si>
    <t>0111906</t>
  </si>
  <si>
    <t>0772</t>
  </si>
  <si>
    <t>C0772</t>
  </si>
  <si>
    <t>King-Chavez Preparatory Academy</t>
  </si>
  <si>
    <t>37683380111898</t>
  </si>
  <si>
    <t>0111898</t>
  </si>
  <si>
    <t>0773</t>
  </si>
  <si>
    <t>C0773</t>
  </si>
  <si>
    <t>Albert Einstein Academy Charter Middle</t>
  </si>
  <si>
    <t>37683380114462</t>
  </si>
  <si>
    <t>0114462</t>
  </si>
  <si>
    <t>0876</t>
  </si>
  <si>
    <t>C0876</t>
  </si>
  <si>
    <t>Health Sciences High</t>
  </si>
  <si>
    <t>37684520114264</t>
  </si>
  <si>
    <t>0114264</t>
  </si>
  <si>
    <t>0884</t>
  </si>
  <si>
    <t>C0884</t>
  </si>
  <si>
    <t>North County Trade Tech High</t>
  </si>
  <si>
    <t>37681303731262</t>
  </si>
  <si>
    <t>3731262</t>
  </si>
  <si>
    <t>0893</t>
  </si>
  <si>
    <t>C0893</t>
  </si>
  <si>
    <t>Steele Canyon High</t>
  </si>
  <si>
    <t>37683380135913</t>
  </si>
  <si>
    <t>0135913</t>
  </si>
  <si>
    <t>1008</t>
  </si>
  <si>
    <t>C1008</t>
  </si>
  <si>
    <t>Urban Discovery Academy Charter</t>
  </si>
  <si>
    <t>37683380118851</t>
  </si>
  <si>
    <t>0118851</t>
  </si>
  <si>
    <t>1015</t>
  </si>
  <si>
    <t>C1015</t>
  </si>
  <si>
    <t>King-Chavez Community High</t>
  </si>
  <si>
    <t>37683380118083</t>
  </si>
  <si>
    <t>0118083</t>
  </si>
  <si>
    <t>1024</t>
  </si>
  <si>
    <t>C1024</t>
  </si>
  <si>
    <t>Innovations Academy</t>
  </si>
  <si>
    <t>37754166119275</t>
  </si>
  <si>
    <t>6119275</t>
  </si>
  <si>
    <t>1057</t>
  </si>
  <si>
    <t>C1057</t>
  </si>
  <si>
    <t>All Tribes Charter</t>
  </si>
  <si>
    <t>37679910119255</t>
  </si>
  <si>
    <t>0119255</t>
  </si>
  <si>
    <t>1063</t>
  </si>
  <si>
    <t>C1063</t>
  </si>
  <si>
    <t>EJE Middle Academy</t>
  </si>
  <si>
    <t>37683380119610</t>
  </si>
  <si>
    <t>0119610</t>
  </si>
  <si>
    <t>1080</t>
  </si>
  <si>
    <t>C1080</t>
  </si>
  <si>
    <t>Gompers Preparatory Academy</t>
  </si>
  <si>
    <t>37680230119594</t>
  </si>
  <si>
    <t>0119594</t>
  </si>
  <si>
    <t>1082</t>
  </si>
  <si>
    <t>C1082</t>
  </si>
  <si>
    <t>Leonardo da Vinci Health Sciences Charter</t>
  </si>
  <si>
    <t>37683380121681</t>
  </si>
  <si>
    <t>0121681</t>
  </si>
  <si>
    <t>1190</t>
  </si>
  <si>
    <t>C1190</t>
  </si>
  <si>
    <t>SD Global Vision Academy</t>
  </si>
  <si>
    <t>37683380122788</t>
  </si>
  <si>
    <t>0122788</t>
  </si>
  <si>
    <t>1253</t>
  </si>
  <si>
    <t>C1253</t>
  </si>
  <si>
    <t>School for Entrepreneurship and Technology</t>
  </si>
  <si>
    <t>37754160122796</t>
  </si>
  <si>
    <t>0122796</t>
  </si>
  <si>
    <t>1262</t>
  </si>
  <si>
    <t>C1262</t>
  </si>
  <si>
    <t>All Tribes Elementary Charter</t>
  </si>
  <si>
    <t>37682130123224</t>
  </si>
  <si>
    <t>0123224</t>
  </si>
  <si>
    <t>1264</t>
  </si>
  <si>
    <t>C1264</t>
  </si>
  <si>
    <t>San Diego Virtual</t>
  </si>
  <si>
    <t>37683380123778</t>
  </si>
  <si>
    <t>0123778</t>
  </si>
  <si>
    <t>1279</t>
  </si>
  <si>
    <t>C1279</t>
  </si>
  <si>
    <t>Old Town Academy K-8 Charter</t>
  </si>
  <si>
    <t>37683380136663</t>
  </si>
  <si>
    <t>0136663</t>
  </si>
  <si>
    <t>1301</t>
  </si>
  <si>
    <t>C1301</t>
  </si>
  <si>
    <t>America's Finest Charter</t>
  </si>
  <si>
    <t>37683380127647</t>
  </si>
  <si>
    <t>0127647</t>
  </si>
  <si>
    <t>1302</t>
  </si>
  <si>
    <t>C1302</t>
  </si>
  <si>
    <t>e3 Civic High</t>
  </si>
  <si>
    <t>0124321</t>
  </si>
  <si>
    <t>1308</t>
  </si>
  <si>
    <t>C1308</t>
  </si>
  <si>
    <t>Howard Gardner Community Charter</t>
  </si>
  <si>
    <t>37683380124347</t>
  </si>
  <si>
    <t>0124347</t>
  </si>
  <si>
    <t>1312</t>
  </si>
  <si>
    <t>C1312</t>
  </si>
  <si>
    <t>City Heights Preparatory Charter</t>
  </si>
  <si>
    <t>37684520124917</t>
  </si>
  <si>
    <t>0124917</t>
  </si>
  <si>
    <t>1351</t>
  </si>
  <si>
    <t>C1351</t>
  </si>
  <si>
    <t>Guajome Learning Center</t>
  </si>
  <si>
    <t>37684030125401</t>
  </si>
  <si>
    <t>0125401</t>
  </si>
  <si>
    <t>1371</t>
  </si>
  <si>
    <t>C1371</t>
  </si>
  <si>
    <t>Insight @ San Diego</t>
  </si>
  <si>
    <t>37684110126086</t>
  </si>
  <si>
    <t>0126086</t>
  </si>
  <si>
    <t>1407</t>
  </si>
  <si>
    <t>C1407</t>
  </si>
  <si>
    <t>Hawking S.T.E.A.M. Charter</t>
  </si>
  <si>
    <t>37683380126730</t>
  </si>
  <si>
    <t>0126730</t>
  </si>
  <si>
    <t>1447</t>
  </si>
  <si>
    <t>C1447</t>
  </si>
  <si>
    <t>Kavod Charter</t>
  </si>
  <si>
    <t>37682130127084</t>
  </si>
  <si>
    <t>0127084</t>
  </si>
  <si>
    <t>1454</t>
  </si>
  <si>
    <t>C1454</t>
  </si>
  <si>
    <t>Compass Charter Schools of San Diego</t>
  </si>
  <si>
    <t>37680490127118</t>
  </si>
  <si>
    <t>0127118</t>
  </si>
  <si>
    <t>1488</t>
  </si>
  <si>
    <t>C1488</t>
  </si>
  <si>
    <t>The Heights Charter</t>
  </si>
  <si>
    <t>37684520128223</t>
  </si>
  <si>
    <t>0128223</t>
  </si>
  <si>
    <t>1515</t>
  </si>
  <si>
    <t>C1515</t>
  </si>
  <si>
    <t>Bella Mente Montessori Academy</t>
  </si>
  <si>
    <t>37681630128421</t>
  </si>
  <si>
    <t>0128421</t>
  </si>
  <si>
    <t>1589</t>
  </si>
  <si>
    <t>C1589</t>
  </si>
  <si>
    <t>Harbor Springs Charter</t>
  </si>
  <si>
    <t>37680490129221</t>
  </si>
  <si>
    <t>0129221</t>
  </si>
  <si>
    <t>1617</t>
  </si>
  <si>
    <t>C1617</t>
  </si>
  <si>
    <t>MethodSchools</t>
  </si>
  <si>
    <t>37682130129668</t>
  </si>
  <si>
    <t>0129668</t>
  </si>
  <si>
    <t>1628</t>
  </si>
  <si>
    <t>C1628</t>
  </si>
  <si>
    <t>County Collaborative Charter</t>
  </si>
  <si>
    <t>37683380129395</t>
  </si>
  <si>
    <t>0129395</t>
  </si>
  <si>
    <t>1633</t>
  </si>
  <si>
    <t>C1633</t>
  </si>
  <si>
    <t>Elevate Elementary</t>
  </si>
  <si>
    <t>37683380129387</t>
  </si>
  <si>
    <t>0129387</t>
  </si>
  <si>
    <t>1634</t>
  </si>
  <si>
    <t>C1634</t>
  </si>
  <si>
    <t>Empower Charter</t>
  </si>
  <si>
    <t>37683380131565</t>
  </si>
  <si>
    <t>0131565</t>
  </si>
  <si>
    <t>1709</t>
  </si>
  <si>
    <t>C1709</t>
  </si>
  <si>
    <t>High Tech Elementary</t>
  </si>
  <si>
    <t>37683380131979</t>
  </si>
  <si>
    <t>0131979</t>
  </si>
  <si>
    <t>1719</t>
  </si>
  <si>
    <t>C1719</t>
  </si>
  <si>
    <t>Ingenuity Charter</t>
  </si>
  <si>
    <t>37680490132506</t>
  </si>
  <si>
    <t>0132506</t>
  </si>
  <si>
    <t>1748</t>
  </si>
  <si>
    <t>C1748</t>
  </si>
  <si>
    <t>Inspire Charter School - South</t>
  </si>
  <si>
    <t>37754160132472</t>
  </si>
  <si>
    <t>0132472</t>
  </si>
  <si>
    <t>1758</t>
  </si>
  <si>
    <t>C1758</t>
  </si>
  <si>
    <t>California Pacific Charter - San Diego</t>
  </si>
  <si>
    <t>37680980133991</t>
  </si>
  <si>
    <t>0133991</t>
  </si>
  <si>
    <t>1802</t>
  </si>
  <si>
    <t>C1802</t>
  </si>
  <si>
    <t>Epiphany Prep Charter</t>
  </si>
  <si>
    <t>37679830134890</t>
  </si>
  <si>
    <t>0134890</t>
  </si>
  <si>
    <t>1832</t>
  </si>
  <si>
    <t>C1832</t>
  </si>
  <si>
    <t>San Diego Workforce Innovation High</t>
  </si>
  <si>
    <t>37770320134577</t>
  </si>
  <si>
    <t>77032</t>
  </si>
  <si>
    <t>0134577</t>
  </si>
  <si>
    <t>1835</t>
  </si>
  <si>
    <t>C1835</t>
  </si>
  <si>
    <t>Audeo Charter II</t>
  </si>
  <si>
    <t>37103710136085</t>
  </si>
  <si>
    <t>0136085</t>
  </si>
  <si>
    <t>1883</t>
  </si>
  <si>
    <t>C1883</t>
  </si>
  <si>
    <t>Scholarship Prep - Oceanside</t>
  </si>
  <si>
    <t>37770990136077</t>
  </si>
  <si>
    <t>77099</t>
  </si>
  <si>
    <t>0136077</t>
  </si>
  <si>
    <t>1889</t>
  </si>
  <si>
    <t>C1889</t>
  </si>
  <si>
    <t>Grossmont Secondary</t>
  </si>
  <si>
    <t>37680490136416</t>
  </si>
  <si>
    <t>0136416</t>
  </si>
  <si>
    <t>1892</t>
  </si>
  <si>
    <t>C1892</t>
  </si>
  <si>
    <t>Pacific Coast Academy</t>
  </si>
  <si>
    <t>37681970136408</t>
  </si>
  <si>
    <t>0136408</t>
  </si>
  <si>
    <t>1901</t>
  </si>
  <si>
    <t>C1901</t>
  </si>
  <si>
    <t>National University Academy Sparrow</t>
  </si>
  <si>
    <t>37771070136473</t>
  </si>
  <si>
    <t>77107</t>
  </si>
  <si>
    <t>0136473</t>
  </si>
  <si>
    <t>1903</t>
  </si>
  <si>
    <t>C1903</t>
  </si>
  <si>
    <t>Sweetwater Secondary</t>
  </si>
  <si>
    <t>37680490136614</t>
  </si>
  <si>
    <t>0136614</t>
  </si>
  <si>
    <t>1909</t>
  </si>
  <si>
    <t>C1909</t>
  </si>
  <si>
    <t>Diego Hills Central Public Charter</t>
  </si>
  <si>
    <t>37682130136978</t>
  </si>
  <si>
    <t>0136978</t>
  </si>
  <si>
    <t>1924</t>
  </si>
  <si>
    <t>C1924</t>
  </si>
  <si>
    <t>Elite Academic Academy - Mountain Empire</t>
  </si>
  <si>
    <t>37681630137109</t>
  </si>
  <si>
    <t>0137109</t>
  </si>
  <si>
    <t>1934</t>
  </si>
  <si>
    <t>C1934</t>
  </si>
  <si>
    <t>Diego Valley East Public Charter</t>
  </si>
  <si>
    <t>37681060137034</t>
  </si>
  <si>
    <t>0137034</t>
  </si>
  <si>
    <t>1935</t>
  </si>
  <si>
    <t>C1935</t>
  </si>
  <si>
    <t>Audeo Charter School III</t>
  </si>
  <si>
    <t>37103710137752</t>
  </si>
  <si>
    <t>0137752</t>
  </si>
  <si>
    <t>1946</t>
  </si>
  <si>
    <t>C1946</t>
  </si>
  <si>
    <t>Dimensions Collaborative</t>
  </si>
  <si>
    <t>37103710137695</t>
  </si>
  <si>
    <t>0137695</t>
  </si>
  <si>
    <t>1947</t>
  </si>
  <si>
    <t>C1947</t>
  </si>
  <si>
    <t>Community Montessori</t>
  </si>
  <si>
    <t>37771720138099</t>
  </si>
  <si>
    <t>77172</t>
  </si>
  <si>
    <t>0138099</t>
  </si>
  <si>
    <t>1966</t>
  </si>
  <si>
    <t>C1966</t>
  </si>
  <si>
    <t>Baypoint Preparatory Academy - San Diego</t>
  </si>
  <si>
    <t>37771640137356</t>
  </si>
  <si>
    <t>77164</t>
  </si>
  <si>
    <t>0137356</t>
  </si>
  <si>
    <t>1967</t>
  </si>
  <si>
    <t>C1967</t>
  </si>
  <si>
    <t>College Preparatory Middle - La Mesa Spring Valley</t>
  </si>
  <si>
    <t>37771560137323</t>
  </si>
  <si>
    <t>77156</t>
  </si>
  <si>
    <t>0137323</t>
  </si>
  <si>
    <t>1968</t>
  </si>
  <si>
    <t>C1968</t>
  </si>
  <si>
    <t>Vista Springs Charter</t>
  </si>
  <si>
    <t>37683380137802</t>
  </si>
  <si>
    <t>0137802</t>
  </si>
  <si>
    <t>1981</t>
  </si>
  <si>
    <t>C1981</t>
  </si>
  <si>
    <t>National University Academy 1001 STEAM</t>
  </si>
  <si>
    <t>37737910138222</t>
  </si>
  <si>
    <t>0138222</t>
  </si>
  <si>
    <t>1983</t>
  </si>
  <si>
    <t>C1983</t>
  </si>
  <si>
    <t>Pivot Charter School - San Diego II</t>
  </si>
  <si>
    <t>37103710138016</t>
  </si>
  <si>
    <t>0138016</t>
  </si>
  <si>
    <t>1989</t>
  </si>
  <si>
    <t>C1989</t>
  </si>
  <si>
    <t>Pacific Springs Charter</t>
  </si>
  <si>
    <t>37681630138156</t>
  </si>
  <si>
    <t>0138156</t>
  </si>
  <si>
    <t>1992</t>
  </si>
  <si>
    <t>C1992</t>
  </si>
  <si>
    <t>JCS - Mountain Oaks</t>
  </si>
  <si>
    <t>37680230138073</t>
  </si>
  <si>
    <t>0138073</t>
  </si>
  <si>
    <t>2001</t>
  </si>
  <si>
    <t>C2001</t>
  </si>
  <si>
    <t>Learning Choice Academy - Chula Vista</t>
  </si>
  <si>
    <t>37103710138404</t>
  </si>
  <si>
    <t>0138404</t>
  </si>
  <si>
    <t>2016</t>
  </si>
  <si>
    <t>C2016</t>
  </si>
  <si>
    <t>Classical Academy Vista</t>
  </si>
  <si>
    <t>37754160138651</t>
  </si>
  <si>
    <t>0138651</t>
  </si>
  <si>
    <t>2020</t>
  </si>
  <si>
    <t>C2020</t>
  </si>
  <si>
    <t>San Diego Mission Academy</t>
  </si>
  <si>
    <t>37682130138636</t>
  </si>
  <si>
    <t>0138636</t>
  </si>
  <si>
    <t>2021</t>
  </si>
  <si>
    <t>C2021</t>
  </si>
  <si>
    <t>JCS - Pine Valley</t>
  </si>
  <si>
    <t>37681630138628</t>
  </si>
  <si>
    <t>0138628</t>
  </si>
  <si>
    <t>2022</t>
  </si>
  <si>
    <t>C2022</t>
  </si>
  <si>
    <t>JCS - Cedar Cove</t>
  </si>
  <si>
    <t>37103710138594</t>
  </si>
  <si>
    <t>0138594</t>
  </si>
  <si>
    <t>2023</t>
  </si>
  <si>
    <t>C2023</t>
  </si>
  <si>
    <t>National University Academy Dual Language Institute</t>
  </si>
  <si>
    <t>37103710138792</t>
  </si>
  <si>
    <t>0138792</t>
  </si>
  <si>
    <t>2024</t>
  </si>
  <si>
    <t>C2024</t>
  </si>
  <si>
    <t>JCS - Manzanita</t>
  </si>
  <si>
    <t>37681300139063</t>
  </si>
  <si>
    <t>0139063</t>
  </si>
  <si>
    <t>2039</t>
  </si>
  <si>
    <t>C2039</t>
  </si>
  <si>
    <t>The Learning Choice Academy - East County</t>
  </si>
  <si>
    <t>37754160139378</t>
  </si>
  <si>
    <t>0139378</t>
  </si>
  <si>
    <t>2051</t>
  </si>
  <si>
    <t>C2051</t>
  </si>
  <si>
    <t>Sage Oak Charter - South</t>
  </si>
  <si>
    <t>37754160139451</t>
  </si>
  <si>
    <t>0139451</t>
  </si>
  <si>
    <t>2052</t>
  </si>
  <si>
    <t>C2052</t>
  </si>
  <si>
    <t>Pathways Academy Charter - Adult Education</t>
  </si>
  <si>
    <t>37754160139386</t>
  </si>
  <si>
    <t>0139386</t>
  </si>
  <si>
    <t>2053</t>
  </si>
  <si>
    <t>C2053</t>
  </si>
  <si>
    <t>37679910139394</t>
  </si>
  <si>
    <t>0139394</t>
  </si>
  <si>
    <t>2054</t>
  </si>
  <si>
    <t>C2054</t>
  </si>
  <si>
    <t>Kidinnu Academy</t>
  </si>
  <si>
    <t>37681630139402</t>
  </si>
  <si>
    <t>0139402</t>
  </si>
  <si>
    <t>2055</t>
  </si>
  <si>
    <t>C2055</t>
  </si>
  <si>
    <t>Brookfield Engineering Science Technology Academy</t>
  </si>
  <si>
    <t>Totals</t>
  </si>
  <si>
    <t>California Department of Education</t>
  </si>
  <si>
    <t>School Fiscal Services Division</t>
  </si>
  <si>
    <t>July 2021</t>
  </si>
  <si>
    <t>Yes</t>
  </si>
  <si>
    <t>No</t>
  </si>
  <si>
    <t>The U.S. Department of Education (ED) has made $10,045,923,031 of ESSER III funding available to California for allocation to LEAs as of June 2021.</t>
  </si>
  <si>
    <r>
      <t>20% of Funding to Address Learning Loss</t>
    </r>
    <r>
      <rPr>
        <b/>
        <vertAlign val="superscript"/>
        <sz val="12"/>
        <color rgb="FFFFFFFF"/>
        <rFont val="Arial"/>
        <family val="2"/>
      </rPr>
      <t>1</t>
    </r>
    <r>
      <rPr>
        <b/>
        <sz val="12"/>
        <color rgb="FFFFFFFF"/>
        <rFont val="Arial"/>
        <family val="2"/>
      </rPr>
      <t xml:space="preserve">
Resource 3214
(Current Authority)</t>
    </r>
  </si>
  <si>
    <r>
      <t>20% of Funding to Address Learning Loss</t>
    </r>
    <r>
      <rPr>
        <b/>
        <vertAlign val="superscript"/>
        <sz val="12"/>
        <color rgb="FFFFFFFF"/>
        <rFont val="Arial"/>
        <family val="2"/>
      </rPr>
      <t>1</t>
    </r>
    <r>
      <rPr>
        <b/>
        <sz val="12"/>
        <color rgb="FFFFFFFF"/>
        <rFont val="Arial"/>
        <family val="2"/>
      </rPr>
      <t xml:space="preserve">
Resource 3214
(Future Authority)</t>
    </r>
  </si>
  <si>
    <t>Balance
Remaining</t>
  </si>
  <si>
    <r>
      <rPr>
        <vertAlign val="superscript"/>
        <sz val="16"/>
        <color rgb="FF000000"/>
        <rFont val="Arial"/>
        <family val="2"/>
      </rPr>
      <t xml:space="preserve">1 </t>
    </r>
    <r>
      <rPr>
        <sz val="12"/>
        <color rgb="FF000000"/>
        <rFont val="Arial"/>
        <family val="2"/>
      </rPr>
      <t>: An LEA must reserve not less than 20 percent of its total ESSER III allocation to address learning loss through the implementation of evidence-based interventions and ensure that such interventions respond to students’ academic, social, and emotional needs.</t>
    </r>
  </si>
  <si>
    <t>37103710124321</t>
  </si>
  <si>
    <t>August 2021</t>
  </si>
  <si>
    <t>Prepared by:</t>
  </si>
  <si>
    <t>School District</t>
  </si>
  <si>
    <t>Charter School</t>
  </si>
  <si>
    <t>L</t>
  </si>
  <si>
    <t>D</t>
  </si>
  <si>
    <t>COE</t>
  </si>
  <si>
    <t>College Preparatory Middle</t>
  </si>
  <si>
    <t>Grossmont Secondary School</t>
  </si>
  <si>
    <t>Vivian Banks Charter</t>
  </si>
  <si>
    <t>0104</t>
  </si>
  <si>
    <t>6113468</t>
  </si>
  <si>
    <t>High Tech Elementary Mesa</t>
  </si>
  <si>
    <t>0138776</t>
  </si>
  <si>
    <t>High Tech Middle Mesa</t>
  </si>
  <si>
    <t>0138768</t>
  </si>
  <si>
    <t>High Tech High Mesa</t>
  </si>
  <si>
    <t>0137067</t>
  </si>
  <si>
    <t>High Tech Elementary North County</t>
  </si>
  <si>
    <t>0127605</t>
  </si>
  <si>
    <t>High Tech Elementary Chula Vista</t>
  </si>
  <si>
    <t>0123059</t>
  </si>
  <si>
    <t>High Tech Middle Chula Vista</t>
  </si>
  <si>
    <t>0123042</t>
  </si>
  <si>
    <t>High Tech Middle North County</t>
  </si>
  <si>
    <t>0119271</t>
  </si>
  <si>
    <t>High Tech High North County</t>
  </si>
  <si>
    <t>0114694</t>
  </si>
  <si>
    <t>High Tech High Chula Vista</t>
  </si>
  <si>
    <t>0114678</t>
  </si>
  <si>
    <t>California Pacific Charter Schools - San Diego</t>
  </si>
  <si>
    <t>Coastal Academy</t>
  </si>
  <si>
    <t>Nestor Language Academy Charter</t>
  </si>
  <si>
    <t>1252</t>
  </si>
  <si>
    <t>6040513</t>
  </si>
  <si>
    <t>Imperial Beach Charter</t>
  </si>
  <si>
    <t>1418</t>
  </si>
  <si>
    <t>6040505</t>
  </si>
  <si>
    <t>Ingenuity Charter School</t>
  </si>
  <si>
    <t>Elevate Charter</t>
  </si>
  <si>
    <t>E3 Civic High</t>
  </si>
  <si>
    <t>Health Sciences High and Middle College</t>
  </si>
  <si>
    <t>King-Chavez Arts and Athletics Academy</t>
  </si>
  <si>
    <t>Motivated Youth Academy</t>
  </si>
  <si>
    <t>Sparrow Academy</t>
  </si>
  <si>
    <t>Diego Valley East Public Charter School</t>
  </si>
  <si>
    <t>Cabrillo Point Academy</t>
  </si>
  <si>
    <t>Scholarship Prep Charter School - Oceanside</t>
  </si>
  <si>
    <t>San Diego Co. Office of Education</t>
  </si>
  <si>
    <t>Balance Due
(A.3 - B.1)
B.2</t>
  </si>
  <si>
    <t>Paid to Date
B.1</t>
  </si>
  <si>
    <t>IPI Grant Allocation
(A.1 x 3.8378610585% x (100% - A.2)
A.3</t>
  </si>
  <si>
    <t>IPI Compliance Reduction Factor 
[EC 43521(c)(2)(B)(i) &amp; (ii)]
A.2</t>
  </si>
  <si>
    <t>Total LCFF Entitlement
(If Nonclassroom-Based = Yes, equals 0)
A.1</t>
  </si>
  <si>
    <t>Charter Schools: 
Nonclassroom-Based Charter School Indicator
 (Yes/No)</t>
  </si>
  <si>
    <t>Entity Type</t>
  </si>
  <si>
    <t>Entity Name</t>
  </si>
  <si>
    <t>Fund Type</t>
  </si>
  <si>
    <t>Charter Number</t>
  </si>
  <si>
    <t>School Code</t>
  </si>
  <si>
    <t>District Code</t>
  </si>
  <si>
    <t>County Code</t>
  </si>
  <si>
    <t>Legend: COE = County Office of Education; EC = Education Code; IPI = In-Person Instruction; LCFF = Local Control Funding Formula</t>
  </si>
  <si>
    <t>An LEA’s in-person instruction apportionment, and retention of funding, is contingent on meeting the criteria for continuous in-person instruction pursuant to Section 2 of AB 86.</t>
  </si>
  <si>
    <t xml:space="preserve">IPI funding reductions were calculated pursuant to EC 43521(f)(1)(B) based on the start date of in-person instruction as certified by each local educational agency. </t>
  </si>
  <si>
    <t>IPI Grants are based on a proportionate share of each LEA's LCFF entitlement, nonclassroom-based charter schools do not generate funding under this formula [EC 43521(c)].</t>
  </si>
  <si>
    <t>The revised allocation is based upon data from the 2020–21 Second Principal Apportionment.</t>
  </si>
  <si>
    <t>Section 2 of Assembly Bill (AB) 86 (Chapter 10, Statutes of 2021), as amended by Section 34 of AB 130 (Chapter 44, Statutes of 2021), provides funding for the In-Person Instruction (IPI) Grant.</t>
  </si>
  <si>
    <t>Fiscal Year 2020–21</t>
  </si>
  <si>
    <t xml:space="preserve">Schedule of Revised Allocations for the In-Person Instruction Grant </t>
  </si>
  <si>
    <t>TOTAL Allocation
General Fund, ESSER II, 
GEER II, ESSER III
ESSER III-State Reserve
(D.1 x 100%)
(E.1 + E.2 + E.3 + E.4 + E.5)
E.6</t>
  </si>
  <si>
    <t>Allocation by Fund
ESSER III State Reserve
EC 43521(a)(4)
(D.1 x 16.5321650%)
Res.Code 3219
E.5</t>
  </si>
  <si>
    <t>Allocation by Fund
ESSER III
EC 43521(a)(3)
(D.1 x 9.5901807%)
Res.Code 3218
E.4</t>
  </si>
  <si>
    <t>Allocation by Fund
GEER II
EC 43521(a)(2)
(D.1 x 3.3783416%)
Res.Code 3217
E.3</t>
  </si>
  <si>
    <t>Allocation by Fund
ESSER II
EC 43521(a)(1)
(D.1 x 14.7223566%)
Res.Code 3216
E.2</t>
  </si>
  <si>
    <t>Allocation by Fund
General Fund
(D.1 x 55.7769571%)
Res.Code 7425
Res. Code 7426
E.1</t>
  </si>
  <si>
    <t>ELO Allocation
 Restricted to 
Paraprofessionals 
per EC 43522(c)
Res.Code 7426
(C.2 x 10%)
D.2</t>
  </si>
  <si>
    <t>Total ELO 
Allocation per 
EC 43521(b)(3)
(A.2 + B.3 + C.2)
D.1</t>
  </si>
  <si>
    <t xml:space="preserve">ELO Proportionate 
Share per 
EC 43521(b)(3)
(C.1 x 6.9425743358%)
C.2 </t>
  </si>
  <si>
    <t>Total LCFF 
Entitlement 
for ELO 
C.1</t>
  </si>
  <si>
    <t>ELO Allocation for 
State Special Schools 
per EC 43521(b)(2)
(B.2 x $725)
B.3</t>
  </si>
  <si>
    <t>State Special 
Schools ADA
(B.1 x 97%)
B.2</t>
  </si>
  <si>
    <t>State Special
Schools Enrollment
 as of the 2020–21 
Fall 1 Census
B.1</t>
  </si>
  <si>
    <t>ELO Allocation
 for Homeless Pupils
per EC 43521(b)(1)
(A.1 x $1,000)
A.2</t>
  </si>
  <si>
    <t>Homeless Pupil 
Enrollment as of 
the 2020–21 
Fall 1 Census 
A.1</t>
  </si>
  <si>
    <t>Service
Location</t>
  </si>
  <si>
    <t>Fund
Type</t>
  </si>
  <si>
    <t>Charter
Number</t>
  </si>
  <si>
    <t>Legend: AB = Assembly Bill; ADA = Average Daily Attendance; COE = County Office of Education; EC = Education Code; ELO = Expanded Learning Opportunities; LCFF = Local Control Funding Formula; LEA = Local Educational Agency; Res. Code = Standardized Account Code Structure (SACS) Resource Code</t>
  </si>
  <si>
    <t>Calculations are displayed for all local educational agencies, however, for apportionment and reporting purposes, a locally funded charter school's allocation is included with the authorizing agency and SBC Charter records are displayed at the district level.</t>
  </si>
  <si>
    <r>
      <rPr>
        <sz val="12"/>
        <color rgb="FF000000"/>
        <rFont val="Arial"/>
        <family val="2"/>
      </rPr>
      <t>ELO Grants are based on three calculations:  Homeless Pupil Enrollment x $1,000, State Special Schools ADA x $725, and remaining funds based on proportionate share of each LEA's LCFF Entitlement [</t>
    </r>
    <r>
      <rPr>
        <i/>
        <sz val="12"/>
        <color rgb="FF000000"/>
        <rFont val="Arial"/>
        <family val="2"/>
      </rPr>
      <t>EC</t>
    </r>
    <r>
      <rPr>
        <sz val="12"/>
        <color rgb="FF000000"/>
        <rFont val="Arial"/>
        <family val="2"/>
      </rPr>
      <t xml:space="preserve"> 43521(b)]. </t>
    </r>
  </si>
  <si>
    <t>The revised allocation is based upon data from the 2020–21 Second Principal Apportionment and 2020-21 final California Longitudinal Pupil Achievement Data System (CALPADS) Fall 1 data.</t>
  </si>
  <si>
    <t xml:space="preserve">Section 2 of AB 86 (Chapter 10, Statutes of 2021), provided funding for the Expanded Learning Opportunities (ELO) Grant, amendments in Section 34 of AB 130 (Chapter 44, Statutes of 2021), included a shift of $2.015 billion from General Fund to federal stimulus funds. This revised allocation provides each LEA's allocation by fund source.  </t>
  </si>
  <si>
    <t>Schedule of Revised Allocations for the AB 86 Expanded Learning Opportunties Grant - Calculation by Fund</t>
  </si>
  <si>
    <t>May 2021</t>
  </si>
  <si>
    <t>School of Universal Learning (SOUL)</t>
  </si>
  <si>
    <t>C1872</t>
  </si>
  <si>
    <t>1872</t>
  </si>
  <si>
    <t>0136192</t>
  </si>
  <si>
    <t>37103710136192</t>
  </si>
  <si>
    <t>Health Sciences Middle</t>
  </si>
  <si>
    <t>C1517</t>
  </si>
  <si>
    <t>1517</t>
  </si>
  <si>
    <t>0128066</t>
  </si>
  <si>
    <t>37683380128066</t>
  </si>
  <si>
    <t>37680230124321</t>
  </si>
  <si>
    <t>King-Chavez Athletics Academy</t>
  </si>
  <si>
    <t>C0706</t>
  </si>
  <si>
    <t>0706</t>
  </si>
  <si>
    <t>0109041</t>
  </si>
  <si>
    <t>37683380109041</t>
  </si>
  <si>
    <t>4th
Apportionment</t>
  </si>
  <si>
    <t>3rd
Apportionment</t>
  </si>
  <si>
    <t>2nd
Apportionment</t>
  </si>
  <si>
    <t>1st
Apportionment</t>
  </si>
  <si>
    <t>Final
Allocation</t>
  </si>
  <si>
    <t>ESSER I
Application</t>
  </si>
  <si>
    <t>LCAP Federal Addendum for Title I</t>
  </si>
  <si>
    <t>Service Location Field</t>
  </si>
  <si>
    <t>County Name</t>
  </si>
  <si>
    <t xml:space="preserve"> </t>
  </si>
  <si>
    <t xml:space="preserve">The fourth apportionment is based on ESSER I Expenditure Reports of April 7, 2021. </t>
  </si>
  <si>
    <t xml:space="preserve">Final allocation amounts are posted for local educational agencies (LEAs) with ESSER I Legal Assurances submitted as of April 7, 2021, a certified Title I Consolidated Application and Reporting System (CARS) Application for Funding and a submitted  Title I LCAP Federal Addendum as of April 16, 2021. </t>
  </si>
  <si>
    <t>2020-21 Fiscal Year</t>
  </si>
  <si>
    <t>CARES Act, Elementary and Secondary School Emergency Relief Fund (ESSER I) Section 18003</t>
  </si>
  <si>
    <t>March 30, 2020</t>
  </si>
  <si>
    <t xml:space="preserve">School Fiscal Services Division </t>
  </si>
  <si>
    <t xml:space="preserve">Prepared by: </t>
  </si>
  <si>
    <t>Unified</t>
  </si>
  <si>
    <t xml:space="preserve">San Diego </t>
  </si>
  <si>
    <t>Elementary</t>
  </si>
  <si>
    <t>College Preparatory Middle School La Mesa Spring Valley</t>
  </si>
  <si>
    <t xml:space="preserve">Statewide Benefit Charter </t>
  </si>
  <si>
    <t>High</t>
  </si>
  <si>
    <t>County Office</t>
  </si>
  <si>
    <t>SB 117 Allocation (greater of  $17.3779235 x E.2, or $250)</t>
  </si>
  <si>
    <t>ADA to Include State Special School ADA Equivalent
E.2</t>
  </si>
  <si>
    <t>2019-20 Fall 1 CALPADS Enrollment for State Special Schools
E.1</t>
  </si>
  <si>
    <t xml:space="preserve">Total Funded ADA less Charter School Nonclassroom Based ADA
D.3 </t>
  </si>
  <si>
    <t>Charter School Nonclassroom Based ADA 
D.2</t>
  </si>
  <si>
    <t>Total Funded ADA (A.5 + B.3 + C.5)
D.1</t>
  </si>
  <si>
    <t>Total Charter School Funded ADA 
(Sum C.1:C.4)
C.5</t>
  </si>
  <si>
    <t>All Charter District
C.4</t>
  </si>
  <si>
    <t>Attendance COE Charter
C.3</t>
  </si>
  <si>
    <t>Attendance Charter Funded County Program
C.2</t>
  </si>
  <si>
    <t>Attendance Charter School
C.1</t>
  </si>
  <si>
    <t>Total COE ADA
(B.1 + B.2) 
B.3</t>
  </si>
  <si>
    <t>Attendance DFCP
B.2</t>
  </si>
  <si>
    <t>Attendance COE
B.1</t>
  </si>
  <si>
    <t xml:space="preserve">Total School District ADA
(Sum A.1:A.4)
A.5 </t>
  </si>
  <si>
    <t xml:space="preserve">
School District Basic Aid COVPT
A.4</t>
  </si>
  <si>
    <t xml:space="preserve">
School District Basic Aid Choice
A.3</t>
  </si>
  <si>
    <t xml:space="preserve">
School District NSS Funded ADA
A.2</t>
  </si>
  <si>
    <t xml:space="preserve">
School District Funded ADA
A.1</t>
  </si>
  <si>
    <t>District Type</t>
  </si>
  <si>
    <t>Charter Fund Type</t>
  </si>
  <si>
    <t>County</t>
  </si>
  <si>
    <t>Legend: ADA = Average Daily Attendance Funded as of the 2019-20 First Principal Apportionment; CALPADS = California Longitudinal Pupil Achievement Data System; COE = County Office of Education; COVPT = Court-Ordered Voluntary Pupil Transfer; DFCP=District Funded County Program; NSS = Necessary Small School</t>
  </si>
  <si>
    <t>https://www.cde.ca.gov/ls/he/hn/coronavirus.asp</t>
  </si>
  <si>
    <t>Fiscal Year 2019–20</t>
  </si>
  <si>
    <t>Schedule of Allocations for the SB 117 COVID-19 LEA Response Funds</t>
  </si>
  <si>
    <t>Sage Oak Charter School - South</t>
  </si>
  <si>
    <t>Dual Language Immersion North County</t>
  </si>
  <si>
    <t>Suncoast STEAM Academy</t>
  </si>
  <si>
    <t>Empower Language Academy</t>
  </si>
  <si>
    <t>Elevate</t>
  </si>
  <si>
    <t>San Diego Global Vision Academy</t>
  </si>
  <si>
    <t>2nd Apportionment</t>
  </si>
  <si>
    <t>Revised
Allocation
Amount</t>
  </si>
  <si>
    <t>ESSER II 
Legal 
Assurances</t>
  </si>
  <si>
    <t>Revised 
Eligibility
Amount</t>
  </si>
  <si>
    <t xml:space="preserve">The second apportionment is based on July 2021 expenditure reports.  </t>
  </si>
  <si>
    <t>LEAs must complete the ESSER II Legal Assurances to receive payment.</t>
  </si>
  <si>
    <t>LEAs with $0 revised ESSER II eligibility in Column I did not meet one or more of the requirements listed above in row 4.</t>
  </si>
  <si>
    <t>To receive a revised eligibility amount for ESSER II, the LEA must have received a 2020-21 Title I allocation by having submitted the 2020-21 CARS Application for Funding and the LCAP Federal Addendum no later than April 16, 2021</t>
  </si>
  <si>
    <t xml:space="preserve">Fiscal Year 2020-21 
</t>
  </si>
  <si>
    <t>Elementary and Secondary School Relief (ESSER II) Fund</t>
  </si>
  <si>
    <t xml:space="preserve">Schedule of the Revised Allocation for Coronavirus Response and Relief Supplemental Appropriations Act, 2021 (CRRSA Act)
</t>
  </si>
  <si>
    <t>September 2020</t>
  </si>
  <si>
    <t>Total Allocation
Sec. 110(a)-GEER
Sec. 110(a)-CRF
Sec. 110(b)-CRF
Sec. 110(c)-GF
Sec. 110(c)-CRF</t>
  </si>
  <si>
    <t>Allocation
by Fund
GF
Res. Code 7420</t>
  </si>
  <si>
    <t>Allocation
by Fund
CR Fund
Res. Code 3220</t>
  </si>
  <si>
    <t>Allocation
 by Fund
GEER Fund
Res. Code 3215</t>
  </si>
  <si>
    <t>Allocation for 
Sec. 110(c)
Paid from 
CR Fund
Res. Code 3220</t>
  </si>
  <si>
    <t>Allocation for 
Sec. 110(c)
Paid from GF
Res. Code 7420</t>
  </si>
  <si>
    <t>LEA Proportion of Statewide LCFF Entitlement</t>
  </si>
  <si>
    <t>LEA
LCFF  Entitlement 
as of 2019-20 P-2</t>
  </si>
  <si>
    <t>Allocation for 
Sec. 110(b)
Paid from 
CR Fund
Res. Code 3220</t>
  </si>
  <si>
    <t>LEA Proportion of 
Statewide 
Supplemental and Concentration 
Grant Funding</t>
  </si>
  <si>
    <t>LEA Supplemental
 and Concentration 
Grant Funding 
as of 2019-20 P-2</t>
  </si>
  <si>
    <t>Allocation for 
Sec. 110(a)
Paid from 
CR Fund
Res. Code 3220</t>
  </si>
  <si>
    <t>Allocation for 
Sec. 110(a)
Paid from 
GEER Fund
Res. Code 3215</t>
  </si>
  <si>
    <t>Special Education Pupil Count as of the 2019-20 Fall 1 Census</t>
  </si>
  <si>
    <t>Nonclassroom-Based
Charter School
Yes/No</t>
  </si>
  <si>
    <t>Local Educational Agency Name</t>
  </si>
  <si>
    <t>Service Location</t>
  </si>
  <si>
    <t>Charter
School
Fund 
Type</t>
  </si>
  <si>
    <t>Legend: LCFF = Local Control Funding Formula; LEA = Local Educational Agency; P-2 = 2019-20 Second Principal Apportionment; Res. Code = Standardized Account Code Structure Resource Code</t>
  </si>
  <si>
    <t>Funds are allocated based on three formulas established in SB 98:  Sec. 110(a) is based on Special Education Pupil Count multiplied by $460.01 for GEER Fund and by $1482.46 for CR Fund; (2) Sec. 110(b) is based on LEA proportion of statewide Supplemental and Concentration Grant funding; (3) Sec. 110(c) is based on LEA proportion of statewide LCFF entitlement</t>
  </si>
  <si>
    <t>Pursuant to Sec. 110 of Senate Bill (SB) 98, allocations are paid from federal and state resources including Federal CARES Act: Coronavirus Relief (CR) Fund, Section 5001 and Governor's Emergency Education Relief (GEER) Fund, Section 18002; and State General Fund (GF)</t>
  </si>
  <si>
    <t>Fiscal Year 2020-21</t>
  </si>
  <si>
    <t xml:space="preserve">Schedule of Allocations for Learning Loss Mitigation, Section 110 of Senate Bill 98 (Chapter 24, Statutes of 2020) </t>
  </si>
  <si>
    <t>San Diego County LEA's</t>
  </si>
  <si>
    <t>County Office of Education and School Districts</t>
  </si>
  <si>
    <t>Summary - COVID funding assistance</t>
  </si>
  <si>
    <t>as of September 9, 2021</t>
  </si>
  <si>
    <t>ESSER I
(Federal CARES Act)</t>
  </si>
  <si>
    <t>ESSER II
(Federal CRRSA Act)</t>
  </si>
  <si>
    <t>ESSER III
(Federal ARP Act)</t>
  </si>
  <si>
    <t>COE &amp; District Total</t>
  </si>
  <si>
    <t>SB 117 COVID-19 LEA Response Funds (State)</t>
  </si>
  <si>
    <t>Learning Loss Mitigation Funds
(State &amp; Federal)</t>
  </si>
  <si>
    <t>In Person Instruction Grant (State)</t>
  </si>
  <si>
    <t>Expanded Learning Opportunities Grant 
(State &amp; Federal)</t>
  </si>
  <si>
    <t>Business Services Division</t>
  </si>
  <si>
    <t>Total COVID funding assistance (State &amp; Federal)</t>
  </si>
  <si>
    <t>Countywide Total</t>
  </si>
  <si>
    <t>Countywide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</si>
</sst>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5" formatCode="&quot;$&quot;#,##0_);\(&quot;$&quot;#,##0\)"/>
    <numFmt numFmtId="6" formatCode="&quot;$&quot;#,##0_);[Red]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_(&quot;$&quot;* #,##0_);_(&quot;$&quot;* \(#,##0\);_(&quot;$&quot;* &quot;-&quot;??_);_(@_)"/>
    <numFmt numFmtId="167" formatCode="0000"/>
    <numFmt numFmtId="168" formatCode="00"/>
    <numFmt numFmtId="169" formatCode="0.00000000000%"/>
    <numFmt numFmtId="170" formatCode="0.0000000000%"/>
    <numFmt numFmtId="171" formatCode="_(&quot;$&quot;* #,##0.0000_);_(&quot;$&quot;* \(#,##0.0000\);_(&quot;$&quot;* &quot;-&quot;??_);_(@_)"/>
    <numFmt numFmtId="172" formatCode="_(&quot;$&quot;* #,##0.0000000000_);_(&quot;$&quot;* \(#,##0.0000000000\);_(&quot;$&quot;* &quot;-&quot;??_);_(@_)"/>
    <numFmt numFmtId="173" formatCode="_(&quot;$&quot;* #,##0.000000000_);_(&quot;$&quot;* \(#,##0.000000000\);_(&quot;$&quot;* &quot;-&quot;??_);_(@_)"/>
    <numFmt numFmtId="174" formatCode="_(&quot;$&quot;* #,##0.0000000000000000_);_(&quot;$&quot;* \(#,##0.0000000000000000\);_(&quot;$&quot;* &quot;-&quot;??_);_(@_)"/>
  </numFmts>
  <fonts count="27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5"/>
      <name val="Arial"/>
      <family val="2"/>
    </font>
    <font>
      <sz val="12"/>
      <color theme="1"/>
      <name val="Arial"/>
      <family val="2"/>
    </font>
    <font>
      <b/>
      <sz val="13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FFFFFF"/>
      <name val="Arial"/>
      <family val="2"/>
    </font>
    <font>
      <b/>
      <sz val="12"/>
      <color theme="1"/>
      <name val="Arial"/>
      <family val="2"/>
    </font>
    <font>
      <b/>
      <vertAlign val="superscript"/>
      <sz val="12"/>
      <color rgb="FFFFFFFF"/>
      <name val="Arial"/>
      <family val="2"/>
    </font>
    <font>
      <vertAlign val="superscript"/>
      <sz val="16"/>
      <color rgb="FF000000"/>
      <name val="Arial"/>
      <family val="2"/>
    </font>
    <font>
      <b/>
      <sz val="12"/>
      <color theme="0"/>
      <name val="Arial"/>
      <family val="2"/>
    </font>
    <font>
      <i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sz val="14"/>
      <name val="Arial"/>
      <family val="2"/>
    </font>
    <font>
      <i/>
      <sz val="12"/>
      <color rgb="FF000000"/>
      <name val="Arial"/>
      <family val="2"/>
    </font>
    <font>
      <sz val="10"/>
      <name val="Arial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  <scheme val="minor"/>
    </font>
    <font>
      <b/>
      <sz val="16"/>
      <name val="Arial"/>
      <family val="2"/>
    </font>
    <font>
      <sz val="12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8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00800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/>
      <top style="thin">
        <color rgb="FFC0C0C0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0">
    <xf numFmtId="0" fontId="0" fillId="0" borderId="0"/>
    <xf numFmtId="0" fontId="2" fillId="0" borderId="0" applyNumberFormat="0" applyFill="0" applyAlignment="0" applyProtection="0"/>
    <xf numFmtId="0" fontId="2" fillId="0" borderId="0" applyNumberFormat="0" applyFill="0" applyAlignment="0" applyProtection="0"/>
    <xf numFmtId="0" fontId="2" fillId="0" borderId="0" applyNumberFormat="0" applyFill="0" applyAlignment="0" applyProtection="0"/>
    <xf numFmtId="0" fontId="2" fillId="0" borderId="0" applyNumberFormat="0" applyFill="0" applyAlignment="0" applyProtection="0"/>
    <xf numFmtId="0" fontId="9" fillId="0" borderId="7" applyNumberFormat="0" applyFill="0" applyAlignment="0" applyProtection="0"/>
    <xf numFmtId="0" fontId="4" fillId="0" borderId="0"/>
    <xf numFmtId="0" fontId="9" fillId="0" borderId="0" applyNumberFormat="0" applyFill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5" borderId="5" applyNumberFormat="0" applyProtection="0">
      <alignment horizontal="center" wrapText="1"/>
    </xf>
    <xf numFmtId="0" fontId="19" fillId="0" borderId="0"/>
    <xf numFmtId="0" fontId="19" fillId="0" borderId="0"/>
    <xf numFmtId="0" fontId="17" fillId="0" borderId="15" applyNumberFormat="0" applyFill="0" applyAlignment="0" applyProtection="0"/>
    <xf numFmtId="0" fontId="4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312">
    <xf numFmtId="0" fontId="0" fillId="0" borderId="0" xfId="0"/>
    <xf numFmtId="0" fontId="3" fillId="0" borderId="0" xfId="1" applyFont="1" applyFill="1" applyBorder="1"/>
    <xf numFmtId="0" fontId="4" fillId="0" borderId="0" xfId="0" applyFont="1" applyFill="1" applyBorder="1"/>
    <xf numFmtId="0" fontId="5" fillId="0" borderId="0" xfId="2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0" fontId="8" fillId="2" borderId="1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wrapText="1"/>
    </xf>
    <xf numFmtId="0" fontId="8" fillId="2" borderId="2" xfId="6" applyFont="1" applyFill="1" applyBorder="1" applyAlignment="1">
      <alignment horizontal="center" wrapText="1"/>
    </xf>
    <xf numFmtId="49" fontId="8" fillId="2" borderId="2" xfId="0" applyNumberFormat="1" applyFont="1" applyFill="1" applyBorder="1" applyAlignment="1">
      <alignment horizontal="center" wrapText="1"/>
    </xf>
    <xf numFmtId="49" fontId="8" fillId="2" borderId="3" xfId="0" applyNumberFormat="1" applyFont="1" applyFill="1" applyBorder="1" applyAlignment="1">
      <alignment horizontal="center" wrapText="1"/>
    </xf>
    <xf numFmtId="0" fontId="7" fillId="0" borderId="4" xfId="6" applyFont="1" applyFill="1" applyBorder="1"/>
    <xf numFmtId="0" fontId="7" fillId="0" borderId="5" xfId="6" applyFont="1" applyFill="1" applyBorder="1"/>
    <xf numFmtId="0" fontId="7" fillId="0" borderId="5" xfId="6" applyFont="1" applyFill="1" applyBorder="1" applyAlignment="1">
      <alignment horizontal="center"/>
    </xf>
    <xf numFmtId="0" fontId="6" fillId="0" borderId="5" xfId="6" applyNumberFormat="1" applyFont="1" applyFill="1" applyBorder="1" applyAlignment="1">
      <alignment horizontal="center"/>
    </xf>
    <xf numFmtId="0" fontId="7" fillId="0" borderId="5" xfId="6" applyFont="1" applyFill="1" applyBorder="1" applyAlignment="1">
      <alignment wrapText="1"/>
    </xf>
    <xf numFmtId="164" fontId="7" fillId="0" borderId="5" xfId="6" applyNumberFormat="1" applyFont="1" applyFill="1" applyBorder="1"/>
    <xf numFmtId="164" fontId="4" fillId="0" borderId="5" xfId="0" applyNumberFormat="1" applyFont="1" applyFill="1" applyBorder="1"/>
    <xf numFmtId="164" fontId="4" fillId="0" borderId="6" xfId="0" applyNumberFormat="1" applyFont="1" applyFill="1" applyBorder="1"/>
    <xf numFmtId="0" fontId="7" fillId="0" borderId="5" xfId="6" quotePrefix="1" applyFont="1" applyFill="1" applyBorder="1"/>
    <xf numFmtId="0" fontId="6" fillId="0" borderId="5" xfId="6" applyFont="1" applyFill="1" applyBorder="1" applyAlignment="1"/>
    <xf numFmtId="49" fontId="6" fillId="0" borderId="5" xfId="6" applyNumberFormat="1" applyFont="1" applyFill="1" applyBorder="1" applyAlignment="1">
      <alignment horizontal="center"/>
    </xf>
    <xf numFmtId="49" fontId="6" fillId="0" borderId="5" xfId="6" applyNumberFormat="1" applyFont="1" applyFill="1" applyBorder="1" applyAlignment="1">
      <alignment wrapText="1"/>
    </xf>
    <xf numFmtId="164" fontId="6" fillId="0" borderId="5" xfId="6" applyNumberFormat="1" applyFont="1" applyFill="1" applyBorder="1"/>
    <xf numFmtId="0" fontId="6" fillId="0" borderId="5" xfId="7" applyFont="1" applyFill="1" applyBorder="1" applyAlignment="1"/>
    <xf numFmtId="0" fontId="6" fillId="0" borderId="5" xfId="7" applyNumberFormat="1" applyFont="1" applyFill="1" applyBorder="1" applyAlignment="1">
      <alignment horizontal="center"/>
    </xf>
    <xf numFmtId="49" fontId="6" fillId="0" borderId="5" xfId="7" applyNumberFormat="1" applyFont="1" applyFill="1" applyBorder="1" applyAlignment="1">
      <alignment horizontal="center"/>
    </xf>
    <xf numFmtId="49" fontId="6" fillId="0" borderId="5" xfId="6" quotePrefix="1" applyNumberFormat="1" applyFont="1" applyFill="1" applyBorder="1" applyAlignment="1">
      <alignment horizontal="center"/>
    </xf>
    <xf numFmtId="15" fontId="4" fillId="0" borderId="0" xfId="0" quotePrefix="1" applyNumberFormat="1" applyFont="1" applyFill="1" applyBorder="1"/>
    <xf numFmtId="0" fontId="4" fillId="0" borderId="5" xfId="0" applyFont="1" applyFill="1" applyBorder="1" applyAlignment="1">
      <alignment horizontal="center"/>
    </xf>
    <xf numFmtId="0" fontId="9" fillId="0" borderId="7" xfId="0" applyFont="1" applyFill="1" applyBorder="1"/>
    <xf numFmtId="0" fontId="9" fillId="0" borderId="7" xfId="0" applyNumberFormat="1" applyFont="1" applyFill="1" applyBorder="1" applyAlignment="1" applyProtection="1"/>
    <xf numFmtId="0" fontId="9" fillId="0" borderId="7" xfId="0" applyNumberFormat="1" applyFont="1" applyFill="1" applyBorder="1" applyAlignment="1" applyProtection="1">
      <alignment horizontal="center"/>
    </xf>
    <xf numFmtId="0" fontId="9" fillId="0" borderId="7" xfId="0" applyNumberFormat="1" applyFont="1" applyFill="1" applyBorder="1" applyAlignment="1" applyProtection="1">
      <alignment wrapText="1"/>
    </xf>
    <xf numFmtId="164" fontId="9" fillId="0" borderId="7" xfId="0" applyNumberFormat="1" applyFont="1" applyFill="1" applyBorder="1" applyAlignment="1" applyProtection="1"/>
    <xf numFmtId="164" fontId="9" fillId="0" borderId="7" xfId="0" applyNumberFormat="1" applyFont="1" applyFill="1" applyBorder="1"/>
    <xf numFmtId="164" fontId="4" fillId="4" borderId="5" xfId="0" applyNumberFormat="1" applyFont="1" applyFill="1" applyBorder="1"/>
    <xf numFmtId="0" fontId="2" fillId="3" borderId="2" xfId="6" applyFont="1" applyFill="1" applyBorder="1" applyAlignment="1">
      <alignment horizontal="center" wrapText="1"/>
    </xf>
    <xf numFmtId="0" fontId="0" fillId="0" borderId="0" xfId="0" applyAlignment="1">
      <alignment wrapText="1"/>
    </xf>
    <xf numFmtId="49" fontId="0" fillId="0" borderId="0" xfId="10" quotePrefix="1" applyNumberFormat="1" applyFont="1" applyAlignment="1">
      <alignment horizontal="left"/>
    </xf>
    <xf numFmtId="0" fontId="4" fillId="0" borderId="0" xfId="10" applyFont="1" applyAlignment="1">
      <alignment horizontal="left"/>
    </xf>
    <xf numFmtId="0" fontId="9" fillId="0" borderId="0" xfId="10" applyFont="1" applyAlignment="1">
      <alignment horizontal="left"/>
    </xf>
    <xf numFmtId="165" fontId="9" fillId="0" borderId="8" xfId="7" applyNumberFormat="1" applyFill="1" applyBorder="1"/>
    <xf numFmtId="9" fontId="9" fillId="0" borderId="8" xfId="7" applyNumberFormat="1" applyFill="1" applyBorder="1" applyAlignment="1">
      <alignment horizontal="right"/>
    </xf>
    <xf numFmtId="41" fontId="9" fillId="0" borderId="8" xfId="7" applyNumberFormat="1" applyFill="1" applyBorder="1"/>
    <xf numFmtId="0" fontId="9" fillId="0" borderId="8" xfId="7" applyNumberFormat="1" applyFill="1" applyBorder="1" applyAlignment="1">
      <alignment horizontal="center"/>
    </xf>
    <xf numFmtId="0" fontId="9" fillId="0" borderId="8" xfId="7" applyFill="1" applyBorder="1"/>
    <xf numFmtId="0" fontId="9" fillId="0" borderId="8" xfId="7" applyFill="1" applyBorder="1" applyAlignment="1">
      <alignment wrapText="1"/>
    </xf>
    <xf numFmtId="165" fontId="0" fillId="0" borderId="10" xfId="11" applyNumberFormat="1" applyFont="1" applyBorder="1"/>
    <xf numFmtId="9" fontId="0" fillId="0" borderId="10" xfId="12" applyNumberFormat="1" applyFont="1" applyBorder="1" applyAlignment="1">
      <alignment horizontal="right"/>
    </xf>
    <xf numFmtId="41" fontId="0" fillId="0" borderId="10" xfId="11" applyNumberFormat="1" applyFont="1" applyBorder="1"/>
    <xf numFmtId="166" fontId="0" fillId="0" borderId="10" xfId="13" applyNumberFormat="1" applyFont="1" applyBorder="1" applyAlignment="1">
      <alignment horizontal="center"/>
    </xf>
    <xf numFmtId="0" fontId="0" fillId="0" borderId="10" xfId="0" applyFont="1" applyBorder="1"/>
    <xf numFmtId="0" fontId="0" fillId="0" borderId="10" xfId="0" applyFont="1" applyBorder="1" applyAlignment="1">
      <alignment wrapText="1"/>
    </xf>
    <xf numFmtId="49" fontId="0" fillId="0" borderId="10" xfId="0" applyNumberFormat="1" applyFont="1" applyBorder="1"/>
    <xf numFmtId="49" fontId="0" fillId="0" borderId="11" xfId="0" applyNumberFormat="1" applyFont="1" applyBorder="1"/>
    <xf numFmtId="49" fontId="0" fillId="0" borderId="7" xfId="0" applyNumberFormat="1" applyFont="1" applyBorder="1"/>
    <xf numFmtId="0" fontId="12" fillId="5" borderId="12" xfId="0" applyFont="1" applyFill="1" applyBorder="1" applyAlignment="1">
      <alignment horizontal="center" wrapText="1"/>
    </xf>
    <xf numFmtId="0" fontId="12" fillId="5" borderId="12" xfId="14" applyFont="1" applyFill="1" applyBorder="1" applyAlignment="1">
      <alignment horizontal="center" wrapText="1"/>
    </xf>
    <xf numFmtId="0" fontId="12" fillId="5" borderId="0" xfId="14" applyFont="1" applyFill="1" applyBorder="1" applyAlignment="1">
      <alignment horizontal="center" wrapText="1"/>
    </xf>
    <xf numFmtId="0" fontId="13" fillId="0" borderId="0" xfId="0" applyFont="1"/>
    <xf numFmtId="0" fontId="13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wrapText="1"/>
    </xf>
    <xf numFmtId="0" fontId="14" fillId="0" borderId="0" xfId="0" applyFont="1"/>
    <xf numFmtId="0" fontId="14" fillId="0" borderId="0" xfId="0" applyFont="1" applyAlignment="1">
      <alignment wrapText="1"/>
    </xf>
    <xf numFmtId="0" fontId="7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7" fillId="0" borderId="0" xfId="1" applyFont="1" applyAlignment="1">
      <alignment horizontal="left"/>
    </xf>
    <xf numFmtId="166" fontId="0" fillId="0" borderId="0" xfId="13" applyNumberFormat="1" applyFont="1"/>
    <xf numFmtId="0" fontId="0" fillId="0" borderId="0" xfId="0" applyNumberFormat="1"/>
    <xf numFmtId="166" fontId="0" fillId="0" borderId="0" xfId="13" applyNumberFormat="1" applyFont="1" applyBorder="1"/>
    <xf numFmtId="166" fontId="7" fillId="0" borderId="0" xfId="13" applyNumberFormat="1" applyFont="1" applyBorder="1"/>
    <xf numFmtId="0" fontId="0" fillId="0" borderId="0" xfId="0" applyNumberFormat="1" applyFont="1" applyBorder="1"/>
    <xf numFmtId="0" fontId="9" fillId="0" borderId="0" xfId="0" applyFont="1"/>
    <xf numFmtId="166" fontId="9" fillId="0" borderId="5" xfId="7" applyNumberFormat="1" applyBorder="1"/>
    <xf numFmtId="41" fontId="9" fillId="0" borderId="5" xfId="7" applyNumberFormat="1" applyBorder="1"/>
    <xf numFmtId="43" fontId="9" fillId="0" borderId="5" xfId="7" applyNumberFormat="1" applyBorder="1"/>
    <xf numFmtId="165" fontId="9" fillId="0" borderId="5" xfId="7" applyNumberFormat="1" applyBorder="1"/>
    <xf numFmtId="0" fontId="9" fillId="0" borderId="5" xfId="7" applyBorder="1"/>
    <xf numFmtId="0" fontId="9" fillId="0" borderId="5" xfId="7" applyBorder="1" applyAlignment="1">
      <alignment wrapText="1"/>
    </xf>
    <xf numFmtId="166" fontId="0" fillId="0" borderId="6" xfId="13" applyNumberFormat="1" applyFont="1" applyBorder="1"/>
    <xf numFmtId="166" fontId="0" fillId="0" borderId="5" xfId="13" applyNumberFormat="1" applyFont="1" applyBorder="1"/>
    <xf numFmtId="166" fontId="7" fillId="0" borderId="5" xfId="13" applyNumberFormat="1" applyFont="1" applyBorder="1"/>
    <xf numFmtId="41" fontId="0" fillId="0" borderId="13" xfId="11" applyNumberFormat="1" applyFont="1" applyBorder="1"/>
    <xf numFmtId="166" fontId="0" fillId="0" borderId="13" xfId="13" applyNumberFormat="1" applyFont="1" applyBorder="1"/>
    <xf numFmtId="43" fontId="0" fillId="0" borderId="13" xfId="11" applyNumberFormat="1" applyFont="1" applyBorder="1"/>
    <xf numFmtId="165" fontId="0" fillId="0" borderId="13" xfId="11" applyNumberFormat="1" applyFont="1" applyBorder="1"/>
    <xf numFmtId="41" fontId="0" fillId="0" borderId="13" xfId="0" applyNumberFormat="1" applyFont="1" applyBorder="1"/>
    <xf numFmtId="0" fontId="0" fillId="0" borderId="13" xfId="0" applyFont="1" applyBorder="1"/>
    <xf numFmtId="0" fontId="0" fillId="0" borderId="13" xfId="0" applyFont="1" applyBorder="1" applyAlignment="1">
      <alignment wrapText="1"/>
    </xf>
    <xf numFmtId="0" fontId="0" fillId="0" borderId="13" xfId="0" applyNumberFormat="1" applyFont="1" applyBorder="1"/>
    <xf numFmtId="49" fontId="0" fillId="0" borderId="13" xfId="0" applyNumberFormat="1" applyFont="1" applyBorder="1"/>
    <xf numFmtId="0" fontId="6" fillId="0" borderId="13" xfId="0" applyNumberFormat="1" applyFont="1" applyBorder="1"/>
    <xf numFmtId="166" fontId="12" fillId="5" borderId="3" xfId="13" applyNumberFormat="1" applyFont="1" applyFill="1" applyBorder="1" applyAlignment="1">
      <alignment horizontal="center" wrapText="1"/>
    </xf>
    <xf numFmtId="166" fontId="12" fillId="5" borderId="2" xfId="13" applyNumberFormat="1" applyFont="1" applyFill="1" applyBorder="1" applyAlignment="1">
      <alignment horizontal="center" wrapText="1"/>
    </xf>
    <xf numFmtId="166" fontId="12" fillId="5" borderId="12" xfId="13" applyNumberFormat="1" applyFont="1" applyFill="1" applyBorder="1" applyAlignment="1">
      <alignment horizontal="center" wrapText="1"/>
    </xf>
    <xf numFmtId="166" fontId="0" fillId="0" borderId="9" xfId="13" applyNumberFormat="1" applyFont="1" applyBorder="1"/>
    <xf numFmtId="44" fontId="14" fillId="0" borderId="0" xfId="11" applyNumberFormat="1" applyFont="1"/>
    <xf numFmtId="166" fontId="14" fillId="0" borderId="0" xfId="13" applyNumberFormat="1" applyFont="1"/>
    <xf numFmtId="0" fontId="14" fillId="0" borderId="0" xfId="0" applyNumberFormat="1" applyFont="1"/>
    <xf numFmtId="44" fontId="8" fillId="0" borderId="0" xfId="11" applyNumberFormat="1" applyFont="1" applyAlignment="1">
      <alignment horizontal="center" wrapText="1"/>
    </xf>
    <xf numFmtId="166" fontId="7" fillId="0" borderId="0" xfId="13" applyNumberFormat="1" applyFont="1"/>
    <xf numFmtId="0" fontId="7" fillId="0" borderId="0" xfId="0" applyNumberFormat="1" applyFont="1"/>
    <xf numFmtId="0" fontId="6" fillId="0" borderId="0" xfId="15" applyFont="1"/>
    <xf numFmtId="49" fontId="6" fillId="0" borderId="0" xfId="15" applyNumberFormat="1" applyFont="1" applyFill="1"/>
    <xf numFmtId="49" fontId="6" fillId="0" borderId="0" xfId="15" applyNumberFormat="1" applyFont="1" applyFill="1" applyAlignment="1">
      <alignment horizontal="center"/>
    </xf>
    <xf numFmtId="0" fontId="0" fillId="0" borderId="0" xfId="0" applyFill="1"/>
    <xf numFmtId="0" fontId="6" fillId="0" borderId="0" xfId="15" applyFont="1" applyAlignment="1">
      <alignment horizontal="center"/>
    </xf>
    <xf numFmtId="0" fontId="0" fillId="0" borderId="0" xfId="0" applyFont="1" applyFill="1"/>
    <xf numFmtId="0" fontId="0" fillId="0" borderId="0" xfId="0" quotePrefix="1" applyFont="1"/>
    <xf numFmtId="15" fontId="0" fillId="0" borderId="0" xfId="0" quotePrefix="1" applyNumberFormat="1" applyFont="1" applyFill="1"/>
    <xf numFmtId="10" fontId="6" fillId="0" borderId="0" xfId="15" applyNumberFormat="1" applyFont="1" applyFill="1"/>
    <xf numFmtId="0" fontId="0" fillId="0" borderId="0" xfId="0" applyFont="1"/>
    <xf numFmtId="164" fontId="0" fillId="0" borderId="0" xfId="6" applyNumberFormat="1" applyFont="1" applyFill="1"/>
    <xf numFmtId="164" fontId="9" fillId="0" borderId="7" xfId="7" applyNumberFormat="1" applyFill="1" applyBorder="1" applyAlignment="1" applyProtection="1"/>
    <xf numFmtId="164" fontId="9" fillId="0" borderId="7" xfId="7" applyNumberFormat="1" applyFill="1" applyBorder="1"/>
    <xf numFmtId="0" fontId="9" fillId="0" borderId="7" xfId="7" applyNumberFormat="1" applyFill="1" applyBorder="1" applyAlignment="1" applyProtection="1">
      <alignment horizontal="center"/>
    </xf>
    <xf numFmtId="0" fontId="9" fillId="0" borderId="7" xfId="7" applyNumberFormat="1" applyFill="1" applyBorder="1" applyAlignment="1" applyProtection="1"/>
    <xf numFmtId="0" fontId="9" fillId="0" borderId="7" xfId="7" applyFill="1" applyBorder="1" applyAlignment="1">
      <alignment horizontal="center"/>
    </xf>
    <xf numFmtId="0" fontId="9" fillId="0" borderId="7" xfId="7" applyFill="1" applyBorder="1"/>
    <xf numFmtId="0" fontId="9" fillId="0" borderId="7" xfId="7" applyNumberFormat="1" applyFill="1" applyBorder="1" applyAlignment="1" applyProtection="1">
      <alignment horizontal="left"/>
    </xf>
    <xf numFmtId="0" fontId="6" fillId="0" borderId="0" xfId="15" applyFont="1" applyFill="1"/>
    <xf numFmtId="6" fontId="4" fillId="0" borderId="0" xfId="6" applyNumberFormat="1" applyFont="1" applyFill="1" applyAlignment="1"/>
    <xf numFmtId="6" fontId="4" fillId="0" borderId="0" xfId="13" applyNumberFormat="1" applyFont="1" applyFill="1" applyBorder="1" applyAlignment="1">
      <alignment wrapText="1"/>
    </xf>
    <xf numFmtId="6" fontId="6" fillId="0" borderId="0" xfId="6" applyNumberFormat="1" applyFont="1" applyFill="1" applyAlignment="1"/>
    <xf numFmtId="0" fontId="0" fillId="0" borderId="0" xfId="6" applyNumberFormat="1" applyFont="1" applyFill="1" applyAlignment="1">
      <alignment horizontal="center"/>
    </xf>
    <xf numFmtId="0" fontId="4" fillId="0" borderId="0" xfId="6" applyNumberFormat="1" applyFont="1" applyFill="1" applyAlignment="1">
      <alignment horizontal="center"/>
    </xf>
    <xf numFmtId="49" fontId="6" fillId="0" borderId="0" xfId="6" applyNumberFormat="1" applyFont="1" applyBorder="1"/>
    <xf numFmtId="0" fontId="6" fillId="0" borderId="0" xfId="6" applyNumberFormat="1" applyFont="1" applyBorder="1" applyAlignment="1">
      <alignment horizontal="center"/>
    </xf>
    <xf numFmtId="49" fontId="6" fillId="0" borderId="0" xfId="7" applyNumberFormat="1" applyFont="1" applyBorder="1" applyAlignment="1">
      <alignment horizontal="center"/>
    </xf>
    <xf numFmtId="0" fontId="6" fillId="0" borderId="0" xfId="7" applyNumberFormat="1" applyFont="1" applyBorder="1" applyAlignment="1">
      <alignment horizontal="center"/>
    </xf>
    <xf numFmtId="0" fontId="6" fillId="0" borderId="0" xfId="7" applyFont="1" applyBorder="1" applyAlignment="1"/>
    <xf numFmtId="0" fontId="4" fillId="0" borderId="0" xfId="6" applyFont="1"/>
    <xf numFmtId="0" fontId="6" fillId="0" borderId="0" xfId="16" applyFont="1" applyFill="1" applyAlignment="1">
      <alignment horizontal="center"/>
    </xf>
    <xf numFmtId="0" fontId="4" fillId="0" borderId="0" xfId="6" applyFont="1" applyAlignment="1">
      <alignment horizontal="center"/>
    </xf>
    <xf numFmtId="49" fontId="6" fillId="0" borderId="0" xfId="6" applyNumberFormat="1" applyFont="1"/>
    <xf numFmtId="0" fontId="6" fillId="0" borderId="0" xfId="6" applyFont="1" applyAlignment="1"/>
    <xf numFmtId="49" fontId="6" fillId="0" borderId="0" xfId="6" applyNumberFormat="1" applyFont="1" applyAlignment="1">
      <alignment horizontal="center"/>
    </xf>
    <xf numFmtId="49" fontId="6" fillId="0" borderId="0" xfId="6" quotePrefix="1" applyNumberFormat="1" applyFont="1" applyAlignment="1">
      <alignment horizontal="center"/>
    </xf>
    <xf numFmtId="0" fontId="6" fillId="0" borderId="0" xfId="15" applyFont="1" applyAlignment="1"/>
    <xf numFmtId="0" fontId="9" fillId="0" borderId="14" xfId="0" applyFont="1" applyFill="1" applyBorder="1" applyAlignment="1">
      <alignment horizontal="center" wrapText="1"/>
    </xf>
    <xf numFmtId="0" fontId="2" fillId="0" borderId="14" xfId="6" applyFont="1" applyBorder="1" applyAlignment="1">
      <alignment horizontal="center" wrapText="1"/>
    </xf>
    <xf numFmtId="0" fontId="9" fillId="0" borderId="1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17" fillId="0" borderId="0" xfId="17" applyFont="1" applyBorder="1" applyAlignment="1">
      <alignment horizontal="left"/>
    </xf>
    <xf numFmtId="0" fontId="4" fillId="0" borderId="0" xfId="18"/>
    <xf numFmtId="0" fontId="4" fillId="0" borderId="0" xfId="18" applyAlignment="1">
      <alignment horizontal="right"/>
    </xf>
    <xf numFmtId="0" fontId="4" fillId="0" borderId="0" xfId="18" applyAlignment="1">
      <alignment horizontal="center"/>
    </xf>
    <xf numFmtId="49" fontId="4" fillId="0" borderId="0" xfId="18" quotePrefix="1" applyNumberFormat="1" applyBorder="1" applyAlignment="1">
      <alignment horizontal="center"/>
    </xf>
    <xf numFmtId="17" fontId="4" fillId="0" borderId="0" xfId="18" quotePrefix="1" applyNumberFormat="1"/>
    <xf numFmtId="0" fontId="4" fillId="0" borderId="0" xfId="18" applyBorder="1" applyAlignment="1">
      <alignment horizontal="center"/>
    </xf>
    <xf numFmtId="4" fontId="4" fillId="0" borderId="0" xfId="18" applyNumberFormat="1"/>
    <xf numFmtId="0" fontId="9" fillId="0" borderId="0" xfId="18" applyFont="1" applyBorder="1" applyAlignment="1">
      <alignment horizontal="center"/>
    </xf>
    <xf numFmtId="0" fontId="9" fillId="0" borderId="0" xfId="18" applyFont="1"/>
    <xf numFmtId="0" fontId="4" fillId="0" borderId="0" xfId="18" applyBorder="1"/>
    <xf numFmtId="5" fontId="9" fillId="0" borderId="5" xfId="0" applyNumberFormat="1" applyFont="1" applyBorder="1" applyAlignment="1">
      <alignment horizontal="right"/>
    </xf>
    <xf numFmtId="43" fontId="9" fillId="0" borderId="5" xfId="0" applyNumberFormat="1" applyFont="1" applyBorder="1" applyAlignment="1">
      <alignment horizontal="right"/>
    </xf>
    <xf numFmtId="4" fontId="9" fillId="0" borderId="5" xfId="0" applyNumberFormat="1" applyFont="1" applyBorder="1" applyAlignment="1">
      <alignment horizontal="right"/>
    </xf>
    <xf numFmtId="43" fontId="9" fillId="0" borderId="5" xfId="0" applyNumberFormat="1" applyFont="1" applyBorder="1" applyAlignment="1">
      <alignment wrapText="1"/>
    </xf>
    <xf numFmtId="43" fontId="9" fillId="0" borderId="5" xfId="0" applyNumberFormat="1" applyFont="1" applyBorder="1" applyAlignment="1">
      <alignment horizontal="center" wrapText="1"/>
    </xf>
    <xf numFmtId="5" fontId="4" fillId="0" borderId="6" xfId="18" applyNumberFormat="1" applyFont="1" applyBorder="1" applyAlignment="1">
      <alignment horizontal="right"/>
    </xf>
    <xf numFmtId="2" fontId="4" fillId="0" borderId="5" xfId="18" applyNumberFormat="1" applyFont="1" applyBorder="1" applyAlignment="1">
      <alignment horizontal="right"/>
    </xf>
    <xf numFmtId="4" fontId="4" fillId="0" borderId="5" xfId="18" applyNumberFormat="1" applyFont="1" applyBorder="1" applyAlignment="1">
      <alignment horizontal="right"/>
    </xf>
    <xf numFmtId="4" fontId="4" fillId="0" borderId="5" xfId="18" applyNumberFormat="1" applyFont="1" applyBorder="1" applyAlignment="1">
      <alignment wrapText="1"/>
    </xf>
    <xf numFmtId="0" fontId="4" fillId="0" borderId="5" xfId="18" applyFont="1" applyBorder="1" applyAlignment="1">
      <alignment wrapText="1"/>
    </xf>
    <xf numFmtId="0" fontId="4" fillId="0" borderId="5" xfId="18" applyFont="1" applyBorder="1" applyAlignment="1">
      <alignment horizontal="center" wrapText="1"/>
    </xf>
    <xf numFmtId="167" fontId="4" fillId="0" borderId="5" xfId="18" applyNumberFormat="1" applyFont="1" applyBorder="1" applyAlignment="1">
      <alignment horizontal="center" wrapText="1"/>
    </xf>
    <xf numFmtId="49" fontId="4" fillId="0" borderId="5" xfId="18" applyNumberFormat="1" applyFont="1" applyBorder="1" applyAlignment="1">
      <alignment horizontal="center" wrapText="1"/>
    </xf>
    <xf numFmtId="168" fontId="4" fillId="0" borderId="5" xfId="18" applyNumberFormat="1" applyFont="1" applyBorder="1" applyAlignment="1">
      <alignment horizontal="center" wrapText="1"/>
    </xf>
    <xf numFmtId="168" fontId="4" fillId="0" borderId="4" xfId="18" applyNumberFormat="1" applyFont="1" applyBorder="1" applyAlignment="1">
      <alignment horizontal="center" wrapText="1"/>
    </xf>
    <xf numFmtId="0" fontId="4" fillId="0" borderId="5" xfId="18" applyFont="1" applyBorder="1" applyAlignment="1">
      <alignment horizontal="left"/>
    </xf>
    <xf numFmtId="49" fontId="12" fillId="5" borderId="12" xfId="14" applyNumberFormat="1" applyFont="1" applyFill="1" applyBorder="1" applyAlignment="1">
      <alignment horizontal="center" wrapText="1"/>
    </xf>
    <xf numFmtId="49" fontId="12" fillId="5" borderId="16" xfId="14" applyNumberFormat="1" applyFont="1" applyFill="1" applyBorder="1" applyAlignment="1">
      <alignment horizontal="center" wrapText="1"/>
    </xf>
    <xf numFmtId="49" fontId="12" fillId="5" borderId="0" xfId="14" applyNumberFormat="1" applyFont="1" applyFill="1" applyBorder="1" applyAlignment="1">
      <alignment horizontal="center" wrapText="1"/>
    </xf>
    <xf numFmtId="0" fontId="4" fillId="0" borderId="0" xfId="0" applyFont="1" applyBorder="1"/>
    <xf numFmtId="0" fontId="4" fillId="0" borderId="0" xfId="18" applyFill="1"/>
    <xf numFmtId="0" fontId="4" fillId="0" borderId="0" xfId="18" applyFill="1" applyBorder="1"/>
    <xf numFmtId="0" fontId="4" fillId="0" borderId="0" xfId="18" applyFill="1" applyBorder="1" applyAlignment="1">
      <alignment horizontal="left"/>
    </xf>
    <xf numFmtId="0" fontId="20" fillId="0" borderId="0" xfId="19" applyFont="1"/>
    <xf numFmtId="0" fontId="2" fillId="0" borderId="0" xfId="2"/>
    <xf numFmtId="0" fontId="9" fillId="0" borderId="0" xfId="18" applyFont="1" applyFill="1" applyBorder="1" applyAlignment="1">
      <alignment horizontal="left"/>
    </xf>
    <xf numFmtId="0" fontId="2" fillId="0" borderId="0" xfId="1" applyFont="1" applyBorder="1" applyAlignment="1">
      <alignment horizontal="left"/>
    </xf>
    <xf numFmtId="0" fontId="0" fillId="0" borderId="0" xfId="0" applyFont="1" applyFill="1" applyBorder="1"/>
    <xf numFmtId="15" fontId="0" fillId="0" borderId="0" xfId="0" quotePrefix="1" applyNumberFormat="1" applyFont="1" applyFill="1" applyBorder="1"/>
    <xf numFmtId="164" fontId="9" fillId="0" borderId="7" xfId="5" applyNumberFormat="1" applyFill="1"/>
    <xf numFmtId="6" fontId="9" fillId="0" borderId="7" xfId="5" applyNumberFormat="1" applyFill="1" applyAlignment="1" applyProtection="1"/>
    <xf numFmtId="0" fontId="9" fillId="0" borderId="7" xfId="5" applyFill="1" applyAlignment="1">
      <alignment horizontal="center"/>
    </xf>
    <xf numFmtId="0" fontId="9" fillId="0" borderId="7" xfId="5" applyFill="1" applyAlignment="1">
      <alignment wrapText="1"/>
    </xf>
    <xf numFmtId="0" fontId="9" fillId="0" borderId="7" xfId="5" applyFill="1"/>
    <xf numFmtId="0" fontId="9" fillId="0" borderId="7" xfId="5" applyNumberFormat="1" applyFill="1" applyAlignment="1" applyProtection="1">
      <alignment horizontal="left" wrapText="1"/>
    </xf>
    <xf numFmtId="164" fontId="7" fillId="0" borderId="0" xfId="0" applyNumberFormat="1" applyFont="1" applyFill="1" applyBorder="1"/>
    <xf numFmtId="164" fontId="0" fillId="0" borderId="0" xfId="0" applyNumberFormat="1" applyFont="1" applyFill="1" applyBorder="1"/>
    <xf numFmtId="6" fontId="6" fillId="0" borderId="0" xfId="15" applyNumberFormat="1" applyFont="1" applyFill="1" applyBorder="1" applyAlignment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wrapText="1"/>
    </xf>
    <xf numFmtId="0" fontId="7" fillId="0" borderId="0" xfId="6" applyNumberFormat="1" applyFont="1" applyFill="1" applyBorder="1" applyAlignment="1">
      <alignment horizontal="left" wrapText="1"/>
    </xf>
    <xf numFmtId="164" fontId="6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quotePrefix="1" applyFont="1" applyFill="1" applyBorder="1" applyAlignment="1">
      <alignment horizontal="center"/>
    </xf>
    <xf numFmtId="0" fontId="0" fillId="0" borderId="0" xfId="0" quotePrefix="1" applyFont="1" applyFill="1" applyBorder="1"/>
    <xf numFmtId="0" fontId="6" fillId="0" borderId="0" xfId="0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15" fillId="0" borderId="0" xfId="0" applyFont="1" applyFill="1" applyBorder="1"/>
    <xf numFmtId="0" fontId="5" fillId="0" borderId="0" xfId="2" applyFont="1" applyFill="1" applyBorder="1" applyAlignment="1"/>
    <xf numFmtId="0" fontId="17" fillId="0" borderId="0" xfId="2" applyFont="1" applyFill="1" applyBorder="1" applyAlignment="1"/>
    <xf numFmtId="0" fontId="17" fillId="0" borderId="0" xfId="1" applyFont="1" applyFill="1" applyBorder="1" applyAlignment="1"/>
    <xf numFmtId="0" fontId="22" fillId="0" borderId="0" xfId="1" applyFont="1" applyFill="1" applyBorder="1" applyAlignment="1"/>
    <xf numFmtId="0" fontId="23" fillId="0" borderId="0" xfId="0" applyFont="1"/>
    <xf numFmtId="165" fontId="23" fillId="0" borderId="0" xfId="11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quotePrefix="1" applyFont="1" applyAlignment="1">
      <alignment horizontal="left"/>
    </xf>
    <xf numFmtId="166" fontId="23" fillId="0" borderId="0" xfId="0" applyNumberFormat="1" applyFont="1"/>
    <xf numFmtId="43" fontId="23" fillId="0" borderId="0" xfId="11" applyFont="1"/>
    <xf numFmtId="0" fontId="2" fillId="0" borderId="0" xfId="0" applyFont="1"/>
    <xf numFmtId="166" fontId="9" fillId="0" borderId="7" xfId="7" applyNumberFormat="1" applyFill="1" applyBorder="1"/>
    <xf numFmtId="166" fontId="9" fillId="0" borderId="17" xfId="7" applyNumberFormat="1" applyBorder="1"/>
    <xf numFmtId="166" fontId="9" fillId="0" borderId="7" xfId="7" applyNumberFormat="1" applyBorder="1"/>
    <xf numFmtId="166" fontId="9" fillId="0" borderId="17" xfId="7" applyNumberFormat="1" applyFill="1" applyBorder="1"/>
    <xf numFmtId="169" fontId="9" fillId="0" borderId="7" xfId="7" applyNumberFormat="1" applyFill="1" applyBorder="1" applyAlignment="1"/>
    <xf numFmtId="166" fontId="9" fillId="0" borderId="7" xfId="13" applyNumberFormat="1" applyFont="1" applyFill="1" applyBorder="1" applyAlignment="1"/>
    <xf numFmtId="166" fontId="9" fillId="0" borderId="17" xfId="13" applyNumberFormat="1" applyFont="1" applyFill="1" applyBorder="1" applyAlignment="1"/>
    <xf numFmtId="170" fontId="9" fillId="0" borderId="7" xfId="7" applyNumberFormat="1" applyFill="1" applyBorder="1" applyAlignment="1"/>
    <xf numFmtId="165" fontId="9" fillId="0" borderId="13" xfId="7" applyNumberFormat="1" applyFill="1" applyBorder="1" applyAlignment="1">
      <alignment horizontal="center"/>
    </xf>
    <xf numFmtId="0" fontId="9" fillId="0" borderId="7" xfId="7" applyFill="1" applyBorder="1" applyAlignment="1">
      <alignment horizontal="center" wrapText="1"/>
    </xf>
    <xf numFmtId="0" fontId="9" fillId="0" borderId="7" xfId="7" applyFill="1" applyBorder="1" applyAlignment="1">
      <alignment wrapText="1"/>
    </xf>
    <xf numFmtId="0" fontId="9" fillId="0" borderId="7" xfId="7" applyBorder="1" applyAlignment="1">
      <alignment horizontal="center"/>
    </xf>
    <xf numFmtId="0" fontId="9" fillId="0" borderId="7" xfId="7" applyFill="1" applyBorder="1" applyAlignment="1">
      <alignment horizontal="left"/>
    </xf>
    <xf numFmtId="166" fontId="6" fillId="0" borderId="12" xfId="0" applyNumberFormat="1" applyFont="1" applyFill="1" applyBorder="1"/>
    <xf numFmtId="166" fontId="6" fillId="0" borderId="18" xfId="13" applyNumberFormat="1" applyFont="1" applyBorder="1"/>
    <xf numFmtId="166" fontId="6" fillId="0" borderId="0" xfId="13" applyNumberFormat="1" applyFont="1" applyBorder="1"/>
    <xf numFmtId="166" fontId="6" fillId="0" borderId="12" xfId="13" applyNumberFormat="1" applyFont="1" applyBorder="1"/>
    <xf numFmtId="166" fontId="6" fillId="0" borderId="18" xfId="13" applyNumberFormat="1" applyFont="1" applyFill="1" applyBorder="1"/>
    <xf numFmtId="44" fontId="6" fillId="0" borderId="0" xfId="0" applyNumberFormat="1" applyFont="1" applyFill="1" applyBorder="1"/>
    <xf numFmtId="169" fontId="6" fillId="0" borderId="0" xfId="12" applyNumberFormat="1" applyFont="1" applyFill="1" applyBorder="1" applyAlignment="1"/>
    <xf numFmtId="41" fontId="6" fillId="0" borderId="12" xfId="0" applyNumberFormat="1" applyFont="1" applyFill="1" applyBorder="1" applyAlignment="1"/>
    <xf numFmtId="165" fontId="6" fillId="0" borderId="18" xfId="11" applyNumberFormat="1" applyFont="1" applyFill="1" applyBorder="1" applyAlignment="1"/>
    <xf numFmtId="170" fontId="6" fillId="0" borderId="0" xfId="12" applyNumberFormat="1" applyFont="1" applyFill="1" applyBorder="1" applyAlignment="1"/>
    <xf numFmtId="166" fontId="6" fillId="0" borderId="18" xfId="0" applyNumberFormat="1" applyFont="1" applyFill="1" applyBorder="1"/>
    <xf numFmtId="166" fontId="6" fillId="0" borderId="0" xfId="0" applyNumberFormat="1" applyFont="1" applyFill="1" applyBorder="1"/>
    <xf numFmtId="165" fontId="6" fillId="0" borderId="12" xfId="11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166" fontId="2" fillId="0" borderId="1" xfId="13" applyNumberFormat="1" applyFont="1" applyFill="1" applyBorder="1" applyAlignment="1">
      <alignment horizontal="center" wrapText="1"/>
    </xf>
    <xf numFmtId="166" fontId="2" fillId="0" borderId="9" xfId="13" applyNumberFormat="1" applyFont="1" applyFill="1" applyBorder="1" applyAlignment="1">
      <alignment horizontal="center" wrapText="1"/>
    </xf>
    <xf numFmtId="166" fontId="2" fillId="0" borderId="3" xfId="13" applyNumberFormat="1" applyFont="1" applyFill="1" applyBorder="1" applyAlignment="1">
      <alignment horizontal="center" wrapText="1"/>
    </xf>
    <xf numFmtId="0" fontId="2" fillId="0" borderId="9" xfId="14" applyFont="1" applyFill="1" applyBorder="1" applyAlignment="1">
      <alignment horizontal="center" wrapText="1"/>
    </xf>
    <xf numFmtId="0" fontId="2" fillId="0" borderId="3" xfId="14" applyFont="1" applyFill="1" applyBorder="1" applyAlignment="1">
      <alignment horizontal="center" wrapText="1"/>
    </xf>
    <xf numFmtId="0" fontId="2" fillId="0" borderId="1" xfId="14" applyFont="1" applyFill="1" applyBorder="1" applyAlignment="1">
      <alignment horizontal="center" wrapText="1"/>
    </xf>
    <xf numFmtId="165" fontId="2" fillId="0" borderId="3" xfId="11" quotePrefix="1" applyNumberFormat="1" applyFont="1" applyFill="1" applyBorder="1" applyAlignment="1">
      <alignment horizontal="center" wrapText="1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166" fontId="2" fillId="0" borderId="0" xfId="13" applyNumberFormat="1" applyFont="1" applyFill="1" applyBorder="1" applyAlignment="1">
      <alignment horizontal="center" vertical="top"/>
    </xf>
    <xf numFmtId="166" fontId="2" fillId="0" borderId="0" xfId="13" applyNumberFormat="1" applyFont="1" applyFill="1" applyBorder="1" applyAlignment="1">
      <alignment horizontal="left" vertical="top"/>
    </xf>
    <xf numFmtId="171" fontId="2" fillId="0" borderId="0" xfId="13" applyNumberFormat="1" applyFont="1" applyFill="1" applyBorder="1" applyAlignment="1">
      <alignment horizontal="left" vertical="top"/>
    </xf>
    <xf numFmtId="44" fontId="2" fillId="0" borderId="0" xfId="13" applyFont="1" applyFill="1" applyBorder="1" applyAlignment="1">
      <alignment horizontal="left" vertical="top"/>
    </xf>
    <xf numFmtId="44" fontId="2" fillId="0" borderId="0" xfId="13" applyNumberFormat="1" applyFont="1" applyFill="1" applyBorder="1" applyAlignment="1">
      <alignment horizontal="left" vertical="top"/>
    </xf>
    <xf numFmtId="165" fontId="2" fillId="0" borderId="0" xfId="11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/>
    </xf>
    <xf numFmtId="172" fontId="2" fillId="0" borderId="0" xfId="13" applyNumberFormat="1" applyFont="1" applyFill="1" applyBorder="1" applyAlignment="1">
      <alignment horizontal="left" vertical="top"/>
    </xf>
    <xf numFmtId="173" fontId="2" fillId="0" borderId="0" xfId="13" applyNumberFormat="1" applyFont="1" applyFill="1" applyBorder="1" applyAlignment="1">
      <alignment horizontal="left" vertical="top"/>
    </xf>
    <xf numFmtId="174" fontId="2" fillId="0" borderId="0" xfId="13" applyNumberFormat="1" applyFont="1" applyFill="1" applyBorder="1" applyAlignment="1">
      <alignment horizontal="left" vertical="top"/>
    </xf>
    <xf numFmtId="166" fontId="2" fillId="0" borderId="0" xfId="13" applyNumberFormat="1" applyFont="1" applyAlignment="1">
      <alignment horizontal="left" vertical="top"/>
    </xf>
    <xf numFmtId="0" fontId="2" fillId="0" borderId="0" xfId="1" applyAlignment="1">
      <alignment horizontal="left" vertical="top"/>
    </xf>
    <xf numFmtId="0" fontId="0" fillId="0" borderId="0" xfId="0" applyFont="1" applyBorder="1"/>
    <xf numFmtId="166" fontId="4" fillId="0" borderId="6" xfId="9" applyNumberFormat="1" applyFont="1" applyBorder="1" applyAlignment="1">
      <alignment wrapText="1"/>
    </xf>
    <xf numFmtId="166" fontId="4" fillId="0" borderId="0" xfId="9" applyNumberFormat="1"/>
    <xf numFmtId="166" fontId="9" fillId="0" borderId="0" xfId="9" applyNumberFormat="1" applyFont="1" applyFill="1" applyBorder="1" applyAlignment="1">
      <alignment horizontal="left"/>
    </xf>
    <xf numFmtId="166" fontId="4" fillId="0" borderId="0" xfId="9" applyNumberFormat="1" applyFill="1" applyBorder="1" applyAlignment="1">
      <alignment horizontal="left"/>
    </xf>
    <xf numFmtId="166" fontId="4" fillId="0" borderId="0" xfId="9" applyNumberFormat="1" applyFont="1" applyBorder="1"/>
    <xf numFmtId="166" fontId="4" fillId="0" borderId="6" xfId="9" applyNumberFormat="1" applyFont="1" applyBorder="1" applyAlignment="1">
      <alignment horizontal="right"/>
    </xf>
    <xf numFmtId="166" fontId="4" fillId="0" borderId="0" xfId="9" applyNumberFormat="1" applyAlignment="1">
      <alignment horizontal="right"/>
    </xf>
    <xf numFmtId="43" fontId="4" fillId="0" borderId="0" xfId="8"/>
    <xf numFmtId="49" fontId="24" fillId="0" borderId="0" xfId="15" applyNumberFormat="1" applyFont="1" applyFill="1" applyAlignment="1">
      <alignment horizontal="center"/>
    </xf>
    <xf numFmtId="44" fontId="25" fillId="0" borderId="0" xfId="9" applyFont="1"/>
    <xf numFmtId="43" fontId="25" fillId="0" borderId="0" xfId="8" applyFont="1" applyFill="1" applyBorder="1"/>
    <xf numFmtId="0" fontId="25" fillId="0" borderId="0" xfId="0" applyFont="1" applyFill="1" applyBorder="1" applyAlignment="1">
      <alignment horizontal="right"/>
    </xf>
    <xf numFmtId="43" fontId="4" fillId="0" borderId="0" xfId="8" applyAlignment="1">
      <alignment horizontal="right"/>
    </xf>
    <xf numFmtId="0" fontId="12" fillId="0" borderId="0" xfId="0" applyFont="1" applyAlignment="1">
      <alignment horizontal="center" vertical="top"/>
    </xf>
    <xf numFmtId="166" fontId="26" fillId="0" borderId="0" xfId="0" applyNumberFormat="1" applyFont="1"/>
    <xf numFmtId="165" fontId="4" fillId="0" borderId="6" xfId="8" applyNumberFormat="1" applyFont="1" applyBorder="1" applyAlignment="1">
      <alignment wrapText="1"/>
    </xf>
    <xf numFmtId="165" fontId="4" fillId="0" borderId="6" xfId="8" applyNumberFormat="1" applyFont="1" applyBorder="1" applyAlignment="1">
      <alignment horizontal="right"/>
    </xf>
    <xf numFmtId="0" fontId="25" fillId="0" borderId="0" xfId="0" applyFont="1"/>
    <xf numFmtId="165" fontId="25" fillId="0" borderId="0" xfId="8" applyNumberFormat="1" applyFont="1"/>
    <xf numFmtId="0" fontId="25" fillId="0" borderId="0" xfId="18" applyFont="1"/>
    <xf numFmtId="17" fontId="25" fillId="0" borderId="0" xfId="18" quotePrefix="1" applyNumberFormat="1" applyFont="1"/>
    <xf numFmtId="49" fontId="12" fillId="5" borderId="19" xfId="14" applyNumberFormat="1" applyFont="1" applyFill="1" applyBorder="1" applyAlignment="1">
      <alignment horizontal="center" wrapText="1"/>
    </xf>
    <xf numFmtId="49" fontId="12" fillId="5" borderId="20" xfId="14" applyNumberFormat="1" applyFont="1" applyFill="1" applyBorder="1" applyAlignment="1">
      <alignment horizontal="center" wrapText="1"/>
    </xf>
    <xf numFmtId="49" fontId="12" fillId="5" borderId="20" xfId="14" applyNumberFormat="1" applyFont="1" applyFill="1" applyBorder="1" applyAlignment="1">
      <alignment horizontal="left" wrapText="1"/>
    </xf>
    <xf numFmtId="166" fontId="12" fillId="5" borderId="20" xfId="9" applyNumberFormat="1" applyFont="1" applyFill="1" applyBorder="1" applyAlignment="1">
      <alignment horizontal="center" wrapText="1"/>
    </xf>
    <xf numFmtId="166" fontId="2" fillId="4" borderId="21" xfId="9" applyNumberFormat="1" applyFont="1" applyFill="1" applyBorder="1" applyAlignment="1">
      <alignment horizontal="center" wrapText="1"/>
    </xf>
    <xf numFmtId="168" fontId="4" fillId="0" borderId="22" xfId="18" applyNumberFormat="1" applyFont="1" applyBorder="1" applyAlignment="1">
      <alignment horizontal="center" wrapText="1"/>
    </xf>
    <xf numFmtId="166" fontId="4" fillId="4" borderId="23" xfId="9" applyNumberFormat="1" applyFont="1" applyFill="1" applyBorder="1" applyAlignment="1">
      <alignment horizontal="right"/>
    </xf>
    <xf numFmtId="165" fontId="4" fillId="4" borderId="23" xfId="8" applyNumberFormat="1" applyFont="1" applyFill="1" applyBorder="1" applyAlignment="1">
      <alignment horizontal="right"/>
    </xf>
    <xf numFmtId="43" fontId="9" fillId="0" borderId="24" xfId="0" applyNumberFormat="1" applyFont="1" applyBorder="1" applyAlignment="1">
      <alignment horizontal="center" wrapText="1"/>
    </xf>
    <xf numFmtId="43" fontId="9" fillId="0" borderId="25" xfId="0" applyNumberFormat="1" applyFont="1" applyBorder="1" applyAlignment="1">
      <alignment horizontal="center" wrapText="1"/>
    </xf>
    <xf numFmtId="43" fontId="9" fillId="0" borderId="25" xfId="0" applyNumberFormat="1" applyFont="1" applyBorder="1" applyAlignment="1">
      <alignment wrapText="1"/>
    </xf>
    <xf numFmtId="166" fontId="9" fillId="0" borderId="25" xfId="0" applyNumberFormat="1" applyFont="1" applyBorder="1" applyAlignment="1">
      <alignment wrapText="1"/>
    </xf>
    <xf numFmtId="166" fontId="9" fillId="0" borderId="25" xfId="9" applyNumberFormat="1" applyFont="1" applyBorder="1" applyAlignment="1">
      <alignment wrapText="1"/>
    </xf>
    <xf numFmtId="166" fontId="9" fillId="4" borderId="26" xfId="9" applyNumberFormat="1" applyFont="1" applyFill="1" applyBorder="1" applyAlignment="1">
      <alignment wrapText="1"/>
    </xf>
    <xf numFmtId="0" fontId="9" fillId="0" borderId="7" xfId="0" applyNumberFormat="1" applyFont="1" applyFill="1" applyBorder="1" applyAlignment="1" applyProtection="1">
      <alignment horizontal="left"/>
    </xf>
  </cellXfs>
  <cellStyles count="20">
    <cellStyle name="Comma" xfId="8" builtinId="3"/>
    <cellStyle name="Comma 2" xfId="11" xr:uid="{C188FAC5-FC3A-4902-84AF-52804B7B8C05}"/>
    <cellStyle name="Currency" xfId="9" builtinId="4"/>
    <cellStyle name="Currency 2" xfId="13" xr:uid="{194B870C-499F-4CEC-AF46-7AB45887F1F9}"/>
    <cellStyle name="Heading 1" xfId="1" builtinId="16" customBuiltin="1"/>
    <cellStyle name="Heading 1 2" xfId="17" xr:uid="{32BFFA25-4B70-47DB-9873-A4DE421F8539}"/>
    <cellStyle name="Heading 2" xfId="2" builtinId="17" customBuiltin="1"/>
    <cellStyle name="Heading 3" xfId="3" builtinId="18" customBuiltin="1"/>
    <cellStyle name="Heading 4" xfId="4" builtinId="19" customBuiltin="1"/>
    <cellStyle name="Hyperlink 2" xfId="19" xr:uid="{EC9601B0-F2D5-4E06-837E-A6D261DC471D}"/>
    <cellStyle name="Normal" xfId="0" builtinId="0" customBuiltin="1"/>
    <cellStyle name="Normal 2" xfId="16" xr:uid="{6BFCFF5A-AEC8-4339-B064-DEEC0E05F908}"/>
    <cellStyle name="Normal 20" xfId="15" xr:uid="{EF59E3AF-C838-4F82-B8C9-4FDB52DF3347}"/>
    <cellStyle name="Normal 3" xfId="10" xr:uid="{7408C7D8-498C-4F42-80E2-B4430D476EAF}"/>
    <cellStyle name="Normal 4" xfId="18" xr:uid="{8928F3B8-4021-4046-838D-80134481F5ED}"/>
    <cellStyle name="Normal 4 2 2" xfId="6" xr:uid="{7F25CFB3-93A1-4039-B4F3-53761E4FB744}"/>
    <cellStyle name="PAS Table Header 2" xfId="14" xr:uid="{AB2959BA-8A97-47E9-B7D1-D8B1F2C8F67E}"/>
    <cellStyle name="Percent 2" xfId="12" xr:uid="{5B8EDB35-568A-48D4-AD9E-D21D05EAF9E5}"/>
    <cellStyle name="Total" xfId="5" builtinId="25" customBuiltin="1"/>
    <cellStyle name="Total 4" xfId="7" xr:uid="{2FDF04D5-AD59-4A48-A9AE-5164F0B55078}"/>
  </cellStyles>
  <dxfs count="33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  <protection locked="1" hidden="0"/>
    </dxf>
    <dxf>
      <numFmt numFmtId="166" formatCode="_(&quot;$&quot;* #,##0_);_(&quot;$&quot;* \(#,##0\);_(&quot;$&quot;* &quot;-&quot;??_);_(@_)"/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auto="1"/>
        </top>
        <bottom/>
      </border>
    </dxf>
    <dxf>
      <numFmt numFmtId="166" formatCode="_(&quot;$&quot;* #,##0_);_(&quot;$&quot;* \(#,##0\);_(&quot;$&quot;* &quot;-&quot;??_);_(@_)"/>
      <border diagonalUp="0" diagonalDown="0" outline="0">
        <left/>
        <right style="thin">
          <color auto="1"/>
        </right>
        <top style="thin">
          <color indexed="64"/>
        </top>
        <bottom/>
      </border>
    </dxf>
    <dxf>
      <numFmt numFmtId="166" formatCode="_(&quot;$&quot;* #,##0_);_(&quot;$&quot;* \(#,##0\);_(&quot;$&quot;* &quot;-&quot;??_);_(@_)"/>
      <border diagonalUp="0" diagonalDown="0" outline="0">
        <left/>
        <right/>
        <top style="thin">
          <color auto="1"/>
        </top>
        <bottom/>
      </border>
    </dxf>
    <dxf>
      <numFmt numFmtId="166" formatCode="_(&quot;$&quot;* #,##0_);_(&quot;$&quot;* \(#,##0\);_(&quot;$&quot;* &quot;-&quot;??_);_(@_)"/>
      <border diagonalUp="0" diagonalDown="0" outline="0">
        <left/>
        <right/>
        <top style="thin">
          <color auto="1"/>
        </top>
        <bottom/>
      </border>
    </dxf>
    <dxf>
      <numFmt numFmtId="166" formatCode="_(&quot;$&quot;* #,##0_);_(&quot;$&quot;* \(#,##0\);_(&quot;$&quot;* &quot;-&quot;??_);_(@_)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 style="thin">
          <color indexed="64"/>
        </top>
        <bottom/>
      </border>
    </dxf>
    <dxf>
      <numFmt numFmtId="166" formatCode="_(&quot;$&quot;* #,##0_);_(&quot;$&quot;* \(#,##0\);_(&quot;$&quot;* &quot;-&quot;??_);_(@_)"/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auto="1"/>
        </top>
        <bottom/>
      </border>
    </dxf>
    <dxf>
      <numFmt numFmtId="169" formatCode="0.0000000000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6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6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indexed="64"/>
        </top>
        <bottom/>
      </border>
    </dxf>
    <dxf>
      <numFmt numFmtId="170" formatCode="0.000000000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6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numFmt numFmtId="166" formatCode="_(&quot;$&quot;* #,##0_);_(&quot;$&quot;* \(#,##0\);_(&quot;$&quot;* &quot;-&quot;??_);_(@_)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 style="thin">
          <color indexed="64"/>
        </top>
        <bottom/>
      </border>
    </dxf>
    <dxf>
      <numFmt numFmtId="166" formatCode="_(&quot;$&quot;* #,##0_);_(&quot;$&quot;* \(#,##0\);_(&quot;$&quot;* &quot;-&quot;??_);_(@_)"/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auto="1"/>
        </top>
        <bottom/>
      </border>
    </dxf>
    <dxf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&quot;$&quot;#,##0"/>
      <fill>
        <patternFill patternType="none">
          <fgColor indexed="64"/>
          <bgColor indexed="65"/>
        </patternFill>
      </fill>
    </dxf>
    <dxf>
      <numFmt numFmtId="164" formatCode="&quot;$&quot;#,##0"/>
      <fill>
        <patternFill patternType="none">
          <fgColor indexed="64"/>
          <bgColor indexed="65"/>
        </patternFill>
      </fill>
    </dxf>
    <dxf>
      <numFmt numFmtId="164" formatCode="&quot;$&quot;#,##0"/>
      <fill>
        <patternFill patternType="none">
          <fgColor indexed="64"/>
          <bgColor indexed="65"/>
        </patternFill>
      </fill>
    </dxf>
    <dxf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&quot;$&quot;#,##0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protection locked="1" hidden="0"/>
    </dxf>
    <dxf>
      <numFmt numFmtId="164" formatCode="&quot;$&quot;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  <protection locked="1" hidden="0"/>
    </dxf>
    <dxf>
      <numFmt numFmtId="164" formatCode="&quot;$&quot;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  <protection locked="1" hidden="0"/>
    </dxf>
    <dxf>
      <numFmt numFmtId="164" formatCode="&quot;$&quot;#,##0"/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auto="1"/>
        </top>
        <bottom/>
      </border>
    </dxf>
    <dxf>
      <numFmt numFmtId="164" formatCode="&quot;$&quot;#,##0"/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auto="1"/>
        </top>
        <bottom/>
      </border>
    </dxf>
    <dxf>
      <numFmt numFmtId="164" formatCode="&quot;$&quot;#,##0"/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auto="1"/>
        </top>
        <bottom/>
      </border>
    </dxf>
    <dxf>
      <numFmt numFmtId="164" formatCode="&quot;$&quot;#,##0"/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auto="1"/>
        </top>
        <bottom/>
      </border>
    </dxf>
    <dxf>
      <numFmt numFmtId="164" formatCode="&quot;$&quot;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  <protection locked="1" hidden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  <protection locked="1" hidden="0"/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auto="1"/>
        </top>
        <bottom/>
      </border>
    </dxf>
    <dxf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  <protection locked="1" hidden="0"/>
    </dxf>
    <dxf>
      <numFmt numFmtId="166" formatCode="_(&quot;$&quot;* #,##0_);_(&quot;$&quot;* \(#,##0\);_(&quot;$&quot;* &quot;-&quot;??_);_(@_)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6" formatCode="_(&quot;$&quot;* #,##0_);_(&quot;$&quot;* \(#,##0\);_(&quot;$&quot;* &quot;-&quot;??_);_(@_)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6" formatCode="_(&quot;$&quot;* #,##0_);_(&quot;$&quot;* \(#,##0\);_(&quot;$&quot;* &quot;-&quot;??_);_(@_)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6" formatCode="_(&quot;$&quot;* #,##0_);_(&quot;$&quot;* \(#,##0\);_(&quot;$&quot;* &quot;-&quot;??_);_(@_)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  <vertical/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6" formatCode="_(&quot;$&quot;* #,##0_);_(&quot;$&quot;* \(#,##0\);_(&quot;$&quot;* &quot;-&quot;??_);_(@_)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  <vertical/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6" formatCode="_(&quot;$&quot;* #,##0_);_(&quot;$&quot;* \(#,##0\);_(&quot;$&quot;* &quot;-&quot;??_);_(@_)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  <vertical/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6" formatCode="_(&quot;$&quot;* #,##0_);_(&quot;$&quot;* \(#,##0\);_(&quot;$&quot;* &quot;-&quot;??_);_(@_)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  <vertical/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6" formatCode="_(&quot;$&quot;* #,##0_);_(&quot;$&quot;* \(#,##0\);_(&quot;$&quot;* &quot;-&quot;??_);_(@_)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  <vertical/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3" formatCode="_(* #,##0_);_(* \(#,##0\);_(* &quot;-&quot;_);_(@_)"/>
      <border diagonalUp="0" diagonalDown="0">
        <left style="thin">
          <color auto="1"/>
        </left>
        <right/>
        <top style="thin">
          <color indexed="64"/>
        </top>
        <bottom/>
        <vertical/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6" formatCode="_(&quot;$&quot;* #,##0_);_(&quot;$&quot;* \(#,##0\);_(&quot;$&quot;* &quot;-&quot;??_);_(@_)"/>
      <border diagonalUp="0" diagonalDown="0">
        <left style="thin">
          <color auto="1"/>
        </left>
        <right/>
        <top style="thin">
          <color indexed="64"/>
        </top>
        <bottom/>
        <vertical/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6" formatCode="_(&quot;$&quot;* #,##0_);_(&quot;$&quot;* \(#,##0\);_(&quot;$&quot;* &quot;-&quot;??_);_(@_)"/>
      <border diagonalUp="0" diagonalDown="0">
        <left style="thin">
          <color auto="1"/>
        </left>
        <right/>
        <top style="thin">
          <color indexed="64"/>
        </top>
        <bottom/>
        <vertical/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6" formatCode="_(&quot;$&quot;* #,##0_);_(&quot;$&quot;* \(#,##0\);_(&quot;$&quot;* &quot;-&quot;??_);_(@_)"/>
      <border diagonalUp="0" diagonalDown="0">
        <left style="thin">
          <color auto="1"/>
        </left>
        <right/>
        <top style="thin">
          <color indexed="64"/>
        </top>
        <bottom/>
        <vertical/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5" formatCode="_(* #,##0.00_);_(* \(#,##0.00\);_(* &quot;-&quot;??_);_(@_)"/>
      <border diagonalUp="0" diagonalDown="0">
        <left style="thin">
          <color auto="1"/>
        </left>
        <right/>
        <top style="thin">
          <color indexed="64"/>
        </top>
        <bottom/>
        <vertical/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_(* #,##0_);_(* \(#,##0\);_(* &quot;-&quot;??_);_(@_)"/>
      <border diagonalUp="0" diagonalDown="0">
        <left style="thin">
          <color auto="1"/>
        </left>
        <right/>
        <top style="thin">
          <color indexed="64"/>
        </top>
        <bottom/>
        <vertical/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6" formatCode="_(&quot;$&quot;* #,##0_);_(&quot;$&quot;* \(#,##0\);_(&quot;$&quot;* &quot;-&quot;??_);_(@_)"/>
      <border diagonalUp="0" diagonalDown="0">
        <left style="thin">
          <color auto="1"/>
        </left>
        <right/>
        <top style="thin">
          <color indexed="64"/>
        </top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3" formatCode="_(* #,##0_);_(* \(#,##0\);_(* &quot;-&quot;_);_(@_)"/>
      <border diagonalUp="0" diagonalDown="0">
        <left style="thin">
          <color auto="1"/>
        </left>
        <right/>
        <top style="thin">
          <color indexed="64"/>
        </top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auto="1"/>
        </left>
        <right/>
        <top style="thin">
          <color indexed="64"/>
        </top>
        <bottom/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/>
        <top style="thin">
          <color indexed="64"/>
        </top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border diagonalUp="0" diagonalDown="0">
        <left style="thin">
          <color auto="1"/>
        </left>
        <right/>
        <top style="thin">
          <color indexed="64"/>
        </top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auto="1"/>
        </left>
        <right/>
        <top style="thin">
          <color indexed="64"/>
        </top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auto="1"/>
        </left>
        <right/>
        <top style="thin">
          <color indexed="64"/>
        </top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auto="1"/>
        </left>
        <right/>
        <top style="thin">
          <color indexed="64"/>
        </top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auto="1"/>
        </left>
        <right/>
        <top style="thin">
          <color indexed="64"/>
        </top>
        <bottom/>
        <vertical/>
        <horizontal/>
      </border>
    </dxf>
    <dxf>
      <border diagonalUp="0" diagonalDown="0">
        <left/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/>
        <right/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166" formatCode="_(&quot;$&quot;* #,##0_);_(&quot;$&quot;* \(#,##0\);_(&quot;$&quot;* &quot;-&quot;??_);_(@_)"/>
      <fill>
        <patternFill patternType="solid">
          <fgColor indexed="64"/>
          <bgColor rgb="FF00800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5" formatCode="_(* #,##0_);_(* \(#,##0\);_(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_(* #,##0_);_(* \(#,##0\);_(* &quot;-&quot;??_);_(@_)"/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_(* #,##0_);_(* \(#,##0\);_(* &quot;-&quot;??_);_(@_)"/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_(* #,##0_);_(* \(#,##0\);_(* &quot;-&quot;??_);_(@_)"/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alignment horizontal="right" vertical="bottom" textRotation="0" wrapText="0" indent="0" justifyLastLine="0" shrinkToFit="0" readingOrder="0"/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3" formatCode="_(* #,##0_);_(* \(#,##0\);_(* &quot;-&quot;_);_(@_)"/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6" formatCode="_(&quot;$&quot;* #,##0_);_(&quot;$&quot;* \(#,##0\);_(&quot;$&quot;* &quot;-&quot;??_);_(@_)"/>
      <alignment horizontal="center" vertical="bottom" textRotation="0" wrapText="0" indent="0" justifyLastLine="0" shrinkToFit="0" readingOrder="0"/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rgb="FFC0C0C0"/>
        </left>
        <right/>
        <top style="thin">
          <color rgb="FFC0C0C0"/>
        </top>
        <bottom/>
        <vertical/>
        <horizontal/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/>
        <right/>
        <top style="thin">
          <color rgb="FFC0C0C0"/>
        </top>
        <bottom/>
        <vertical/>
        <horizontal/>
      </border>
    </dxf>
    <dxf>
      <border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00800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6" formatCode="_(&quot;$&quot;* #,##0_);_(&quot;$&quot;* \(#,##0\);_(&quot;$&quot;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6" formatCode="_(&quot;$&quot;* #,##0_);_(&quot;$&quot;* \(#,##0\);_(&quot;$&quot;* &quot;-&quot;??_);_(@_)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6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6" formatCode="_(&quot;$&quot;* #,##0_);_(&quot;$&quot;* \(#,##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6" formatCode="_(&quot;$&quot;* #,##0_);_(&quot;$&quot;* \(#,##0\);_(&quot;$&quot;* &quot;-&quot;??_);_(@_)"/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9" formatCode="0.0000000000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3" formatCode="_(* #,##0_);_(* \(#,##0\);_(* &quot;-&quot;_);_(@_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70" formatCode="0.000000000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3" formatCode="_(* #,##0_);_(* \(#,##0\);_(* &quot;-&quot;_);_(@_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6" formatCode="_(&quot;$&quot;* #,##0_);_(&quot;$&quot;* \(#,##0\);_(&quot;$&quot;* &quot;-&quot;??_);_(@_)"/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6" formatCode="_(&quot;$&quot;* #,##0_);_(&quot;$&quot;* \(#,##0\);_(&quot;$&quot;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>
        <top style="thin">
          <color indexed="64"/>
        </top>
      </border>
    </dxf>
    <dxf>
      <border outline="0">
        <right style="thin">
          <color auto="1"/>
        </right>
        <top style="thin">
          <color indexed="64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6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9" formatCode="&quot;$&quot;#,##0_);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5" formatCode="_(* #,##0.00_);_(* \(#,##0.00\);_(* &quot;-&quot;??_);_(@_)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5" formatCode="_(* #,##0.00_);_(* \(#,##0.00\);_(* &quot;-&quot;??_);_(@_)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5" formatCode="_(* #,##0.00_);_(* \(#,##0.00\);_(* &quot;-&quot;??_);_(@_)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5" formatCode="_(* #,##0.00_);_(* \(#,##0.00\);_(* &quot;-&quot;??_);_(@_)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5" formatCode="_(* #,##0.00_);_(* \(#,##0.00\);_(* &quot;-&quot;??_);_(@_)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5" formatCode="_(* #,##0.00_);_(* \(#,##0.00\);_(* &quot;-&quot;??_);_(@_)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5" formatCode="_(* #,##0.00_);_(* \(#,##0.00\);_(* &quot;-&quot;??_);_(@_)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5" formatCode="_(* #,##0.00_);_(* \(#,##0.00\);_(* &quot;-&quot;??_);_(@_)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5" formatCode="_(* #,##0.00_);_(* \(#,##0.00\);_(* &quot;-&quot;??_);_(@_)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5" formatCode="_(* #,##0.00_);_(* \(#,##0.00\);_(* &quot;-&quot;??_);_(@_)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5" formatCode="_(* #,##0.00_);_(* \(#,##0.00\);_(* &quot;-&quot;??_);_(@_)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5" formatCode="_(* #,##0.00_);_(* \(#,##0.00\);_(* &quot;-&quot;??_);_(@_)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5" formatCode="_(* #,##0.00_);_(* \(#,##0.00\);_(* &quot;-&quot;??_);_(@_)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5" formatCode="_(* #,##0.00_);_(* \(#,##0.00\);_(* &quot;-&quot;??_);_(@_)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5" formatCode="_(* #,##0.00_);_(* \(#,##0.00\);_(* &quot;-&quot;??_);_(@_)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5" formatCode="_(* #,##0.00_);_(* \(#,##0.00\);_(* &quot;-&quot;??_);_(@_)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5" formatCode="_(* #,##0.00_);_(* \(#,##0.00\);_(* &quot;-&quot;??_);_(@_)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5" formatCode="_(* #,##0.00_);_(* \(#,##0.00\);_(* &quot;-&quot;??_);_(@_)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5" formatCode="_(* #,##0.00_);_(* \(#,##0.00\);_(* &quot;-&quot;??_);_(@_)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5" formatCode="_(* #,##0.00_);_(* \(#,##0.00\);_(* &quot;-&quot;??_);_(@_)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5" formatCode="_(* #,##0.00_);_(* \(#,##0.00\);_(* &quot;-&quot;??_);_(@_)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5" formatCode="_(* #,##0.00_);_(* \(#,##0.00\);_(* &quot;-&quot;??_);_(@_)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5" formatCode="_(* #,##0.00_);_(* \(#,##0.00\);_(* &quot;-&quot;??_);_(@_)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5" formatCode="_(* #,##0.00_);_(* \(#,##0.00\);_(* &quot;-&quot;??_);_(@_)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5" formatCode="_(* #,##0.00_);_(* \(#,##0.00\);_(* &quot;-&quot;??_);_(@_)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b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0" formatCode="@"/>
      <fill>
        <patternFill patternType="solid">
          <fgColor indexed="64"/>
          <bgColor rgb="FF00800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numFmt numFmtId="30" formatCode="@"/>
      <fill>
        <patternFill patternType="solid">
          <fgColor rgb="FF000000"/>
          <bgColor rgb="FF00800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numFmt numFmtId="30" formatCode="@"/>
      <fill>
        <patternFill patternType="solid">
          <fgColor rgb="FF000000"/>
          <bgColor rgb="FF00800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0" formatCode="&quot;$&quot;#,##0_);[Red]\(&quot;$&quot;#,##0\)"/>
      <fill>
        <patternFill patternType="none">
          <fgColor indexed="64"/>
          <bgColor auto="1"/>
        </patternFill>
      </fill>
      <alignment horizontal="general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border>
        <top style="thin">
          <color indexed="64"/>
        </top>
      </border>
    </dxf>
    <dxf>
      <border outline="0">
        <top style="double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6" formatCode="_(&quot;$&quot;* #,##0_);_(&quot;$&quot;* \(#,##0\);_(&quot;$&quot;* &quot;-&quot;??_);_(@_)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_(&quot;$&quot;* #,##0_);_(&quot;$&quot;* \(#,##0\);_(&quot;$&quot;* &quot;-&quot;??_);_(@_)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6" formatCode="_(&quot;$&quot;* #,##0_);_(&quot;$&quot;* \(#,##0\);_(&quot;$&quot;* &quot;-&quot;??_);_(@_)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6" formatCode="_(&quot;$&quot;* #,##0_);_(&quot;$&quot;* \(#,##0\);_(&quot;$&quot;* &quot;-&quot;??_);_(@_)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6" formatCode="_(&quot;$&quot;* #,##0_);_(&quot;$&quot;* \(#,##0\);_(&quot;$&quot;* &quot;-&quot;??_);_(@_)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6" formatCode="_(&quot;$&quot;* #,##0_);_(&quot;$&quot;* \(#,##0\);_(&quot;$&quot;* &quot;-&quot;??_);_(@_)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6" formatCode="_(&quot;$&quot;* #,##0_);_(&quot;$&quot;* \(#,##0\);_(&quot;$&quot;* &quot;-&quot;??_);_(@_)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6" formatCode="_(&quot;$&quot;* #,##0_);_(&quot;$&quot;* \(#,##0\);_(&quot;$&quot;* &quot;-&quot;??_);_(@_)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5" formatCode="_(* #,##0.00_);_(* \(#,##0.00\);_(* &quot;-&quot;??_);_(@_)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5" formatCode="_(* #,##0.00_);_(* \(#,##0.00\);_(* &quot;-&quot;??_);_(@_)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5" formatCode="_(* #,##0.00_);_(* \(#,##0.00\);_(* &quot;-&quot;??_);_(@_)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5" formatCode="_(* #,##0.00_);_(* \(#,##0.00\);_(* &quot;-&quot;??_);_(@_)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5" formatCode="_(* #,##0.00_);_(* \(#,##0.00\);_(* &quot;-&quot;??_);_(@_)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5" formatCode="_(* #,##0.00_);_(* \(#,##0.00\);_(* &quot;-&quot;??_);_(@_)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font>
        <b/>
      </font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0" formatCode="@"/>
      <fill>
        <patternFill patternType="solid">
          <fgColor indexed="64"/>
          <bgColor rgb="FF00800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de.ca.gov/DATA/CAAR/1-CATEGORICAL/State%20Fiscal%20Stabilization%20Fund%20SFSF/2008-09/Categorical%20Reductions/Master%20file/MASTER%20ABx3%2056%20Backfil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BACKUP%20Step3.%202008-09%20AMBG%20Ent%20Calc.,2nd%20App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FSF Backfill ABx3 56 Entit"/>
      <sheetName val="Zero Backfill Removed"/>
      <sheetName val="Backfill ABx3 56 All LEAs"/>
      <sheetName val="108-MHHSC"/>
      <sheetName val="137-MRPD"/>
      <sheetName val="137-MRPD-EL"/>
      <sheetName val="232-CSR 9"/>
      <sheetName val="228-SSVPP"/>
      <sheetName val="244-TCBG "/>
      <sheetName val="265-AMBG"/>
      <sheetName val="Closed Char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"/>
      <sheetName val="1.Validated 2008 CBEDs"/>
      <sheetName val="2.Virtual Academy-Decl Removed"/>
      <sheetName val="3.Rvsd Ent Calc -School Level"/>
      <sheetName val="3a.Ent Calc-SchLev No DFCS"/>
      <sheetName val="3b.Ent Calc. DFCS Only"/>
      <sheetName val="4a. Rvsd LEA Ent -No DFCS"/>
      <sheetName val="4b.Rvsd LEA Ent w DFCS"/>
      <sheetName val="5.Tracking"/>
      <sheetName val="5a.1st Appt"/>
      <sheetName val="6.2nd Appt"/>
      <sheetName val="Reconciliation"/>
      <sheetName val="Import Data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Co_Code</v>
          </cell>
          <cell r="B1" t="str">
            <v>Dist_Code</v>
          </cell>
          <cell r="C1" t="str">
            <v>county</v>
          </cell>
          <cell r="D1" t="str">
            <v>district</v>
          </cell>
          <cell r="E1" t="str">
            <v>Sum Of 2008 CBEDS Total K-12 &amp; Adults</v>
          </cell>
          <cell r="F1" t="str">
            <v>Sum Of Total Entitlement (Sum of G + I + J)</v>
          </cell>
          <cell r="G1" t="str">
            <v>Count Of 2008-09, 2nd Appt Ent Calc-SchLev No DFCS</v>
          </cell>
        </row>
        <row r="2">
          <cell r="A2" t="str">
            <v>01</v>
          </cell>
          <cell r="B2" t="str">
            <v>10017</v>
          </cell>
          <cell r="C2" t="str">
            <v>Alameda</v>
          </cell>
          <cell r="D2" t="str">
            <v>Alameda County Office of Education</v>
          </cell>
          <cell r="E2">
            <v>597</v>
          </cell>
          <cell r="F2">
            <v>12755</v>
          </cell>
          <cell r="G2">
            <v>3</v>
          </cell>
        </row>
        <row r="3">
          <cell r="A3" t="str">
            <v>01</v>
          </cell>
          <cell r="B3" t="str">
            <v>31609</v>
          </cell>
          <cell r="C3" t="str">
            <v>Alameda</v>
          </cell>
          <cell r="D3" t="str">
            <v>California School for the Blind (State Special Schl)</v>
          </cell>
          <cell r="E3">
            <v>71</v>
          </cell>
          <cell r="F3">
            <v>3564</v>
          </cell>
          <cell r="G3">
            <v>1</v>
          </cell>
        </row>
        <row r="4">
          <cell r="A4" t="str">
            <v>01</v>
          </cell>
          <cell r="B4" t="str">
            <v>31617</v>
          </cell>
          <cell r="C4" t="str">
            <v>Alameda</v>
          </cell>
          <cell r="D4" t="str">
            <v>California School for the Deaf-Fremont (State Special Schl)</v>
          </cell>
          <cell r="E4">
            <v>411</v>
          </cell>
          <cell r="F4">
            <v>6987</v>
          </cell>
          <cell r="G4">
            <v>1</v>
          </cell>
        </row>
        <row r="5">
          <cell r="A5" t="str">
            <v>01</v>
          </cell>
          <cell r="B5" t="str">
            <v>61119</v>
          </cell>
          <cell r="C5" t="str">
            <v>Alameda</v>
          </cell>
          <cell r="D5" t="str">
            <v>Alameda City Unified</v>
          </cell>
          <cell r="E5">
            <v>10150</v>
          </cell>
          <cell r="F5">
            <v>174343</v>
          </cell>
          <cell r="G5">
            <v>18</v>
          </cell>
        </row>
        <row r="6">
          <cell r="A6" t="str">
            <v>01</v>
          </cell>
          <cell r="B6" t="str">
            <v>61127</v>
          </cell>
          <cell r="C6" t="str">
            <v>Alameda</v>
          </cell>
          <cell r="D6" t="str">
            <v>Albany City Unified</v>
          </cell>
          <cell r="E6">
            <v>3830</v>
          </cell>
          <cell r="F6">
            <v>67758</v>
          </cell>
          <cell r="G6">
            <v>6</v>
          </cell>
        </row>
        <row r="7">
          <cell r="A7" t="str">
            <v>01</v>
          </cell>
          <cell r="B7" t="str">
            <v>61143</v>
          </cell>
          <cell r="C7" t="str">
            <v>Alameda</v>
          </cell>
          <cell r="D7" t="str">
            <v>Berkeley Unified</v>
          </cell>
          <cell r="E7">
            <v>8922</v>
          </cell>
          <cell r="F7">
            <v>153218</v>
          </cell>
          <cell r="G7">
            <v>16</v>
          </cell>
        </row>
        <row r="8">
          <cell r="A8" t="str">
            <v>01</v>
          </cell>
          <cell r="B8" t="str">
            <v>61150</v>
          </cell>
          <cell r="C8" t="str">
            <v>Alameda</v>
          </cell>
          <cell r="D8" t="str">
            <v>Castro Valley Unified</v>
          </cell>
          <cell r="E8">
            <v>8896</v>
          </cell>
          <cell r="F8">
            <v>158053</v>
          </cell>
          <cell r="G8">
            <v>15</v>
          </cell>
        </row>
        <row r="9">
          <cell r="A9" t="str">
            <v>01</v>
          </cell>
          <cell r="B9" t="str">
            <v>61168</v>
          </cell>
          <cell r="C9" t="str">
            <v>Alameda</v>
          </cell>
          <cell r="D9" t="str">
            <v>Emery Unified</v>
          </cell>
          <cell r="E9">
            <v>783</v>
          </cell>
          <cell r="F9">
            <v>13311</v>
          </cell>
          <cell r="G9">
            <v>2</v>
          </cell>
        </row>
        <row r="10">
          <cell r="A10" t="str">
            <v>01</v>
          </cell>
          <cell r="B10" t="str">
            <v>61176</v>
          </cell>
          <cell r="C10" t="str">
            <v>Alameda</v>
          </cell>
          <cell r="D10" t="str">
            <v>Fremont Unified</v>
          </cell>
          <cell r="E10">
            <v>32083</v>
          </cell>
          <cell r="F10">
            <v>547716</v>
          </cell>
          <cell r="G10">
            <v>41</v>
          </cell>
        </row>
        <row r="11">
          <cell r="A11" t="str">
            <v>01</v>
          </cell>
          <cell r="B11" t="str">
            <v>61192</v>
          </cell>
          <cell r="C11" t="str">
            <v>Alameda</v>
          </cell>
          <cell r="D11" t="str">
            <v>Hayward Unified</v>
          </cell>
          <cell r="E11">
            <v>21396</v>
          </cell>
          <cell r="F11">
            <v>365271</v>
          </cell>
          <cell r="G11">
            <v>31</v>
          </cell>
        </row>
        <row r="12">
          <cell r="A12" t="str">
            <v>01</v>
          </cell>
          <cell r="B12" t="str">
            <v>61200</v>
          </cell>
          <cell r="C12" t="str">
            <v>Alameda</v>
          </cell>
          <cell r="D12" t="str">
            <v>Livermore Valley Joint Unified</v>
          </cell>
          <cell r="E12">
            <v>13089</v>
          </cell>
          <cell r="F12">
            <v>228058</v>
          </cell>
          <cell r="G12">
            <v>19</v>
          </cell>
        </row>
        <row r="13">
          <cell r="A13" t="str">
            <v>01</v>
          </cell>
          <cell r="B13" t="str">
            <v>61218</v>
          </cell>
          <cell r="C13" t="str">
            <v>Alameda</v>
          </cell>
          <cell r="D13" t="str">
            <v>Mountain House Elementary</v>
          </cell>
          <cell r="E13">
            <v>42</v>
          </cell>
          <cell r="F13">
            <v>3564</v>
          </cell>
          <cell r="G13">
            <v>1</v>
          </cell>
        </row>
        <row r="14">
          <cell r="A14" t="str">
            <v>01</v>
          </cell>
          <cell r="B14" t="str">
            <v>61234</v>
          </cell>
          <cell r="C14" t="str">
            <v>Alameda</v>
          </cell>
          <cell r="D14" t="str">
            <v>Newark Unified</v>
          </cell>
          <cell r="E14">
            <v>7170</v>
          </cell>
          <cell r="F14">
            <v>130416</v>
          </cell>
          <cell r="G14">
            <v>14</v>
          </cell>
        </row>
        <row r="15">
          <cell r="A15" t="str">
            <v>01</v>
          </cell>
          <cell r="B15" t="str">
            <v>61242</v>
          </cell>
          <cell r="C15" t="str">
            <v>Alameda</v>
          </cell>
          <cell r="D15" t="str">
            <v>New Haven Unified</v>
          </cell>
          <cell r="E15">
            <v>12900</v>
          </cell>
          <cell r="F15">
            <v>227725</v>
          </cell>
          <cell r="G15">
            <v>14</v>
          </cell>
        </row>
        <row r="16">
          <cell r="A16" t="str">
            <v>01</v>
          </cell>
          <cell r="B16" t="str">
            <v>61259</v>
          </cell>
          <cell r="C16" t="str">
            <v>Alameda</v>
          </cell>
          <cell r="D16" t="str">
            <v>Oakland Unified</v>
          </cell>
          <cell r="E16">
            <v>39529</v>
          </cell>
          <cell r="F16">
            <v>718541</v>
          </cell>
          <cell r="G16">
            <v>117</v>
          </cell>
        </row>
        <row r="17">
          <cell r="A17" t="str">
            <v>01</v>
          </cell>
          <cell r="B17" t="str">
            <v>61275</v>
          </cell>
          <cell r="C17" t="str">
            <v>Alameda</v>
          </cell>
          <cell r="D17" t="str">
            <v>Piedmont City Unified</v>
          </cell>
          <cell r="E17">
            <v>2526</v>
          </cell>
          <cell r="F17">
            <v>45147</v>
          </cell>
          <cell r="G17">
            <v>6</v>
          </cell>
        </row>
        <row r="18">
          <cell r="A18" t="str">
            <v>01</v>
          </cell>
          <cell r="B18" t="str">
            <v>61291</v>
          </cell>
          <cell r="C18" t="str">
            <v>Alameda</v>
          </cell>
          <cell r="D18" t="str">
            <v>San Leandro Unified</v>
          </cell>
          <cell r="E18">
            <v>8777</v>
          </cell>
          <cell r="F18">
            <v>151384</v>
          </cell>
          <cell r="G18">
            <v>12</v>
          </cell>
        </row>
        <row r="19">
          <cell r="A19" t="str">
            <v>01</v>
          </cell>
          <cell r="B19" t="str">
            <v>61309</v>
          </cell>
          <cell r="C19" t="str">
            <v>Alameda</v>
          </cell>
          <cell r="D19" t="str">
            <v>San Lorenzo Unified</v>
          </cell>
          <cell r="E19">
            <v>11392</v>
          </cell>
          <cell r="F19">
            <v>194903</v>
          </cell>
          <cell r="G19">
            <v>16</v>
          </cell>
        </row>
        <row r="20">
          <cell r="A20" t="str">
            <v>01</v>
          </cell>
          <cell r="B20" t="str">
            <v>75093</v>
          </cell>
          <cell r="C20" t="str">
            <v>Alameda</v>
          </cell>
          <cell r="D20" t="str">
            <v>Dublin Unified</v>
          </cell>
          <cell r="E20">
            <v>5739</v>
          </cell>
          <cell r="F20">
            <v>99786</v>
          </cell>
          <cell r="G20">
            <v>9</v>
          </cell>
        </row>
        <row r="21">
          <cell r="A21" t="str">
            <v>01</v>
          </cell>
          <cell r="B21" t="str">
            <v>75101</v>
          </cell>
          <cell r="C21" t="str">
            <v>Alameda</v>
          </cell>
          <cell r="D21" t="str">
            <v>Pleasanton Unified</v>
          </cell>
          <cell r="E21">
            <v>14795</v>
          </cell>
          <cell r="F21">
            <v>254910</v>
          </cell>
          <cell r="G21">
            <v>16</v>
          </cell>
        </row>
        <row r="22">
          <cell r="A22" t="str">
            <v>01</v>
          </cell>
          <cell r="B22" t="str">
            <v>75119</v>
          </cell>
          <cell r="C22" t="str">
            <v>Alameda</v>
          </cell>
          <cell r="D22" t="str">
            <v>Sunol Glen Unified</v>
          </cell>
          <cell r="E22">
            <v>232</v>
          </cell>
          <cell r="F22">
            <v>3944</v>
          </cell>
          <cell r="G22">
            <v>1</v>
          </cell>
        </row>
        <row r="23">
          <cell r="A23" t="str">
            <v>02</v>
          </cell>
          <cell r="B23" t="str">
            <v>61333</v>
          </cell>
          <cell r="C23" t="str">
            <v>Alpine</v>
          </cell>
          <cell r="D23" t="str">
            <v>Alpine County Unified</v>
          </cell>
          <cell r="E23">
            <v>129</v>
          </cell>
          <cell r="F23">
            <v>14704</v>
          </cell>
          <cell r="G23">
            <v>6</v>
          </cell>
        </row>
        <row r="24">
          <cell r="A24" t="str">
            <v>03</v>
          </cell>
          <cell r="B24" t="str">
            <v>10033</v>
          </cell>
          <cell r="C24" t="str">
            <v>Amador</v>
          </cell>
          <cell r="D24" t="str">
            <v>Amador County Office of Education</v>
          </cell>
          <cell r="E24">
            <v>203</v>
          </cell>
          <cell r="F24">
            <v>7128</v>
          </cell>
          <cell r="G24">
            <v>2</v>
          </cell>
        </row>
        <row r="25">
          <cell r="A25" t="str">
            <v>03</v>
          </cell>
          <cell r="B25" t="str">
            <v>73981</v>
          </cell>
          <cell r="C25" t="str">
            <v>Amador</v>
          </cell>
          <cell r="D25" t="str">
            <v>Amador County Unified</v>
          </cell>
          <cell r="E25">
            <v>4390</v>
          </cell>
          <cell r="F25">
            <v>79509</v>
          </cell>
          <cell r="G25">
            <v>12</v>
          </cell>
        </row>
        <row r="26">
          <cell r="A26" t="str">
            <v>04</v>
          </cell>
          <cell r="B26" t="str">
            <v>10041</v>
          </cell>
          <cell r="C26" t="str">
            <v>Butte</v>
          </cell>
          <cell r="D26" t="str">
            <v>Butte County Office of Education</v>
          </cell>
          <cell r="E26">
            <v>590</v>
          </cell>
          <cell r="F26">
            <v>14999</v>
          </cell>
          <cell r="G26">
            <v>3</v>
          </cell>
        </row>
        <row r="27">
          <cell r="A27" t="str">
            <v>04</v>
          </cell>
          <cell r="B27" t="str">
            <v>61382</v>
          </cell>
          <cell r="C27" t="str">
            <v>Butte</v>
          </cell>
          <cell r="D27" t="str">
            <v>Bangor Union Elementary</v>
          </cell>
          <cell r="E27">
            <v>125</v>
          </cell>
          <cell r="F27">
            <v>3564</v>
          </cell>
          <cell r="G27">
            <v>1</v>
          </cell>
        </row>
        <row r="28">
          <cell r="A28" t="str">
            <v>04</v>
          </cell>
          <cell r="B28" t="str">
            <v>61408</v>
          </cell>
          <cell r="C28" t="str">
            <v>Butte</v>
          </cell>
          <cell r="D28" t="str">
            <v>Biggs Unified</v>
          </cell>
          <cell r="E28">
            <v>551</v>
          </cell>
          <cell r="F28">
            <v>18820</v>
          </cell>
          <cell r="G28">
            <v>6</v>
          </cell>
        </row>
        <row r="29">
          <cell r="A29" t="str">
            <v>04</v>
          </cell>
          <cell r="B29" t="str">
            <v>61424</v>
          </cell>
          <cell r="C29" t="str">
            <v>Butte</v>
          </cell>
          <cell r="D29" t="str">
            <v>Chico Unified</v>
          </cell>
          <cell r="E29">
            <v>12845</v>
          </cell>
          <cell r="F29">
            <v>224300</v>
          </cell>
          <cell r="G29">
            <v>21</v>
          </cell>
        </row>
        <row r="30">
          <cell r="A30" t="str">
            <v>04</v>
          </cell>
          <cell r="B30" t="str">
            <v>61432</v>
          </cell>
          <cell r="C30" t="str">
            <v>Butte</v>
          </cell>
          <cell r="D30" t="str">
            <v>Durham Unified</v>
          </cell>
          <cell r="E30">
            <v>1097</v>
          </cell>
          <cell r="F30">
            <v>20792</v>
          </cell>
          <cell r="G30">
            <v>4</v>
          </cell>
        </row>
        <row r="31">
          <cell r="A31" t="str">
            <v>04</v>
          </cell>
          <cell r="B31" t="str">
            <v>61440</v>
          </cell>
          <cell r="C31" t="str">
            <v>Butte</v>
          </cell>
          <cell r="D31" t="str">
            <v>Feather Falls Union Elementary</v>
          </cell>
          <cell r="E31">
            <v>27</v>
          </cell>
          <cell r="F31">
            <v>3564</v>
          </cell>
          <cell r="G31">
            <v>1</v>
          </cell>
        </row>
        <row r="32">
          <cell r="A32" t="str">
            <v>04</v>
          </cell>
          <cell r="B32" t="str">
            <v>61457</v>
          </cell>
          <cell r="C32" t="str">
            <v>Butte</v>
          </cell>
          <cell r="D32" t="str">
            <v>Golden Feather Union Elementary</v>
          </cell>
          <cell r="E32">
            <v>133</v>
          </cell>
          <cell r="F32">
            <v>9356</v>
          </cell>
          <cell r="G32">
            <v>3</v>
          </cell>
        </row>
        <row r="33">
          <cell r="A33" t="str">
            <v>04</v>
          </cell>
          <cell r="B33" t="str">
            <v>61499</v>
          </cell>
          <cell r="C33" t="str">
            <v>Butte</v>
          </cell>
          <cell r="D33" t="str">
            <v>Manzanita Elementary</v>
          </cell>
          <cell r="E33">
            <v>262</v>
          </cell>
          <cell r="F33">
            <v>4454</v>
          </cell>
          <cell r="G33">
            <v>1</v>
          </cell>
        </row>
        <row r="34">
          <cell r="A34" t="str">
            <v>04</v>
          </cell>
          <cell r="B34" t="str">
            <v>61507</v>
          </cell>
          <cell r="C34" t="str">
            <v>Butte</v>
          </cell>
          <cell r="D34" t="str">
            <v>Oroville City Elementary</v>
          </cell>
          <cell r="E34">
            <v>2773</v>
          </cell>
          <cell r="F34">
            <v>48699</v>
          </cell>
          <cell r="G34">
            <v>7</v>
          </cell>
        </row>
        <row r="35">
          <cell r="A35" t="str">
            <v>04</v>
          </cell>
          <cell r="B35" t="str">
            <v>61515</v>
          </cell>
          <cell r="C35" t="str">
            <v>Butte</v>
          </cell>
          <cell r="D35" t="str">
            <v>Oroville Union High</v>
          </cell>
          <cell r="E35">
            <v>2870</v>
          </cell>
          <cell r="F35">
            <v>54044</v>
          </cell>
          <cell r="G35">
            <v>5</v>
          </cell>
        </row>
        <row r="36">
          <cell r="A36" t="str">
            <v>04</v>
          </cell>
          <cell r="B36" t="str">
            <v>61523</v>
          </cell>
          <cell r="C36" t="str">
            <v>Butte</v>
          </cell>
          <cell r="D36" t="str">
            <v>Palermo Union Elementary</v>
          </cell>
          <cell r="E36">
            <v>1341</v>
          </cell>
          <cell r="F36">
            <v>29124</v>
          </cell>
          <cell r="G36">
            <v>6</v>
          </cell>
        </row>
        <row r="37">
          <cell r="A37" t="str">
            <v>04</v>
          </cell>
          <cell r="B37" t="str">
            <v>61531</v>
          </cell>
          <cell r="C37" t="str">
            <v>Butte</v>
          </cell>
          <cell r="D37" t="str">
            <v>Paradise Unified</v>
          </cell>
          <cell r="E37">
            <v>4498</v>
          </cell>
          <cell r="F37">
            <v>85291</v>
          </cell>
          <cell r="G37">
            <v>12</v>
          </cell>
        </row>
        <row r="38">
          <cell r="A38" t="str">
            <v>04</v>
          </cell>
          <cell r="B38" t="str">
            <v>61549</v>
          </cell>
          <cell r="C38" t="str">
            <v>Butte</v>
          </cell>
          <cell r="D38" t="str">
            <v>Thermalito Union Elementary</v>
          </cell>
          <cell r="E38">
            <v>1416</v>
          </cell>
          <cell r="F38">
            <v>28341</v>
          </cell>
          <cell r="G38">
            <v>6</v>
          </cell>
        </row>
        <row r="39">
          <cell r="A39" t="str">
            <v>04</v>
          </cell>
          <cell r="B39" t="str">
            <v>73379</v>
          </cell>
          <cell r="C39" t="str">
            <v>Butte</v>
          </cell>
          <cell r="D39" t="str">
            <v>Pioneer Union Elementary</v>
          </cell>
          <cell r="E39">
            <v>98</v>
          </cell>
          <cell r="F39">
            <v>5792</v>
          </cell>
          <cell r="G39">
            <v>2</v>
          </cell>
        </row>
        <row r="40">
          <cell r="A40" t="str">
            <v>04</v>
          </cell>
          <cell r="B40" t="str">
            <v>75507</v>
          </cell>
          <cell r="C40" t="str">
            <v>Butte</v>
          </cell>
          <cell r="D40" t="str">
            <v>Gridley Unified</v>
          </cell>
          <cell r="E40">
            <v>2115</v>
          </cell>
          <cell r="F40">
            <v>42700</v>
          </cell>
          <cell r="G40">
            <v>7</v>
          </cell>
        </row>
        <row r="41">
          <cell r="A41" t="str">
            <v>05</v>
          </cell>
          <cell r="B41" t="str">
            <v>10058</v>
          </cell>
          <cell r="C41" t="str">
            <v>Calaveras</v>
          </cell>
          <cell r="D41" t="str">
            <v>Calaveras County Office of Education</v>
          </cell>
          <cell r="E41">
            <v>497</v>
          </cell>
          <cell r="F41">
            <v>18112</v>
          </cell>
          <cell r="G41">
            <v>5</v>
          </cell>
        </row>
        <row r="42">
          <cell r="A42" t="str">
            <v>05</v>
          </cell>
          <cell r="B42" t="str">
            <v>61556</v>
          </cell>
          <cell r="C42" t="str">
            <v>Calaveras</v>
          </cell>
          <cell r="D42" t="str">
            <v>Bret Harte Union High</v>
          </cell>
          <cell r="E42">
            <v>863</v>
          </cell>
          <cell r="F42">
            <v>20593</v>
          </cell>
          <cell r="G42">
            <v>3</v>
          </cell>
        </row>
        <row r="43">
          <cell r="A43" t="str">
            <v>05</v>
          </cell>
          <cell r="B43" t="str">
            <v>61564</v>
          </cell>
          <cell r="C43" t="str">
            <v>Calaveras</v>
          </cell>
          <cell r="D43" t="str">
            <v>Calaveras Unified</v>
          </cell>
          <cell r="E43">
            <v>3562</v>
          </cell>
          <cell r="F43">
            <v>76430</v>
          </cell>
          <cell r="G43">
            <v>13</v>
          </cell>
        </row>
        <row r="44">
          <cell r="A44" t="str">
            <v>05</v>
          </cell>
          <cell r="B44" t="str">
            <v>61572</v>
          </cell>
          <cell r="C44" t="str">
            <v>Calaveras</v>
          </cell>
          <cell r="D44" t="str">
            <v>Mark Twain Union Elementary</v>
          </cell>
          <cell r="E44">
            <v>791</v>
          </cell>
          <cell r="F44">
            <v>13447</v>
          </cell>
          <cell r="G44">
            <v>2</v>
          </cell>
        </row>
        <row r="45">
          <cell r="A45" t="str">
            <v>05</v>
          </cell>
          <cell r="B45" t="str">
            <v>61580</v>
          </cell>
          <cell r="C45" t="str">
            <v>Calaveras</v>
          </cell>
          <cell r="D45" t="str">
            <v>Vallecito Union</v>
          </cell>
          <cell r="E45">
            <v>795</v>
          </cell>
          <cell r="F45">
            <v>17801</v>
          </cell>
          <cell r="G45">
            <v>5</v>
          </cell>
        </row>
        <row r="46">
          <cell r="A46" t="str">
            <v>06</v>
          </cell>
          <cell r="B46" t="str">
            <v>10066</v>
          </cell>
          <cell r="C46" t="str">
            <v>Colusa</v>
          </cell>
          <cell r="D46" t="str">
            <v>Colusa County Office of Education</v>
          </cell>
          <cell r="E46">
            <v>177</v>
          </cell>
          <cell r="F46">
            <v>11584</v>
          </cell>
          <cell r="G46">
            <v>4</v>
          </cell>
        </row>
        <row r="47">
          <cell r="A47" t="str">
            <v>06</v>
          </cell>
          <cell r="B47" t="str">
            <v>61598</v>
          </cell>
          <cell r="C47" t="str">
            <v>Colusa</v>
          </cell>
          <cell r="D47" t="str">
            <v>Colusa Unified</v>
          </cell>
          <cell r="E47">
            <v>1394</v>
          </cell>
          <cell r="F47">
            <v>28939</v>
          </cell>
          <cell r="G47">
            <v>5</v>
          </cell>
        </row>
        <row r="48">
          <cell r="A48" t="str">
            <v>06</v>
          </cell>
          <cell r="B48" t="str">
            <v>61606</v>
          </cell>
          <cell r="C48" t="str">
            <v>Colusa</v>
          </cell>
          <cell r="D48" t="str">
            <v>Maxwell Unified</v>
          </cell>
          <cell r="E48">
            <v>422</v>
          </cell>
          <cell r="F48">
            <v>10382</v>
          </cell>
          <cell r="G48">
            <v>3</v>
          </cell>
        </row>
        <row r="49">
          <cell r="A49" t="str">
            <v>06</v>
          </cell>
          <cell r="B49" t="str">
            <v>61614</v>
          </cell>
          <cell r="C49" t="str">
            <v>Colusa</v>
          </cell>
          <cell r="D49" t="str">
            <v>Pierce Joint Unified</v>
          </cell>
          <cell r="E49">
            <v>1296</v>
          </cell>
          <cell r="F49">
            <v>26260</v>
          </cell>
          <cell r="G49">
            <v>5</v>
          </cell>
        </row>
        <row r="50">
          <cell r="A50" t="str">
            <v>06</v>
          </cell>
          <cell r="B50" t="str">
            <v>61622</v>
          </cell>
          <cell r="C50" t="str">
            <v>Colusa</v>
          </cell>
          <cell r="D50" t="str">
            <v>Williams Unified</v>
          </cell>
          <cell r="E50">
            <v>1218</v>
          </cell>
          <cell r="F50">
            <v>24604</v>
          </cell>
          <cell r="G50">
            <v>5</v>
          </cell>
        </row>
        <row r="51">
          <cell r="A51" t="str">
            <v>07</v>
          </cell>
          <cell r="B51" t="str">
            <v>10074</v>
          </cell>
          <cell r="C51" t="str">
            <v>Contra Costa</v>
          </cell>
          <cell r="D51" t="str">
            <v>Contra Costa County Office of Education</v>
          </cell>
          <cell r="E51">
            <v>958</v>
          </cell>
          <cell r="F51">
            <v>25719</v>
          </cell>
          <cell r="G51">
            <v>7</v>
          </cell>
        </row>
        <row r="52">
          <cell r="A52" t="str">
            <v>07</v>
          </cell>
          <cell r="B52" t="str">
            <v>61630</v>
          </cell>
          <cell r="C52" t="str">
            <v>Contra Costa</v>
          </cell>
          <cell r="D52" t="str">
            <v>Acalanes Union High</v>
          </cell>
          <cell r="E52">
            <v>5697</v>
          </cell>
          <cell r="F52">
            <v>101686</v>
          </cell>
          <cell r="G52">
            <v>6</v>
          </cell>
        </row>
        <row r="53">
          <cell r="A53" t="str">
            <v>07</v>
          </cell>
          <cell r="B53" t="str">
            <v>61648</v>
          </cell>
          <cell r="C53" t="str">
            <v>Contra Costa</v>
          </cell>
          <cell r="D53" t="str">
            <v>Antioch Unified</v>
          </cell>
          <cell r="E53">
            <v>19262</v>
          </cell>
          <cell r="F53">
            <v>333633</v>
          </cell>
          <cell r="G53">
            <v>26</v>
          </cell>
        </row>
        <row r="54">
          <cell r="A54" t="str">
            <v>07</v>
          </cell>
          <cell r="B54" t="str">
            <v>61655</v>
          </cell>
          <cell r="C54" t="str">
            <v>Contra Costa</v>
          </cell>
          <cell r="D54" t="str">
            <v>Brentwood Union Elementary</v>
          </cell>
          <cell r="E54">
            <v>8247</v>
          </cell>
          <cell r="F54">
            <v>140206</v>
          </cell>
          <cell r="G54">
            <v>10</v>
          </cell>
        </row>
        <row r="55">
          <cell r="A55" t="str">
            <v>07</v>
          </cell>
          <cell r="B55" t="str">
            <v>61663</v>
          </cell>
          <cell r="C55" t="str">
            <v>Contra Costa</v>
          </cell>
          <cell r="D55" t="str">
            <v>Byron Union Elementary</v>
          </cell>
          <cell r="E55">
            <v>1666</v>
          </cell>
          <cell r="F55">
            <v>28322</v>
          </cell>
          <cell r="G55">
            <v>3</v>
          </cell>
        </row>
        <row r="56">
          <cell r="A56" t="str">
            <v>07</v>
          </cell>
          <cell r="B56" t="str">
            <v>61671</v>
          </cell>
          <cell r="C56" t="str">
            <v>Contra Costa</v>
          </cell>
          <cell r="D56" t="str">
            <v>Canyon Elementary</v>
          </cell>
          <cell r="E56">
            <v>68</v>
          </cell>
          <cell r="F56">
            <v>3564</v>
          </cell>
          <cell r="G56">
            <v>1</v>
          </cell>
        </row>
        <row r="57">
          <cell r="A57" t="str">
            <v>07</v>
          </cell>
          <cell r="B57" t="str">
            <v>61697</v>
          </cell>
          <cell r="C57" t="str">
            <v>Contra Costa</v>
          </cell>
          <cell r="D57" t="str">
            <v>John Swett Unified</v>
          </cell>
          <cell r="E57">
            <v>1702</v>
          </cell>
          <cell r="F57">
            <v>31767</v>
          </cell>
          <cell r="G57">
            <v>4</v>
          </cell>
        </row>
        <row r="58">
          <cell r="A58" t="str">
            <v>07</v>
          </cell>
          <cell r="B58" t="str">
            <v>61705</v>
          </cell>
          <cell r="C58" t="str">
            <v>Contra Costa</v>
          </cell>
          <cell r="D58" t="str">
            <v>Knightsen Elementary</v>
          </cell>
          <cell r="E58">
            <v>500</v>
          </cell>
          <cell r="F58">
            <v>9939</v>
          </cell>
          <cell r="G58">
            <v>2</v>
          </cell>
        </row>
        <row r="59">
          <cell r="A59" t="str">
            <v>07</v>
          </cell>
          <cell r="B59" t="str">
            <v>61713</v>
          </cell>
          <cell r="C59" t="str">
            <v>Contra Costa</v>
          </cell>
          <cell r="D59" t="str">
            <v>Lafayette Elementary</v>
          </cell>
          <cell r="E59">
            <v>3205</v>
          </cell>
          <cell r="F59">
            <v>54486</v>
          </cell>
          <cell r="G59">
            <v>5</v>
          </cell>
        </row>
        <row r="60">
          <cell r="A60" t="str">
            <v>07</v>
          </cell>
          <cell r="B60" t="str">
            <v>61721</v>
          </cell>
          <cell r="C60" t="str">
            <v>Contra Costa</v>
          </cell>
          <cell r="D60" t="str">
            <v>Liberty Union High</v>
          </cell>
          <cell r="E60">
            <v>6980</v>
          </cell>
          <cell r="F60">
            <v>118664</v>
          </cell>
          <cell r="G60">
            <v>5</v>
          </cell>
        </row>
        <row r="61">
          <cell r="A61" t="str">
            <v>07</v>
          </cell>
          <cell r="B61" t="str">
            <v>61739</v>
          </cell>
          <cell r="C61" t="str">
            <v>Contra Costa</v>
          </cell>
          <cell r="D61" t="str">
            <v>Martinez Unified</v>
          </cell>
          <cell r="E61">
            <v>3975</v>
          </cell>
          <cell r="F61">
            <v>71509</v>
          </cell>
          <cell r="G61">
            <v>8</v>
          </cell>
        </row>
        <row r="62">
          <cell r="A62" t="str">
            <v>07</v>
          </cell>
          <cell r="B62" t="str">
            <v>61747</v>
          </cell>
          <cell r="C62" t="str">
            <v>Contra Costa</v>
          </cell>
          <cell r="D62" t="str">
            <v>Moraga Elementary</v>
          </cell>
          <cell r="E62">
            <v>1734</v>
          </cell>
          <cell r="F62">
            <v>29478</v>
          </cell>
          <cell r="G62">
            <v>4</v>
          </cell>
        </row>
        <row r="63">
          <cell r="A63" t="str">
            <v>07</v>
          </cell>
          <cell r="B63" t="str">
            <v>61754</v>
          </cell>
          <cell r="C63" t="str">
            <v>Contra Costa</v>
          </cell>
          <cell r="D63" t="str">
            <v>Mt. Diablo Unified</v>
          </cell>
          <cell r="E63">
            <v>34813</v>
          </cell>
          <cell r="F63">
            <v>612163</v>
          </cell>
          <cell r="G63">
            <v>55</v>
          </cell>
        </row>
        <row r="64">
          <cell r="A64" t="str">
            <v>07</v>
          </cell>
          <cell r="B64" t="str">
            <v>61762</v>
          </cell>
          <cell r="C64" t="str">
            <v>Contra Costa</v>
          </cell>
          <cell r="D64" t="str">
            <v>Oakley Union Elementary</v>
          </cell>
          <cell r="E64">
            <v>4601</v>
          </cell>
          <cell r="F64">
            <v>78218</v>
          </cell>
          <cell r="G64">
            <v>7</v>
          </cell>
        </row>
        <row r="65">
          <cell r="A65" t="str">
            <v>07</v>
          </cell>
          <cell r="B65" t="str">
            <v>61770</v>
          </cell>
          <cell r="C65" t="str">
            <v>Contra Costa</v>
          </cell>
          <cell r="D65" t="str">
            <v>Orinda Union Elementary</v>
          </cell>
          <cell r="E65">
            <v>2422</v>
          </cell>
          <cell r="F65">
            <v>41175</v>
          </cell>
          <cell r="G65">
            <v>5</v>
          </cell>
        </row>
        <row r="66">
          <cell r="A66" t="str">
            <v>07</v>
          </cell>
          <cell r="B66" t="str">
            <v>61788</v>
          </cell>
          <cell r="C66" t="str">
            <v>Contra Costa</v>
          </cell>
          <cell r="D66" t="str">
            <v>Pittsburg Unified</v>
          </cell>
          <cell r="E66">
            <v>9530</v>
          </cell>
          <cell r="F66">
            <v>162014</v>
          </cell>
          <cell r="G66">
            <v>12</v>
          </cell>
        </row>
        <row r="67">
          <cell r="A67" t="str">
            <v>07</v>
          </cell>
          <cell r="B67" t="str">
            <v>61796</v>
          </cell>
          <cell r="C67" t="str">
            <v>Contra Costa</v>
          </cell>
          <cell r="D67" t="str">
            <v>West Contra Costa Unified</v>
          </cell>
          <cell r="E67">
            <v>30109</v>
          </cell>
          <cell r="F67">
            <v>525402</v>
          </cell>
          <cell r="G67">
            <v>61</v>
          </cell>
        </row>
        <row r="68">
          <cell r="A68" t="str">
            <v>07</v>
          </cell>
          <cell r="B68" t="str">
            <v>61804</v>
          </cell>
          <cell r="C68" t="str">
            <v>Contra Costa</v>
          </cell>
          <cell r="D68" t="str">
            <v>San Ramon Valley Unified</v>
          </cell>
          <cell r="E68">
            <v>26939</v>
          </cell>
          <cell r="F68">
            <v>460198</v>
          </cell>
          <cell r="G68">
            <v>34</v>
          </cell>
        </row>
        <row r="69">
          <cell r="A69" t="str">
            <v>07</v>
          </cell>
          <cell r="B69" t="str">
            <v>61812</v>
          </cell>
          <cell r="C69" t="str">
            <v>Contra Costa</v>
          </cell>
          <cell r="D69" t="str">
            <v>Walnut Creek Elementary</v>
          </cell>
          <cell r="E69">
            <v>3235</v>
          </cell>
          <cell r="F69">
            <v>54996</v>
          </cell>
          <cell r="G69">
            <v>6</v>
          </cell>
        </row>
        <row r="70">
          <cell r="A70" t="str">
            <v>08</v>
          </cell>
          <cell r="B70" t="str">
            <v>10082</v>
          </cell>
          <cell r="C70" t="str">
            <v>Del Norte</v>
          </cell>
          <cell r="D70" t="str">
            <v>Del Norte County Office of Education</v>
          </cell>
          <cell r="E70">
            <v>533</v>
          </cell>
          <cell r="F70">
            <v>24907</v>
          </cell>
          <cell r="G70">
            <v>7</v>
          </cell>
        </row>
        <row r="71">
          <cell r="A71" t="str">
            <v>08</v>
          </cell>
          <cell r="B71" t="str">
            <v>61820</v>
          </cell>
          <cell r="C71" t="str">
            <v>Del Norte</v>
          </cell>
          <cell r="D71" t="str">
            <v>Del Norte County Unified</v>
          </cell>
          <cell r="E71">
            <v>3893</v>
          </cell>
          <cell r="F71">
            <v>73270</v>
          </cell>
          <cell r="G71">
            <v>11</v>
          </cell>
        </row>
        <row r="72">
          <cell r="A72" t="str">
            <v>09</v>
          </cell>
          <cell r="B72" t="str">
            <v>10090</v>
          </cell>
          <cell r="C72" t="str">
            <v>El Dorado</v>
          </cell>
          <cell r="D72" t="str">
            <v>El Dorado County Office of Education</v>
          </cell>
          <cell r="E72">
            <v>1043</v>
          </cell>
          <cell r="F72">
            <v>26470</v>
          </cell>
          <cell r="G72">
            <v>6</v>
          </cell>
        </row>
        <row r="73">
          <cell r="A73" t="str">
            <v>09</v>
          </cell>
          <cell r="B73" t="str">
            <v>61838</v>
          </cell>
          <cell r="C73" t="str">
            <v>El Dorado</v>
          </cell>
          <cell r="D73" t="str">
            <v>Buckeye Union Elementary</v>
          </cell>
          <cell r="E73">
            <v>4790</v>
          </cell>
          <cell r="F73">
            <v>83312</v>
          </cell>
          <cell r="G73">
            <v>8</v>
          </cell>
        </row>
        <row r="74">
          <cell r="A74" t="str">
            <v>09</v>
          </cell>
          <cell r="B74" t="str">
            <v>61846</v>
          </cell>
          <cell r="C74" t="str">
            <v>El Dorado</v>
          </cell>
          <cell r="D74" t="str">
            <v>Camino Union Elementary</v>
          </cell>
          <cell r="E74">
            <v>438</v>
          </cell>
          <cell r="F74">
            <v>7446</v>
          </cell>
          <cell r="G74">
            <v>1</v>
          </cell>
        </row>
        <row r="75">
          <cell r="A75" t="str">
            <v>09</v>
          </cell>
          <cell r="B75" t="str">
            <v>61853</v>
          </cell>
          <cell r="C75" t="str">
            <v>El Dorado</v>
          </cell>
          <cell r="D75" t="str">
            <v>El Dorado Union High</v>
          </cell>
          <cell r="E75">
            <v>7262</v>
          </cell>
          <cell r="F75">
            <v>135125</v>
          </cell>
          <cell r="G75">
            <v>10</v>
          </cell>
        </row>
        <row r="76">
          <cell r="A76" t="str">
            <v>09</v>
          </cell>
          <cell r="B76" t="str">
            <v>61879</v>
          </cell>
          <cell r="C76" t="str">
            <v>El Dorado</v>
          </cell>
          <cell r="D76" t="str">
            <v>Gold Oak Union Elementary</v>
          </cell>
          <cell r="E76">
            <v>631</v>
          </cell>
          <cell r="F76">
            <v>13809</v>
          </cell>
          <cell r="G76">
            <v>3</v>
          </cell>
        </row>
        <row r="77">
          <cell r="A77" t="str">
            <v>09</v>
          </cell>
          <cell r="B77" t="str">
            <v>61887</v>
          </cell>
          <cell r="C77" t="str">
            <v>El Dorado</v>
          </cell>
          <cell r="D77" t="str">
            <v>Gold Trail Union Elementary</v>
          </cell>
          <cell r="E77">
            <v>550</v>
          </cell>
          <cell r="F77">
            <v>9350</v>
          </cell>
          <cell r="G77">
            <v>2</v>
          </cell>
        </row>
        <row r="78">
          <cell r="A78" t="str">
            <v>09</v>
          </cell>
          <cell r="B78" t="str">
            <v>61895</v>
          </cell>
          <cell r="C78" t="str">
            <v>El Dorado</v>
          </cell>
          <cell r="D78" t="str">
            <v>Indian Diggings Elementary</v>
          </cell>
          <cell r="E78">
            <v>26</v>
          </cell>
          <cell r="F78">
            <v>3564</v>
          </cell>
          <cell r="G78">
            <v>1</v>
          </cell>
        </row>
        <row r="79">
          <cell r="A79" t="str">
            <v>09</v>
          </cell>
          <cell r="B79" t="str">
            <v>61903</v>
          </cell>
          <cell r="C79" t="str">
            <v>El Dorado</v>
          </cell>
          <cell r="D79" t="str">
            <v>Lake Tahoe Unified</v>
          </cell>
          <cell r="E79">
            <v>4079</v>
          </cell>
          <cell r="F79">
            <v>73515</v>
          </cell>
          <cell r="G79">
            <v>8</v>
          </cell>
        </row>
        <row r="80">
          <cell r="A80" t="str">
            <v>09</v>
          </cell>
          <cell r="B80" t="str">
            <v>61911</v>
          </cell>
          <cell r="C80" t="str">
            <v>El Dorado</v>
          </cell>
          <cell r="D80" t="str">
            <v>Latrobe</v>
          </cell>
          <cell r="E80">
            <v>181</v>
          </cell>
          <cell r="F80">
            <v>7128</v>
          </cell>
          <cell r="G80">
            <v>2</v>
          </cell>
        </row>
        <row r="81">
          <cell r="A81" t="str">
            <v>09</v>
          </cell>
          <cell r="B81" t="str">
            <v>61929</v>
          </cell>
          <cell r="C81" t="str">
            <v>El Dorado</v>
          </cell>
          <cell r="D81" t="str">
            <v>Mother Lode Union Elementary</v>
          </cell>
          <cell r="E81">
            <v>1378</v>
          </cell>
          <cell r="F81">
            <v>23426</v>
          </cell>
          <cell r="G81">
            <v>3</v>
          </cell>
        </row>
        <row r="82">
          <cell r="A82" t="str">
            <v>09</v>
          </cell>
          <cell r="B82" t="str">
            <v>61945</v>
          </cell>
          <cell r="C82" t="str">
            <v>El Dorado</v>
          </cell>
          <cell r="D82" t="str">
            <v>Pioneer Union Elementary</v>
          </cell>
          <cell r="E82">
            <v>427</v>
          </cell>
          <cell r="F82">
            <v>10970</v>
          </cell>
          <cell r="G82">
            <v>3</v>
          </cell>
        </row>
        <row r="83">
          <cell r="A83" t="str">
            <v>09</v>
          </cell>
          <cell r="B83" t="str">
            <v>61952</v>
          </cell>
          <cell r="C83" t="str">
            <v>El Dorado</v>
          </cell>
          <cell r="D83" t="str">
            <v>Placerville Union Elementary</v>
          </cell>
          <cell r="E83">
            <v>1164</v>
          </cell>
          <cell r="F83">
            <v>21931</v>
          </cell>
          <cell r="G83">
            <v>4</v>
          </cell>
        </row>
        <row r="84">
          <cell r="A84" t="str">
            <v>09</v>
          </cell>
          <cell r="B84" t="str">
            <v>61960</v>
          </cell>
          <cell r="C84" t="str">
            <v>El Dorado</v>
          </cell>
          <cell r="D84" t="str">
            <v>Pollock Pines Elementary</v>
          </cell>
          <cell r="E84">
            <v>745</v>
          </cell>
          <cell r="F84">
            <v>12665</v>
          </cell>
          <cell r="G84">
            <v>2</v>
          </cell>
        </row>
        <row r="85">
          <cell r="A85" t="str">
            <v>09</v>
          </cell>
          <cell r="B85" t="str">
            <v>61978</v>
          </cell>
          <cell r="C85" t="str">
            <v>El Dorado</v>
          </cell>
          <cell r="D85" t="str">
            <v>Rescue Union Elementary</v>
          </cell>
          <cell r="E85">
            <v>4105</v>
          </cell>
          <cell r="F85">
            <v>69785</v>
          </cell>
          <cell r="G85">
            <v>7</v>
          </cell>
        </row>
        <row r="86">
          <cell r="A86" t="str">
            <v>09</v>
          </cell>
          <cell r="B86" t="str">
            <v>61986</v>
          </cell>
          <cell r="C86" t="str">
            <v>El Dorado</v>
          </cell>
          <cell r="D86" t="str">
            <v>Silver Fork Elementary</v>
          </cell>
          <cell r="E86">
            <v>18</v>
          </cell>
          <cell r="F86">
            <v>2228</v>
          </cell>
          <cell r="G86">
            <v>1</v>
          </cell>
        </row>
        <row r="87">
          <cell r="A87" t="str">
            <v>09</v>
          </cell>
          <cell r="B87" t="str">
            <v>73783</v>
          </cell>
          <cell r="C87" t="str">
            <v>El Dorado</v>
          </cell>
          <cell r="D87" t="str">
            <v>Black Oak Mine Unified</v>
          </cell>
          <cell r="E87">
            <v>1737</v>
          </cell>
          <cell r="F87">
            <v>37763</v>
          </cell>
          <cell r="G87">
            <v>6</v>
          </cell>
        </row>
        <row r="88">
          <cell r="A88" t="str">
            <v>09</v>
          </cell>
          <cell r="B88" t="str">
            <v>76489</v>
          </cell>
          <cell r="C88" t="str">
            <v>El Dorado</v>
          </cell>
          <cell r="D88" t="str">
            <v>SBC - Aspire Public Schools</v>
          </cell>
          <cell r="E88">
            <v>434</v>
          </cell>
          <cell r="F88">
            <v>7712</v>
          </cell>
          <cell r="G88">
            <v>2</v>
          </cell>
        </row>
        <row r="89">
          <cell r="A89" t="str">
            <v>10</v>
          </cell>
          <cell r="B89" t="str">
            <v>10108</v>
          </cell>
          <cell r="C89" t="str">
            <v>Fresno</v>
          </cell>
          <cell r="D89" t="str">
            <v>Fresno County Office of Education</v>
          </cell>
          <cell r="E89">
            <v>1318</v>
          </cell>
          <cell r="F89">
            <v>25063</v>
          </cell>
          <cell r="G89">
            <v>4</v>
          </cell>
        </row>
        <row r="90">
          <cell r="A90" t="str">
            <v>10</v>
          </cell>
          <cell r="B90" t="str">
            <v>61994</v>
          </cell>
          <cell r="C90" t="str">
            <v>Fresno</v>
          </cell>
          <cell r="D90" t="str">
            <v>Alvina Elementary</v>
          </cell>
          <cell r="E90">
            <v>195</v>
          </cell>
          <cell r="F90">
            <v>3564</v>
          </cell>
          <cell r="G90">
            <v>1</v>
          </cell>
        </row>
        <row r="91">
          <cell r="A91" t="str">
            <v>10</v>
          </cell>
          <cell r="B91" t="str">
            <v>62000</v>
          </cell>
          <cell r="C91" t="str">
            <v>Fresno</v>
          </cell>
          <cell r="D91" t="str">
            <v>American Union Elementary</v>
          </cell>
          <cell r="E91">
            <v>336</v>
          </cell>
          <cell r="F91">
            <v>5712</v>
          </cell>
          <cell r="G91">
            <v>1</v>
          </cell>
        </row>
        <row r="92">
          <cell r="A92" t="str">
            <v>10</v>
          </cell>
          <cell r="B92" t="str">
            <v>62026</v>
          </cell>
          <cell r="C92" t="str">
            <v>Fresno</v>
          </cell>
          <cell r="D92" t="str">
            <v>Big Creek Elementary</v>
          </cell>
          <cell r="E92">
            <v>32</v>
          </cell>
          <cell r="F92">
            <v>3564</v>
          </cell>
          <cell r="G92">
            <v>1</v>
          </cell>
        </row>
        <row r="93">
          <cell r="A93" t="str">
            <v>10</v>
          </cell>
          <cell r="B93" t="str">
            <v>62042</v>
          </cell>
          <cell r="C93" t="str">
            <v>Fresno</v>
          </cell>
          <cell r="D93" t="str">
            <v>Burrel Union Elementary</v>
          </cell>
          <cell r="E93">
            <v>107</v>
          </cell>
          <cell r="F93">
            <v>3564</v>
          </cell>
          <cell r="G93">
            <v>1</v>
          </cell>
        </row>
        <row r="94">
          <cell r="A94" t="str">
            <v>10</v>
          </cell>
          <cell r="B94" t="str">
            <v>62109</v>
          </cell>
          <cell r="C94" t="str">
            <v>Fresno</v>
          </cell>
          <cell r="D94" t="str">
            <v>Clay Joint Elementary</v>
          </cell>
          <cell r="E94">
            <v>219</v>
          </cell>
          <cell r="F94">
            <v>3723</v>
          </cell>
          <cell r="G94">
            <v>1</v>
          </cell>
        </row>
        <row r="95">
          <cell r="A95" t="str">
            <v>10</v>
          </cell>
          <cell r="B95" t="str">
            <v>62117</v>
          </cell>
          <cell r="C95" t="str">
            <v>Fresno</v>
          </cell>
          <cell r="D95" t="str">
            <v>Clovis Unified</v>
          </cell>
          <cell r="E95">
            <v>37464</v>
          </cell>
          <cell r="F95">
            <v>643100</v>
          </cell>
          <cell r="G95">
            <v>45</v>
          </cell>
        </row>
        <row r="96">
          <cell r="A96" t="str">
            <v>10</v>
          </cell>
          <cell r="B96" t="str">
            <v>62125</v>
          </cell>
          <cell r="C96" t="str">
            <v>Fresno</v>
          </cell>
          <cell r="D96" t="str">
            <v>Coalinga-Huron Joint Unified</v>
          </cell>
          <cell r="E96">
            <v>4339</v>
          </cell>
          <cell r="F96">
            <v>82826</v>
          </cell>
          <cell r="G96">
            <v>11</v>
          </cell>
        </row>
        <row r="97">
          <cell r="A97" t="str">
            <v>10</v>
          </cell>
          <cell r="B97" t="str">
            <v>62158</v>
          </cell>
          <cell r="C97" t="str">
            <v>Fresno</v>
          </cell>
          <cell r="D97" t="str">
            <v>Fowler Unified</v>
          </cell>
          <cell r="E97">
            <v>2251</v>
          </cell>
          <cell r="F97">
            <v>43430</v>
          </cell>
          <cell r="G97">
            <v>7</v>
          </cell>
        </row>
        <row r="98">
          <cell r="A98" t="str">
            <v>10</v>
          </cell>
          <cell r="B98" t="str">
            <v>62166</v>
          </cell>
          <cell r="C98" t="str">
            <v>Fresno</v>
          </cell>
          <cell r="D98" t="str">
            <v>Fresno Unified</v>
          </cell>
          <cell r="E98">
            <v>73279</v>
          </cell>
          <cell r="F98">
            <v>1259008</v>
          </cell>
          <cell r="G98">
            <v>96</v>
          </cell>
        </row>
        <row r="99">
          <cell r="A99" t="str">
            <v>10</v>
          </cell>
          <cell r="B99" t="str">
            <v>62174</v>
          </cell>
          <cell r="C99" t="str">
            <v>Fresno</v>
          </cell>
          <cell r="D99" t="str">
            <v>West Fresno Elementary</v>
          </cell>
          <cell r="E99">
            <v>902</v>
          </cell>
          <cell r="F99">
            <v>15334</v>
          </cell>
          <cell r="G99">
            <v>2</v>
          </cell>
        </row>
        <row r="100">
          <cell r="A100" t="str">
            <v>10</v>
          </cell>
          <cell r="B100" t="str">
            <v>62240</v>
          </cell>
          <cell r="C100" t="str">
            <v>Fresno</v>
          </cell>
          <cell r="D100" t="str">
            <v>Kingsburg Elementary Charter</v>
          </cell>
          <cell r="E100">
            <v>2230</v>
          </cell>
          <cell r="F100">
            <v>40812</v>
          </cell>
          <cell r="G100">
            <v>7</v>
          </cell>
        </row>
        <row r="101">
          <cell r="A101" t="str">
            <v>10</v>
          </cell>
          <cell r="B101" t="str">
            <v>62257</v>
          </cell>
          <cell r="C101" t="str">
            <v>Fresno</v>
          </cell>
          <cell r="D101" t="str">
            <v>Kingsburg Joint Union High</v>
          </cell>
          <cell r="E101">
            <v>1177</v>
          </cell>
          <cell r="F101">
            <v>22775</v>
          </cell>
          <cell r="G101">
            <v>2</v>
          </cell>
        </row>
        <row r="102">
          <cell r="A102" t="str">
            <v>10</v>
          </cell>
          <cell r="B102" t="str">
            <v>62265</v>
          </cell>
          <cell r="C102" t="str">
            <v>Fresno</v>
          </cell>
          <cell r="D102" t="str">
            <v>Kings Canyon Joint Unified</v>
          </cell>
          <cell r="E102">
            <v>9835</v>
          </cell>
          <cell r="F102">
            <v>172403</v>
          </cell>
          <cell r="G102">
            <v>20</v>
          </cell>
        </row>
        <row r="103">
          <cell r="A103" t="str">
            <v>10</v>
          </cell>
          <cell r="B103" t="str">
            <v>62281</v>
          </cell>
          <cell r="C103" t="str">
            <v>Fresno</v>
          </cell>
          <cell r="D103" t="str">
            <v>Laton Joint Unified</v>
          </cell>
          <cell r="E103">
            <v>755</v>
          </cell>
          <cell r="F103">
            <v>15697</v>
          </cell>
          <cell r="G103">
            <v>4</v>
          </cell>
        </row>
        <row r="104">
          <cell r="A104" t="str">
            <v>10</v>
          </cell>
          <cell r="B104" t="str">
            <v>62323</v>
          </cell>
          <cell r="C104" t="str">
            <v>Fresno</v>
          </cell>
          <cell r="D104" t="str">
            <v>Monroe Elementary</v>
          </cell>
          <cell r="E104">
            <v>201</v>
          </cell>
          <cell r="F104">
            <v>3564</v>
          </cell>
          <cell r="G104">
            <v>1</v>
          </cell>
        </row>
        <row r="105">
          <cell r="A105" t="str">
            <v>10</v>
          </cell>
          <cell r="B105" t="str">
            <v>62331</v>
          </cell>
          <cell r="C105" t="str">
            <v>Fresno</v>
          </cell>
          <cell r="D105" t="str">
            <v>Orange Center</v>
          </cell>
          <cell r="E105">
            <v>327</v>
          </cell>
          <cell r="F105">
            <v>5559</v>
          </cell>
          <cell r="G105">
            <v>1</v>
          </cell>
        </row>
        <row r="106">
          <cell r="A106" t="str">
            <v>10</v>
          </cell>
          <cell r="B106" t="str">
            <v>62356</v>
          </cell>
          <cell r="C106" t="str">
            <v>Fresno</v>
          </cell>
          <cell r="D106" t="str">
            <v>Pacific Union Elementary</v>
          </cell>
          <cell r="E106">
            <v>371</v>
          </cell>
          <cell r="F106">
            <v>6307</v>
          </cell>
          <cell r="G106">
            <v>1</v>
          </cell>
        </row>
        <row r="107">
          <cell r="A107" t="str">
            <v>10</v>
          </cell>
          <cell r="B107" t="str">
            <v>62364</v>
          </cell>
          <cell r="C107" t="str">
            <v>Fresno</v>
          </cell>
          <cell r="D107" t="str">
            <v>Parlier Unified</v>
          </cell>
          <cell r="E107">
            <v>3327</v>
          </cell>
          <cell r="F107">
            <v>58900</v>
          </cell>
          <cell r="G107">
            <v>7</v>
          </cell>
        </row>
        <row r="108">
          <cell r="A108" t="str">
            <v>10</v>
          </cell>
          <cell r="B108" t="str">
            <v>62372</v>
          </cell>
          <cell r="C108" t="str">
            <v>Fresno</v>
          </cell>
          <cell r="D108" t="str">
            <v>Pine Ridge Elementary</v>
          </cell>
          <cell r="E108">
            <v>79</v>
          </cell>
          <cell r="F108">
            <v>3564</v>
          </cell>
          <cell r="G108">
            <v>1</v>
          </cell>
        </row>
        <row r="109">
          <cell r="A109" t="str">
            <v>10</v>
          </cell>
          <cell r="B109" t="str">
            <v>62380</v>
          </cell>
          <cell r="C109" t="str">
            <v>Fresno</v>
          </cell>
          <cell r="D109" t="str">
            <v>Raisin City Elementary</v>
          </cell>
          <cell r="E109">
            <v>304</v>
          </cell>
          <cell r="F109">
            <v>5168</v>
          </cell>
          <cell r="G109">
            <v>1</v>
          </cell>
        </row>
        <row r="110">
          <cell r="A110" t="str">
            <v>10</v>
          </cell>
          <cell r="B110" t="str">
            <v>62414</v>
          </cell>
          <cell r="C110" t="str">
            <v>Fresno</v>
          </cell>
          <cell r="D110" t="str">
            <v>Sanger Unified</v>
          </cell>
          <cell r="E110">
            <v>10368</v>
          </cell>
          <cell r="F110">
            <v>183619</v>
          </cell>
          <cell r="G110">
            <v>19</v>
          </cell>
        </row>
        <row r="111">
          <cell r="A111" t="str">
            <v>10</v>
          </cell>
          <cell r="B111" t="str">
            <v>62430</v>
          </cell>
          <cell r="C111" t="str">
            <v>Fresno</v>
          </cell>
          <cell r="D111" t="str">
            <v>Selma Unified</v>
          </cell>
          <cell r="E111">
            <v>6390</v>
          </cell>
          <cell r="F111">
            <v>112445</v>
          </cell>
          <cell r="G111">
            <v>12</v>
          </cell>
        </row>
        <row r="112">
          <cell r="A112" t="str">
            <v>10</v>
          </cell>
          <cell r="B112" t="str">
            <v>62513</v>
          </cell>
          <cell r="C112" t="str">
            <v>Fresno</v>
          </cell>
          <cell r="D112" t="str">
            <v>Washington Colony Elementary</v>
          </cell>
          <cell r="E112">
            <v>425</v>
          </cell>
          <cell r="F112">
            <v>7225</v>
          </cell>
          <cell r="G112">
            <v>1</v>
          </cell>
        </row>
        <row r="113">
          <cell r="A113" t="str">
            <v>10</v>
          </cell>
          <cell r="B113" t="str">
            <v>62521</v>
          </cell>
          <cell r="C113" t="str">
            <v>Fresno</v>
          </cell>
          <cell r="D113" t="str">
            <v>Washington Union High</v>
          </cell>
          <cell r="E113">
            <v>1173</v>
          </cell>
          <cell r="F113">
            <v>24075</v>
          </cell>
          <cell r="G113">
            <v>3</v>
          </cell>
        </row>
        <row r="114">
          <cell r="A114" t="str">
            <v>10</v>
          </cell>
          <cell r="B114" t="str">
            <v>62539</v>
          </cell>
          <cell r="C114" t="str">
            <v>Fresno</v>
          </cell>
          <cell r="D114" t="str">
            <v>West Park Elementary</v>
          </cell>
          <cell r="E114">
            <v>316</v>
          </cell>
          <cell r="F114">
            <v>5372</v>
          </cell>
          <cell r="G114">
            <v>1</v>
          </cell>
        </row>
        <row r="115">
          <cell r="A115" t="str">
            <v>10</v>
          </cell>
          <cell r="B115" t="str">
            <v>62547</v>
          </cell>
          <cell r="C115" t="str">
            <v>Fresno</v>
          </cell>
          <cell r="D115" t="str">
            <v>Westside Elementary</v>
          </cell>
          <cell r="E115">
            <v>254</v>
          </cell>
          <cell r="F115">
            <v>4318</v>
          </cell>
          <cell r="G115">
            <v>1</v>
          </cell>
        </row>
        <row r="116">
          <cell r="A116" t="str">
            <v>10</v>
          </cell>
          <cell r="B116" t="str">
            <v>73809</v>
          </cell>
          <cell r="C116" t="str">
            <v>Fresno</v>
          </cell>
          <cell r="D116" t="str">
            <v>Firebaugh-Las Deltas Joint Unified</v>
          </cell>
          <cell r="E116">
            <v>2286</v>
          </cell>
          <cell r="F116">
            <v>42035</v>
          </cell>
          <cell r="G116">
            <v>5</v>
          </cell>
        </row>
        <row r="117">
          <cell r="A117" t="str">
            <v>10</v>
          </cell>
          <cell r="B117" t="str">
            <v>73965</v>
          </cell>
          <cell r="C117" t="str">
            <v>Fresno</v>
          </cell>
          <cell r="D117" t="str">
            <v>Central Unified</v>
          </cell>
          <cell r="E117">
            <v>14241</v>
          </cell>
          <cell r="F117">
            <v>246301</v>
          </cell>
          <cell r="G117">
            <v>19</v>
          </cell>
        </row>
        <row r="118">
          <cell r="A118" t="str">
            <v>10</v>
          </cell>
          <cell r="B118" t="str">
            <v>73999</v>
          </cell>
          <cell r="C118" t="str">
            <v>Fresno</v>
          </cell>
          <cell r="D118" t="str">
            <v>Kerman Unified</v>
          </cell>
          <cell r="E118">
            <v>4398</v>
          </cell>
          <cell r="F118">
            <v>79643</v>
          </cell>
          <cell r="G118">
            <v>7</v>
          </cell>
        </row>
        <row r="119">
          <cell r="A119" t="str">
            <v>10</v>
          </cell>
          <cell r="B119" t="str">
            <v>75127</v>
          </cell>
          <cell r="C119" t="str">
            <v>Fresno</v>
          </cell>
          <cell r="D119" t="str">
            <v>Mendota Unified</v>
          </cell>
          <cell r="E119">
            <v>2670</v>
          </cell>
          <cell r="F119">
            <v>50503</v>
          </cell>
          <cell r="G119">
            <v>6</v>
          </cell>
        </row>
        <row r="120">
          <cell r="A120" t="str">
            <v>10</v>
          </cell>
          <cell r="B120" t="str">
            <v>75234</v>
          </cell>
          <cell r="C120" t="str">
            <v>Fresno</v>
          </cell>
          <cell r="D120" t="str">
            <v>Golden Plains Unified</v>
          </cell>
          <cell r="E120">
            <v>1893</v>
          </cell>
          <cell r="F120">
            <v>40356</v>
          </cell>
          <cell r="G120">
            <v>8</v>
          </cell>
        </row>
        <row r="121">
          <cell r="A121" t="str">
            <v>10</v>
          </cell>
          <cell r="B121" t="str">
            <v>75275</v>
          </cell>
          <cell r="C121" t="str">
            <v>Fresno</v>
          </cell>
          <cell r="D121" t="str">
            <v>Sierra Unified</v>
          </cell>
          <cell r="E121">
            <v>1705</v>
          </cell>
          <cell r="F121">
            <v>40424</v>
          </cell>
          <cell r="G121">
            <v>9</v>
          </cell>
        </row>
        <row r="122">
          <cell r="A122" t="str">
            <v>10</v>
          </cell>
          <cell r="B122" t="str">
            <v>75408</v>
          </cell>
          <cell r="C122" t="str">
            <v>Fresno</v>
          </cell>
          <cell r="D122" t="str">
            <v>Riverdale Joint Unified</v>
          </cell>
          <cell r="E122">
            <v>1572</v>
          </cell>
          <cell r="F122">
            <v>31989</v>
          </cell>
          <cell r="G122">
            <v>5</v>
          </cell>
        </row>
        <row r="123">
          <cell r="A123" t="str">
            <v>10</v>
          </cell>
          <cell r="B123" t="str">
            <v>75598</v>
          </cell>
          <cell r="C123" t="str">
            <v>Fresno</v>
          </cell>
          <cell r="D123" t="str">
            <v>Caruthers Unified</v>
          </cell>
          <cell r="E123">
            <v>1416</v>
          </cell>
          <cell r="F123">
            <v>29321</v>
          </cell>
          <cell r="G123">
            <v>4</v>
          </cell>
        </row>
        <row r="124">
          <cell r="A124" t="str">
            <v>11</v>
          </cell>
          <cell r="B124" t="str">
            <v>10116</v>
          </cell>
          <cell r="C124" t="str">
            <v>Glenn</v>
          </cell>
          <cell r="D124" t="str">
            <v>Glenn County Office of Education</v>
          </cell>
          <cell r="E124">
            <v>300</v>
          </cell>
          <cell r="F124">
            <v>12920</v>
          </cell>
          <cell r="G124">
            <v>4</v>
          </cell>
        </row>
        <row r="125">
          <cell r="A125" t="str">
            <v>11</v>
          </cell>
          <cell r="B125" t="str">
            <v>62554</v>
          </cell>
          <cell r="C125" t="str">
            <v>Glenn</v>
          </cell>
          <cell r="D125" t="str">
            <v>Capay Joint Union Elementary</v>
          </cell>
          <cell r="E125">
            <v>146</v>
          </cell>
          <cell r="F125">
            <v>3564</v>
          </cell>
          <cell r="G125">
            <v>1</v>
          </cell>
        </row>
        <row r="126">
          <cell r="A126" t="str">
            <v>11</v>
          </cell>
          <cell r="B126" t="str">
            <v>62570</v>
          </cell>
          <cell r="C126" t="str">
            <v>Glenn</v>
          </cell>
          <cell r="D126" t="str">
            <v>Hamilton Union Elementary</v>
          </cell>
          <cell r="E126">
            <v>472</v>
          </cell>
          <cell r="F126">
            <v>10167</v>
          </cell>
          <cell r="G126">
            <v>2</v>
          </cell>
        </row>
        <row r="127">
          <cell r="A127" t="str">
            <v>11</v>
          </cell>
          <cell r="B127" t="str">
            <v>62588</v>
          </cell>
          <cell r="C127" t="str">
            <v>Glenn</v>
          </cell>
          <cell r="D127" t="str">
            <v>Hamilton Union High</v>
          </cell>
          <cell r="E127">
            <v>327</v>
          </cell>
          <cell r="F127">
            <v>9709</v>
          </cell>
          <cell r="G127">
            <v>3</v>
          </cell>
        </row>
        <row r="128">
          <cell r="A128" t="str">
            <v>11</v>
          </cell>
          <cell r="B128" t="str">
            <v>62596</v>
          </cell>
          <cell r="C128" t="str">
            <v>Glenn</v>
          </cell>
          <cell r="D128" t="str">
            <v>Lake Elementary</v>
          </cell>
          <cell r="E128">
            <v>124</v>
          </cell>
          <cell r="F128">
            <v>3564</v>
          </cell>
          <cell r="G128">
            <v>1</v>
          </cell>
        </row>
        <row r="129">
          <cell r="A129" t="str">
            <v>11</v>
          </cell>
          <cell r="B129" t="str">
            <v>62638</v>
          </cell>
          <cell r="C129" t="str">
            <v>Glenn</v>
          </cell>
          <cell r="D129" t="str">
            <v>Plaza Elementary</v>
          </cell>
          <cell r="E129">
            <v>135</v>
          </cell>
          <cell r="F129">
            <v>3564</v>
          </cell>
          <cell r="G129">
            <v>1</v>
          </cell>
        </row>
        <row r="130">
          <cell r="A130" t="str">
            <v>11</v>
          </cell>
          <cell r="B130" t="str">
            <v>62646</v>
          </cell>
          <cell r="C130" t="str">
            <v>Glenn</v>
          </cell>
          <cell r="D130" t="str">
            <v>Princeton Joint Unified</v>
          </cell>
          <cell r="E130">
            <v>237</v>
          </cell>
          <cell r="F130">
            <v>11584</v>
          </cell>
          <cell r="G130">
            <v>4</v>
          </cell>
        </row>
        <row r="131">
          <cell r="A131" t="str">
            <v>11</v>
          </cell>
          <cell r="B131" t="str">
            <v>62653</v>
          </cell>
          <cell r="C131" t="str">
            <v>Glenn</v>
          </cell>
          <cell r="D131" t="str">
            <v>Stony Creek Joint Unified</v>
          </cell>
          <cell r="E131">
            <v>100</v>
          </cell>
          <cell r="F131">
            <v>16040</v>
          </cell>
          <cell r="G131">
            <v>6</v>
          </cell>
        </row>
        <row r="132">
          <cell r="A132" t="str">
            <v>11</v>
          </cell>
          <cell r="B132" t="str">
            <v>62661</v>
          </cell>
          <cell r="C132" t="str">
            <v>Glenn</v>
          </cell>
          <cell r="D132" t="str">
            <v>Willows Unified</v>
          </cell>
          <cell r="E132">
            <v>1710</v>
          </cell>
          <cell r="F132">
            <v>38519</v>
          </cell>
          <cell r="G132">
            <v>7</v>
          </cell>
        </row>
        <row r="133">
          <cell r="A133" t="str">
            <v>11</v>
          </cell>
          <cell r="B133" t="str">
            <v>75481</v>
          </cell>
          <cell r="C133" t="str">
            <v>Glenn</v>
          </cell>
          <cell r="D133" t="str">
            <v>Orland Joint Unified</v>
          </cell>
          <cell r="E133">
            <v>2246</v>
          </cell>
          <cell r="F133">
            <v>45420</v>
          </cell>
          <cell r="G133">
            <v>7</v>
          </cell>
        </row>
        <row r="134">
          <cell r="A134" t="str">
            <v>12</v>
          </cell>
          <cell r="B134" t="str">
            <v>10124</v>
          </cell>
          <cell r="C134" t="str">
            <v>Humboldt</v>
          </cell>
          <cell r="D134" t="str">
            <v>Humboldt County Office of Education</v>
          </cell>
          <cell r="E134">
            <v>410</v>
          </cell>
          <cell r="F134">
            <v>20940</v>
          </cell>
          <cell r="G134">
            <v>7</v>
          </cell>
        </row>
        <row r="135">
          <cell r="A135" t="str">
            <v>12</v>
          </cell>
          <cell r="B135" t="str">
            <v>62679</v>
          </cell>
          <cell r="C135" t="str">
            <v>Humboldt</v>
          </cell>
          <cell r="D135" t="str">
            <v>Arcata Elementary</v>
          </cell>
          <cell r="E135">
            <v>643</v>
          </cell>
          <cell r="F135">
            <v>12846</v>
          </cell>
          <cell r="G135">
            <v>3</v>
          </cell>
        </row>
        <row r="136">
          <cell r="A136" t="str">
            <v>12</v>
          </cell>
          <cell r="B136" t="str">
            <v>62687</v>
          </cell>
          <cell r="C136" t="str">
            <v>Humboldt</v>
          </cell>
          <cell r="D136" t="str">
            <v>Northern Humboldt Union High</v>
          </cell>
          <cell r="E136">
            <v>1734</v>
          </cell>
          <cell r="F136">
            <v>38744</v>
          </cell>
          <cell r="G136">
            <v>6</v>
          </cell>
        </row>
        <row r="137">
          <cell r="A137" t="str">
            <v>12</v>
          </cell>
          <cell r="B137" t="str">
            <v>62695</v>
          </cell>
          <cell r="C137" t="str">
            <v>Humboldt</v>
          </cell>
          <cell r="D137" t="str">
            <v>Big Lagoon Union Elementary</v>
          </cell>
          <cell r="E137">
            <v>38</v>
          </cell>
          <cell r="F137">
            <v>3564</v>
          </cell>
          <cell r="G137">
            <v>1</v>
          </cell>
        </row>
        <row r="138">
          <cell r="A138" t="str">
            <v>12</v>
          </cell>
          <cell r="B138" t="str">
            <v>62703</v>
          </cell>
          <cell r="C138" t="str">
            <v>Humboldt</v>
          </cell>
          <cell r="D138" t="str">
            <v>Blue Lake Union Elementary</v>
          </cell>
          <cell r="E138">
            <v>157</v>
          </cell>
          <cell r="F138">
            <v>3564</v>
          </cell>
          <cell r="G138">
            <v>1</v>
          </cell>
        </row>
        <row r="139">
          <cell r="A139" t="str">
            <v>12</v>
          </cell>
          <cell r="B139" t="str">
            <v>62729</v>
          </cell>
          <cell r="C139" t="str">
            <v>Humboldt</v>
          </cell>
          <cell r="D139" t="str">
            <v>Bridgeville Elementary</v>
          </cell>
          <cell r="E139">
            <v>38</v>
          </cell>
          <cell r="F139">
            <v>3564</v>
          </cell>
          <cell r="G139">
            <v>1</v>
          </cell>
        </row>
        <row r="140">
          <cell r="A140" t="str">
            <v>12</v>
          </cell>
          <cell r="B140" t="str">
            <v>62737</v>
          </cell>
          <cell r="C140" t="str">
            <v>Humboldt</v>
          </cell>
          <cell r="D140" t="str">
            <v>Cuddeback Union Elementary</v>
          </cell>
          <cell r="E140">
            <v>122</v>
          </cell>
          <cell r="F140">
            <v>3564</v>
          </cell>
          <cell r="G140">
            <v>1</v>
          </cell>
        </row>
        <row r="141">
          <cell r="A141" t="str">
            <v>12</v>
          </cell>
          <cell r="B141" t="str">
            <v>62745</v>
          </cell>
          <cell r="C141" t="str">
            <v>Humboldt</v>
          </cell>
          <cell r="D141" t="str">
            <v>Cutten Elementary</v>
          </cell>
          <cell r="E141">
            <v>552</v>
          </cell>
          <cell r="F141">
            <v>9384</v>
          </cell>
          <cell r="G141">
            <v>2</v>
          </cell>
        </row>
        <row r="142">
          <cell r="A142" t="str">
            <v>12</v>
          </cell>
          <cell r="B142" t="str">
            <v>62794</v>
          </cell>
          <cell r="C142" t="str">
            <v>Humboldt</v>
          </cell>
          <cell r="D142" t="str">
            <v>Fieldbrook Elementary</v>
          </cell>
          <cell r="E142">
            <v>113</v>
          </cell>
          <cell r="F142">
            <v>3564</v>
          </cell>
          <cell r="G142">
            <v>1</v>
          </cell>
        </row>
        <row r="143">
          <cell r="A143" t="str">
            <v>12</v>
          </cell>
          <cell r="B143" t="str">
            <v>62802</v>
          </cell>
          <cell r="C143" t="str">
            <v>Humboldt</v>
          </cell>
          <cell r="D143" t="str">
            <v>Fortuna Union Elementary</v>
          </cell>
          <cell r="E143">
            <v>722</v>
          </cell>
          <cell r="F143">
            <v>12274</v>
          </cell>
          <cell r="G143">
            <v>2</v>
          </cell>
        </row>
        <row r="144">
          <cell r="A144" t="str">
            <v>12</v>
          </cell>
          <cell r="B144" t="str">
            <v>62810</v>
          </cell>
          <cell r="C144" t="str">
            <v>Humboldt</v>
          </cell>
          <cell r="D144" t="str">
            <v>Fortuna Union High</v>
          </cell>
          <cell r="E144">
            <v>1175</v>
          </cell>
          <cell r="F144">
            <v>24266</v>
          </cell>
          <cell r="G144">
            <v>4</v>
          </cell>
        </row>
        <row r="145">
          <cell r="A145" t="str">
            <v>12</v>
          </cell>
          <cell r="B145" t="str">
            <v>62828</v>
          </cell>
          <cell r="C145" t="str">
            <v>Humboldt</v>
          </cell>
          <cell r="D145" t="str">
            <v>Freshwater Elementary</v>
          </cell>
          <cell r="E145">
            <v>329</v>
          </cell>
          <cell r="F145">
            <v>8273</v>
          </cell>
          <cell r="G145">
            <v>2</v>
          </cell>
        </row>
        <row r="146">
          <cell r="A146" t="str">
            <v>12</v>
          </cell>
          <cell r="B146" t="str">
            <v>62836</v>
          </cell>
          <cell r="C146" t="str">
            <v>Humboldt</v>
          </cell>
          <cell r="D146" t="str">
            <v>Garfield Elementary</v>
          </cell>
          <cell r="E146">
            <v>60</v>
          </cell>
          <cell r="F146">
            <v>3564</v>
          </cell>
          <cell r="G146">
            <v>1</v>
          </cell>
        </row>
        <row r="147">
          <cell r="A147" t="str">
            <v>12</v>
          </cell>
          <cell r="B147" t="str">
            <v>62851</v>
          </cell>
          <cell r="C147" t="str">
            <v>Humboldt</v>
          </cell>
          <cell r="D147" t="str">
            <v>Green Point Elementary</v>
          </cell>
          <cell r="E147">
            <v>17</v>
          </cell>
          <cell r="F147">
            <v>2228</v>
          </cell>
          <cell r="G147">
            <v>1</v>
          </cell>
        </row>
        <row r="148">
          <cell r="A148" t="str">
            <v>12</v>
          </cell>
          <cell r="B148" t="str">
            <v>62885</v>
          </cell>
          <cell r="C148" t="str">
            <v>Humboldt</v>
          </cell>
          <cell r="D148" t="str">
            <v>Hydesville Elementary</v>
          </cell>
          <cell r="E148">
            <v>152</v>
          </cell>
          <cell r="F148">
            <v>3564</v>
          </cell>
          <cell r="G148">
            <v>1</v>
          </cell>
        </row>
        <row r="149">
          <cell r="A149" t="str">
            <v>12</v>
          </cell>
          <cell r="B149" t="str">
            <v>62893</v>
          </cell>
          <cell r="C149" t="str">
            <v>Humboldt</v>
          </cell>
          <cell r="D149" t="str">
            <v>Jacoby Creek Elementary</v>
          </cell>
          <cell r="E149">
            <v>394</v>
          </cell>
          <cell r="F149">
            <v>6698</v>
          </cell>
          <cell r="G149">
            <v>1</v>
          </cell>
        </row>
        <row r="150">
          <cell r="A150" t="str">
            <v>12</v>
          </cell>
          <cell r="B150" t="str">
            <v>62901</v>
          </cell>
          <cell r="C150" t="str">
            <v>Humboldt</v>
          </cell>
          <cell r="D150" t="str">
            <v>Klamath-Trinity Joint Unified</v>
          </cell>
          <cell r="E150">
            <v>1054</v>
          </cell>
          <cell r="F150">
            <v>30652</v>
          </cell>
          <cell r="G150">
            <v>8</v>
          </cell>
        </row>
        <row r="151">
          <cell r="A151" t="str">
            <v>12</v>
          </cell>
          <cell r="B151" t="str">
            <v>62919</v>
          </cell>
          <cell r="C151" t="str">
            <v>Humboldt</v>
          </cell>
          <cell r="D151" t="str">
            <v>Kneeland Elementary</v>
          </cell>
          <cell r="E151">
            <v>25</v>
          </cell>
          <cell r="F151">
            <v>3564</v>
          </cell>
          <cell r="G151">
            <v>1</v>
          </cell>
        </row>
        <row r="152">
          <cell r="A152" t="str">
            <v>12</v>
          </cell>
          <cell r="B152" t="str">
            <v>62927</v>
          </cell>
          <cell r="C152" t="str">
            <v>Humboldt</v>
          </cell>
          <cell r="D152" t="str">
            <v>Loleta Union Elementary</v>
          </cell>
          <cell r="E152">
            <v>124</v>
          </cell>
          <cell r="F152">
            <v>3564</v>
          </cell>
          <cell r="G152">
            <v>1</v>
          </cell>
        </row>
        <row r="153">
          <cell r="A153" t="str">
            <v>12</v>
          </cell>
          <cell r="B153" t="str">
            <v>62935</v>
          </cell>
          <cell r="C153" t="str">
            <v>Humboldt</v>
          </cell>
          <cell r="D153" t="str">
            <v>Maple Creek Elementary</v>
          </cell>
          <cell r="E153">
            <v>11</v>
          </cell>
          <cell r="F153">
            <v>2228</v>
          </cell>
          <cell r="G153">
            <v>1</v>
          </cell>
        </row>
        <row r="154">
          <cell r="A154" t="str">
            <v>12</v>
          </cell>
          <cell r="B154" t="str">
            <v>62950</v>
          </cell>
          <cell r="C154" t="str">
            <v>Humboldt</v>
          </cell>
          <cell r="D154" t="str">
            <v>McKinleyville Union Elementary</v>
          </cell>
          <cell r="E154">
            <v>1165</v>
          </cell>
          <cell r="F154">
            <v>19805</v>
          </cell>
          <cell r="G154">
            <v>3</v>
          </cell>
        </row>
        <row r="155">
          <cell r="A155" t="str">
            <v>12</v>
          </cell>
          <cell r="B155" t="str">
            <v>62968</v>
          </cell>
          <cell r="C155" t="str">
            <v>Humboldt</v>
          </cell>
          <cell r="D155" t="str">
            <v>Orick Elementary</v>
          </cell>
          <cell r="E155">
            <v>24</v>
          </cell>
          <cell r="F155">
            <v>3564</v>
          </cell>
          <cell r="G155">
            <v>1</v>
          </cell>
        </row>
        <row r="156">
          <cell r="A156" t="str">
            <v>12</v>
          </cell>
          <cell r="B156" t="str">
            <v>62976</v>
          </cell>
          <cell r="C156" t="str">
            <v>Humboldt</v>
          </cell>
          <cell r="D156" t="str">
            <v>Pacific Union Elementary</v>
          </cell>
          <cell r="E156">
            <v>525</v>
          </cell>
          <cell r="F156">
            <v>11911</v>
          </cell>
          <cell r="G156">
            <v>2</v>
          </cell>
        </row>
        <row r="157">
          <cell r="A157" t="str">
            <v>12</v>
          </cell>
          <cell r="B157" t="str">
            <v>62984</v>
          </cell>
          <cell r="C157" t="str">
            <v>Humboldt</v>
          </cell>
          <cell r="D157" t="str">
            <v>Peninsula Union</v>
          </cell>
          <cell r="E157">
            <v>22</v>
          </cell>
          <cell r="F157">
            <v>3564</v>
          </cell>
          <cell r="G157">
            <v>1</v>
          </cell>
        </row>
        <row r="158">
          <cell r="A158" t="str">
            <v>12</v>
          </cell>
          <cell r="B158" t="str">
            <v>63008</v>
          </cell>
          <cell r="C158" t="str">
            <v>Humboldt</v>
          </cell>
          <cell r="D158" t="str">
            <v>Rio Dell Elementary</v>
          </cell>
          <cell r="E158">
            <v>287</v>
          </cell>
          <cell r="F158">
            <v>7128</v>
          </cell>
          <cell r="G158">
            <v>2</v>
          </cell>
        </row>
        <row r="159">
          <cell r="A159" t="str">
            <v>12</v>
          </cell>
          <cell r="B159" t="str">
            <v>63016</v>
          </cell>
          <cell r="C159" t="str">
            <v>Humboldt</v>
          </cell>
          <cell r="D159" t="str">
            <v>Rohnerville Elementary</v>
          </cell>
          <cell r="E159">
            <v>675</v>
          </cell>
          <cell r="F159">
            <v>11475</v>
          </cell>
          <cell r="G159">
            <v>2</v>
          </cell>
        </row>
        <row r="160">
          <cell r="A160" t="str">
            <v>12</v>
          </cell>
          <cell r="B160" t="str">
            <v>63024</v>
          </cell>
          <cell r="C160" t="str">
            <v>Humboldt</v>
          </cell>
          <cell r="D160" t="str">
            <v>Scotia Union Elementary</v>
          </cell>
          <cell r="E160">
            <v>201</v>
          </cell>
          <cell r="F160">
            <v>3564</v>
          </cell>
          <cell r="G160">
            <v>1</v>
          </cell>
        </row>
        <row r="161">
          <cell r="A161" t="str">
            <v>12</v>
          </cell>
          <cell r="B161" t="str">
            <v>63032</v>
          </cell>
          <cell r="C161" t="str">
            <v>Humboldt</v>
          </cell>
          <cell r="D161" t="str">
            <v>South Bay Union Elementary</v>
          </cell>
          <cell r="E161">
            <v>408</v>
          </cell>
          <cell r="F161">
            <v>7984</v>
          </cell>
          <cell r="G161">
            <v>2</v>
          </cell>
        </row>
        <row r="162">
          <cell r="A162" t="str">
            <v>12</v>
          </cell>
          <cell r="B162" t="str">
            <v>63040</v>
          </cell>
          <cell r="C162" t="str">
            <v>Humboldt</v>
          </cell>
          <cell r="D162" t="str">
            <v>Southern Humboldt Joint Unified</v>
          </cell>
          <cell r="E162">
            <v>802</v>
          </cell>
          <cell r="F162">
            <v>28419</v>
          </cell>
          <cell r="G162">
            <v>8</v>
          </cell>
        </row>
        <row r="163">
          <cell r="A163" t="str">
            <v>12</v>
          </cell>
          <cell r="B163" t="str">
            <v>63057</v>
          </cell>
          <cell r="C163" t="str">
            <v>Humboldt</v>
          </cell>
          <cell r="D163" t="str">
            <v>Trinidad Union Elementary</v>
          </cell>
          <cell r="E163">
            <v>153</v>
          </cell>
          <cell r="F163">
            <v>3564</v>
          </cell>
          <cell r="G163">
            <v>1</v>
          </cell>
        </row>
        <row r="164">
          <cell r="A164" t="str">
            <v>12</v>
          </cell>
          <cell r="B164" t="str">
            <v>75374</v>
          </cell>
          <cell r="C164" t="str">
            <v>Humboldt</v>
          </cell>
          <cell r="D164" t="str">
            <v>Ferndale Unified</v>
          </cell>
          <cell r="E164">
            <v>487</v>
          </cell>
          <cell r="F164">
            <v>9072</v>
          </cell>
          <cell r="G164">
            <v>2</v>
          </cell>
        </row>
        <row r="165">
          <cell r="A165" t="str">
            <v>12</v>
          </cell>
          <cell r="B165" t="str">
            <v>75382</v>
          </cell>
          <cell r="C165" t="str">
            <v>Humboldt</v>
          </cell>
          <cell r="D165" t="str">
            <v>Mattole Unified</v>
          </cell>
          <cell r="E165">
            <v>880</v>
          </cell>
          <cell r="F165">
            <v>22148</v>
          </cell>
          <cell r="G165">
            <v>4</v>
          </cell>
        </row>
        <row r="166">
          <cell r="A166" t="str">
            <v>12</v>
          </cell>
          <cell r="B166" t="str">
            <v>75515</v>
          </cell>
          <cell r="C166" t="str">
            <v>Humboldt</v>
          </cell>
          <cell r="D166" t="str">
            <v>Eureka City Unified</v>
          </cell>
          <cell r="E166">
            <v>4149</v>
          </cell>
          <cell r="F166">
            <v>75606</v>
          </cell>
          <cell r="G166">
            <v>9</v>
          </cell>
        </row>
        <row r="167">
          <cell r="A167" t="str">
            <v>13</v>
          </cell>
          <cell r="B167" t="str">
            <v>10132</v>
          </cell>
          <cell r="C167" t="str">
            <v>Imperial</v>
          </cell>
          <cell r="D167" t="str">
            <v>Imperial County Office of Education</v>
          </cell>
          <cell r="E167">
            <v>688</v>
          </cell>
          <cell r="F167">
            <v>11696</v>
          </cell>
          <cell r="G167">
            <v>2</v>
          </cell>
        </row>
        <row r="168">
          <cell r="A168" t="str">
            <v>13</v>
          </cell>
          <cell r="B168" t="str">
            <v>63073</v>
          </cell>
          <cell r="C168" t="str">
            <v>Imperial</v>
          </cell>
          <cell r="D168" t="str">
            <v>Brawley Elementary</v>
          </cell>
          <cell r="E168">
            <v>3680</v>
          </cell>
          <cell r="F168">
            <v>62562</v>
          </cell>
          <cell r="G168">
            <v>5</v>
          </cell>
        </row>
        <row r="169">
          <cell r="A169" t="str">
            <v>13</v>
          </cell>
          <cell r="B169" t="str">
            <v>63081</v>
          </cell>
          <cell r="C169" t="str">
            <v>Imperial</v>
          </cell>
          <cell r="D169" t="str">
            <v>Brawley Union High</v>
          </cell>
          <cell r="E169">
            <v>1952</v>
          </cell>
          <cell r="F169">
            <v>35526</v>
          </cell>
          <cell r="G169">
            <v>3</v>
          </cell>
        </row>
        <row r="170">
          <cell r="A170" t="str">
            <v>13</v>
          </cell>
          <cell r="B170" t="str">
            <v>63099</v>
          </cell>
          <cell r="C170" t="str">
            <v>Imperial</v>
          </cell>
          <cell r="D170" t="str">
            <v>Calexico Unified</v>
          </cell>
          <cell r="E170">
            <v>9255</v>
          </cell>
          <cell r="F170">
            <v>159397</v>
          </cell>
          <cell r="G170">
            <v>13</v>
          </cell>
        </row>
        <row r="171">
          <cell r="A171" t="str">
            <v>13</v>
          </cell>
          <cell r="B171" t="str">
            <v>63107</v>
          </cell>
          <cell r="C171" t="str">
            <v>Imperial</v>
          </cell>
          <cell r="D171" t="str">
            <v>Calipatria Unified</v>
          </cell>
          <cell r="E171">
            <v>1190</v>
          </cell>
          <cell r="F171">
            <v>21805</v>
          </cell>
          <cell r="G171">
            <v>4</v>
          </cell>
        </row>
        <row r="172">
          <cell r="A172" t="str">
            <v>13</v>
          </cell>
          <cell r="B172" t="str">
            <v>63115</v>
          </cell>
          <cell r="C172" t="str">
            <v>Imperial</v>
          </cell>
          <cell r="D172" t="str">
            <v>Central Union High</v>
          </cell>
          <cell r="E172">
            <v>4156</v>
          </cell>
          <cell r="F172">
            <v>71209</v>
          </cell>
          <cell r="G172">
            <v>3</v>
          </cell>
        </row>
        <row r="173">
          <cell r="A173" t="str">
            <v>13</v>
          </cell>
          <cell r="B173" t="str">
            <v>63123</v>
          </cell>
          <cell r="C173" t="str">
            <v>Imperial</v>
          </cell>
          <cell r="D173" t="str">
            <v>El Centro Elementary</v>
          </cell>
          <cell r="E173">
            <v>5644</v>
          </cell>
          <cell r="F173">
            <v>95949</v>
          </cell>
          <cell r="G173">
            <v>11</v>
          </cell>
        </row>
        <row r="174">
          <cell r="A174" t="str">
            <v>13</v>
          </cell>
          <cell r="B174" t="str">
            <v>63131</v>
          </cell>
          <cell r="C174" t="str">
            <v>Imperial</v>
          </cell>
          <cell r="D174" t="str">
            <v>Heber Elementary</v>
          </cell>
          <cell r="E174">
            <v>1037</v>
          </cell>
          <cell r="F174">
            <v>17630</v>
          </cell>
          <cell r="G174">
            <v>1</v>
          </cell>
        </row>
        <row r="175">
          <cell r="A175" t="str">
            <v>13</v>
          </cell>
          <cell r="B175" t="str">
            <v>63149</v>
          </cell>
          <cell r="C175" t="str">
            <v>Imperial</v>
          </cell>
          <cell r="D175" t="str">
            <v>Holtville Unified</v>
          </cell>
          <cell r="E175">
            <v>1701</v>
          </cell>
          <cell r="F175">
            <v>32543</v>
          </cell>
          <cell r="G175">
            <v>5</v>
          </cell>
        </row>
        <row r="176">
          <cell r="A176" t="str">
            <v>13</v>
          </cell>
          <cell r="B176" t="str">
            <v>63164</v>
          </cell>
          <cell r="C176" t="str">
            <v>Imperial</v>
          </cell>
          <cell r="D176" t="str">
            <v>Imperial Unified</v>
          </cell>
          <cell r="E176">
            <v>3602</v>
          </cell>
          <cell r="F176">
            <v>66291</v>
          </cell>
          <cell r="G176">
            <v>6</v>
          </cell>
        </row>
        <row r="177">
          <cell r="A177" t="str">
            <v>13</v>
          </cell>
          <cell r="B177" t="str">
            <v>63172</v>
          </cell>
          <cell r="C177" t="str">
            <v>Imperial</v>
          </cell>
          <cell r="D177" t="str">
            <v>Magnolia Union Elementary</v>
          </cell>
          <cell r="E177">
            <v>118</v>
          </cell>
          <cell r="F177">
            <v>3564</v>
          </cell>
          <cell r="G177">
            <v>1</v>
          </cell>
        </row>
        <row r="178">
          <cell r="A178" t="str">
            <v>13</v>
          </cell>
          <cell r="B178" t="str">
            <v>63180</v>
          </cell>
          <cell r="C178" t="str">
            <v>Imperial</v>
          </cell>
          <cell r="D178" t="str">
            <v>McCabe Union Elementary</v>
          </cell>
          <cell r="E178">
            <v>1126</v>
          </cell>
          <cell r="F178">
            <v>19143</v>
          </cell>
          <cell r="G178">
            <v>1</v>
          </cell>
        </row>
        <row r="179">
          <cell r="A179" t="str">
            <v>13</v>
          </cell>
          <cell r="B179" t="str">
            <v>63198</v>
          </cell>
          <cell r="C179" t="str">
            <v>Imperial</v>
          </cell>
          <cell r="D179" t="str">
            <v>Meadows Union Elementary</v>
          </cell>
          <cell r="E179">
            <v>483</v>
          </cell>
          <cell r="F179">
            <v>8211</v>
          </cell>
          <cell r="G179">
            <v>1</v>
          </cell>
        </row>
        <row r="180">
          <cell r="A180" t="str">
            <v>13</v>
          </cell>
          <cell r="B180" t="str">
            <v>63206</v>
          </cell>
          <cell r="C180" t="str">
            <v>Imperial</v>
          </cell>
          <cell r="D180" t="str">
            <v>Mulberry Elementary</v>
          </cell>
          <cell r="E180">
            <v>73</v>
          </cell>
          <cell r="F180">
            <v>3564</v>
          </cell>
          <cell r="G180">
            <v>1</v>
          </cell>
        </row>
        <row r="181">
          <cell r="A181" t="str">
            <v>13</v>
          </cell>
          <cell r="B181" t="str">
            <v>63214</v>
          </cell>
          <cell r="C181" t="str">
            <v>Imperial</v>
          </cell>
          <cell r="D181" t="str">
            <v>San Pasqual Valley Unified</v>
          </cell>
          <cell r="E181">
            <v>746</v>
          </cell>
          <cell r="F181">
            <v>16071</v>
          </cell>
          <cell r="G181">
            <v>4</v>
          </cell>
        </row>
        <row r="182">
          <cell r="A182" t="str">
            <v>13</v>
          </cell>
          <cell r="B182" t="str">
            <v>63222</v>
          </cell>
          <cell r="C182" t="str">
            <v>Imperial</v>
          </cell>
          <cell r="D182" t="str">
            <v>Seeley Union Elementary</v>
          </cell>
          <cell r="E182">
            <v>436</v>
          </cell>
          <cell r="F182">
            <v>7412</v>
          </cell>
          <cell r="G182">
            <v>1</v>
          </cell>
        </row>
        <row r="183">
          <cell r="A183" t="str">
            <v>13</v>
          </cell>
          <cell r="B183" t="str">
            <v>63230</v>
          </cell>
          <cell r="C183" t="str">
            <v>Imperial</v>
          </cell>
          <cell r="D183" t="str">
            <v>Westmorland Union Elementary</v>
          </cell>
          <cell r="E183">
            <v>364</v>
          </cell>
          <cell r="F183">
            <v>6188</v>
          </cell>
          <cell r="G183">
            <v>1</v>
          </cell>
        </row>
        <row r="184">
          <cell r="A184" t="str">
            <v>14</v>
          </cell>
          <cell r="B184" t="str">
            <v>10140</v>
          </cell>
          <cell r="C184" t="str">
            <v>Inyo</v>
          </cell>
          <cell r="D184" t="str">
            <v>Inyo County Office of Education</v>
          </cell>
          <cell r="E184">
            <v>264</v>
          </cell>
          <cell r="F184">
            <v>11743</v>
          </cell>
          <cell r="G184">
            <v>4</v>
          </cell>
        </row>
        <row r="185">
          <cell r="A185" t="str">
            <v>14</v>
          </cell>
          <cell r="B185" t="str">
            <v>63248</v>
          </cell>
          <cell r="C185" t="str">
            <v>Inyo</v>
          </cell>
          <cell r="D185" t="str">
            <v>Big Pine Unified</v>
          </cell>
          <cell r="E185">
            <v>195</v>
          </cell>
          <cell r="F185">
            <v>9356</v>
          </cell>
          <cell r="G185">
            <v>3</v>
          </cell>
        </row>
        <row r="186">
          <cell r="A186" t="str">
            <v>14</v>
          </cell>
          <cell r="B186" t="str">
            <v>63255</v>
          </cell>
          <cell r="C186" t="str">
            <v>Inyo</v>
          </cell>
          <cell r="D186" t="str">
            <v>Bishop Union Elementary</v>
          </cell>
          <cell r="E186">
            <v>1250</v>
          </cell>
          <cell r="F186">
            <v>25587</v>
          </cell>
          <cell r="G186">
            <v>5</v>
          </cell>
        </row>
        <row r="187">
          <cell r="A187" t="str">
            <v>14</v>
          </cell>
          <cell r="B187" t="str">
            <v>63263</v>
          </cell>
          <cell r="C187" t="str">
            <v>Inyo</v>
          </cell>
          <cell r="D187" t="str">
            <v>Bishop Joint Union High</v>
          </cell>
          <cell r="E187">
            <v>702</v>
          </cell>
          <cell r="F187">
            <v>14512</v>
          </cell>
          <cell r="G187">
            <v>2</v>
          </cell>
        </row>
        <row r="188">
          <cell r="A188" t="str">
            <v>14</v>
          </cell>
          <cell r="B188" t="str">
            <v>63271</v>
          </cell>
          <cell r="C188" t="str">
            <v>Inyo</v>
          </cell>
          <cell r="D188" t="str">
            <v>Death Valley Unified</v>
          </cell>
          <cell r="E188">
            <v>77</v>
          </cell>
          <cell r="F188">
            <v>13812</v>
          </cell>
          <cell r="G188">
            <v>5</v>
          </cell>
        </row>
        <row r="189">
          <cell r="A189" t="str">
            <v>14</v>
          </cell>
          <cell r="B189" t="str">
            <v>63289</v>
          </cell>
          <cell r="C189" t="str">
            <v>Inyo</v>
          </cell>
          <cell r="D189" t="str">
            <v>Lone Pine Unified</v>
          </cell>
          <cell r="E189">
            <v>396</v>
          </cell>
          <cell r="F189">
            <v>10093</v>
          </cell>
          <cell r="G189">
            <v>3</v>
          </cell>
        </row>
        <row r="190">
          <cell r="A190" t="str">
            <v>14</v>
          </cell>
          <cell r="B190" t="str">
            <v>63297</v>
          </cell>
          <cell r="C190" t="str">
            <v>Inyo</v>
          </cell>
          <cell r="D190" t="str">
            <v>Owens Valley Unified</v>
          </cell>
          <cell r="E190">
            <v>60</v>
          </cell>
          <cell r="F190">
            <v>9356</v>
          </cell>
          <cell r="G190">
            <v>3</v>
          </cell>
        </row>
        <row r="191">
          <cell r="A191" t="str">
            <v>14</v>
          </cell>
          <cell r="B191" t="str">
            <v>63305</v>
          </cell>
          <cell r="C191" t="str">
            <v>Inyo</v>
          </cell>
          <cell r="D191" t="str">
            <v>Round Valley Joint Elementary</v>
          </cell>
          <cell r="E191">
            <v>117</v>
          </cell>
          <cell r="F191">
            <v>3564</v>
          </cell>
          <cell r="G191">
            <v>1</v>
          </cell>
        </row>
        <row r="192">
          <cell r="A192" t="str">
            <v>15</v>
          </cell>
          <cell r="B192" t="str">
            <v>10157</v>
          </cell>
          <cell r="C192" t="str">
            <v>Kern</v>
          </cell>
          <cell r="D192" t="str">
            <v>Kern County Office of Education</v>
          </cell>
          <cell r="E192">
            <v>3570</v>
          </cell>
          <cell r="F192">
            <v>60692</v>
          </cell>
          <cell r="G192">
            <v>4</v>
          </cell>
        </row>
        <row r="193">
          <cell r="A193" t="str">
            <v>15</v>
          </cell>
          <cell r="B193" t="str">
            <v>63313</v>
          </cell>
          <cell r="C193" t="str">
            <v>Kern</v>
          </cell>
          <cell r="D193" t="str">
            <v>Arvin Union Elementary</v>
          </cell>
          <cell r="E193">
            <v>3362</v>
          </cell>
          <cell r="F193">
            <v>57157</v>
          </cell>
          <cell r="G193">
            <v>4</v>
          </cell>
        </row>
        <row r="194">
          <cell r="A194" t="str">
            <v>15</v>
          </cell>
          <cell r="B194" t="str">
            <v>63321</v>
          </cell>
          <cell r="C194" t="str">
            <v>Kern</v>
          </cell>
          <cell r="D194" t="str">
            <v>Bakersfield City</v>
          </cell>
          <cell r="E194">
            <v>27263</v>
          </cell>
          <cell r="F194">
            <v>466320</v>
          </cell>
          <cell r="G194">
            <v>41</v>
          </cell>
        </row>
        <row r="195">
          <cell r="A195" t="str">
            <v>15</v>
          </cell>
          <cell r="B195" t="str">
            <v>63339</v>
          </cell>
          <cell r="C195" t="str">
            <v>Kern</v>
          </cell>
          <cell r="D195" t="str">
            <v>Beardsley Elementary</v>
          </cell>
          <cell r="E195">
            <v>1738</v>
          </cell>
          <cell r="F195">
            <v>29546</v>
          </cell>
          <cell r="G195">
            <v>4</v>
          </cell>
        </row>
        <row r="196">
          <cell r="A196" t="str">
            <v>15</v>
          </cell>
          <cell r="B196" t="str">
            <v>63347</v>
          </cell>
          <cell r="C196" t="str">
            <v>Kern</v>
          </cell>
          <cell r="D196" t="str">
            <v>Belridge Elementary</v>
          </cell>
          <cell r="E196">
            <v>35</v>
          </cell>
          <cell r="F196">
            <v>3564</v>
          </cell>
          <cell r="G196">
            <v>1</v>
          </cell>
        </row>
        <row r="197">
          <cell r="A197" t="str">
            <v>15</v>
          </cell>
          <cell r="B197" t="str">
            <v>63354</v>
          </cell>
          <cell r="C197" t="str">
            <v>Kern</v>
          </cell>
          <cell r="D197" t="str">
            <v>Blake Elementary</v>
          </cell>
          <cell r="E197">
            <v>6</v>
          </cell>
          <cell r="F197">
            <v>2228</v>
          </cell>
          <cell r="G197">
            <v>1</v>
          </cell>
        </row>
        <row r="198">
          <cell r="A198" t="str">
            <v>15</v>
          </cell>
          <cell r="B198" t="str">
            <v>63362</v>
          </cell>
          <cell r="C198" t="str">
            <v>Kern</v>
          </cell>
          <cell r="D198" t="str">
            <v>Panama-Buena Vista Union</v>
          </cell>
          <cell r="E198">
            <v>16385</v>
          </cell>
          <cell r="F198">
            <v>278558</v>
          </cell>
          <cell r="G198">
            <v>22</v>
          </cell>
        </row>
        <row r="199">
          <cell r="A199" t="str">
            <v>15</v>
          </cell>
          <cell r="B199" t="str">
            <v>63370</v>
          </cell>
          <cell r="C199" t="str">
            <v>Kern</v>
          </cell>
          <cell r="D199" t="str">
            <v>Buttonwillow Union Elementary</v>
          </cell>
          <cell r="E199">
            <v>386</v>
          </cell>
          <cell r="F199">
            <v>6562</v>
          </cell>
          <cell r="G199">
            <v>1</v>
          </cell>
        </row>
        <row r="200">
          <cell r="A200" t="str">
            <v>15</v>
          </cell>
          <cell r="B200" t="str">
            <v>63388</v>
          </cell>
          <cell r="C200" t="str">
            <v>Kern</v>
          </cell>
          <cell r="D200" t="str">
            <v>Caliente Union Elementary</v>
          </cell>
          <cell r="E200">
            <v>103</v>
          </cell>
          <cell r="F200">
            <v>5792</v>
          </cell>
          <cell r="G200">
            <v>2</v>
          </cell>
        </row>
        <row r="201">
          <cell r="A201" t="str">
            <v>15</v>
          </cell>
          <cell r="B201" t="str">
            <v>63404</v>
          </cell>
          <cell r="C201" t="str">
            <v>Kern</v>
          </cell>
          <cell r="D201" t="str">
            <v>Delano Union Elementary</v>
          </cell>
          <cell r="E201">
            <v>7716</v>
          </cell>
          <cell r="F201">
            <v>131175</v>
          </cell>
          <cell r="G201">
            <v>11</v>
          </cell>
        </row>
        <row r="202">
          <cell r="A202" t="str">
            <v>15</v>
          </cell>
          <cell r="B202" t="str">
            <v>63412</v>
          </cell>
          <cell r="C202" t="str">
            <v>Kern</v>
          </cell>
          <cell r="D202" t="str">
            <v>Delano Joint Union High</v>
          </cell>
          <cell r="E202">
            <v>4634</v>
          </cell>
          <cell r="F202">
            <v>80338</v>
          </cell>
          <cell r="G202">
            <v>5</v>
          </cell>
        </row>
        <row r="203">
          <cell r="A203" t="str">
            <v>15</v>
          </cell>
          <cell r="B203" t="str">
            <v>63420</v>
          </cell>
          <cell r="C203" t="str">
            <v>Kern</v>
          </cell>
          <cell r="D203" t="str">
            <v>Di Giorgio Elementary</v>
          </cell>
          <cell r="E203">
            <v>210</v>
          </cell>
          <cell r="F203">
            <v>3570</v>
          </cell>
          <cell r="G203">
            <v>1</v>
          </cell>
        </row>
        <row r="204">
          <cell r="A204" t="str">
            <v>15</v>
          </cell>
          <cell r="B204" t="str">
            <v>63438</v>
          </cell>
          <cell r="C204" t="str">
            <v>Kern</v>
          </cell>
          <cell r="D204" t="str">
            <v>Edison Elementary</v>
          </cell>
          <cell r="E204">
            <v>1112</v>
          </cell>
          <cell r="F204">
            <v>18904</v>
          </cell>
          <cell r="G204">
            <v>2</v>
          </cell>
        </row>
        <row r="205">
          <cell r="A205" t="str">
            <v>15</v>
          </cell>
          <cell r="B205" t="str">
            <v>63446</v>
          </cell>
          <cell r="C205" t="str">
            <v>Kern</v>
          </cell>
          <cell r="D205" t="str">
            <v>Elk Hills Elementary</v>
          </cell>
          <cell r="E205">
            <v>72</v>
          </cell>
          <cell r="F205">
            <v>3564</v>
          </cell>
          <cell r="G205">
            <v>1</v>
          </cell>
        </row>
        <row r="206">
          <cell r="A206" t="str">
            <v>15</v>
          </cell>
          <cell r="B206" t="str">
            <v>63461</v>
          </cell>
          <cell r="C206" t="str">
            <v>Kern</v>
          </cell>
          <cell r="D206" t="str">
            <v>Fairfax Elementary</v>
          </cell>
          <cell r="E206">
            <v>2122</v>
          </cell>
          <cell r="F206">
            <v>36074</v>
          </cell>
          <cell r="G206">
            <v>3</v>
          </cell>
        </row>
        <row r="207">
          <cell r="A207" t="str">
            <v>15</v>
          </cell>
          <cell r="B207" t="str">
            <v>63479</v>
          </cell>
          <cell r="C207" t="str">
            <v>Kern</v>
          </cell>
          <cell r="D207" t="str">
            <v>Fruitvale Elementary</v>
          </cell>
          <cell r="E207">
            <v>3237</v>
          </cell>
          <cell r="F207">
            <v>55031</v>
          </cell>
          <cell r="G207">
            <v>5</v>
          </cell>
        </row>
        <row r="208">
          <cell r="A208" t="str">
            <v>15</v>
          </cell>
          <cell r="B208" t="str">
            <v>63487</v>
          </cell>
          <cell r="C208" t="str">
            <v>Kern</v>
          </cell>
          <cell r="D208" t="str">
            <v>General Shafter Elementary</v>
          </cell>
          <cell r="E208">
            <v>188</v>
          </cell>
          <cell r="F208">
            <v>3564</v>
          </cell>
          <cell r="G208">
            <v>1</v>
          </cell>
        </row>
        <row r="209">
          <cell r="A209" t="str">
            <v>15</v>
          </cell>
          <cell r="B209" t="str">
            <v>63503</v>
          </cell>
          <cell r="C209" t="str">
            <v>Kern</v>
          </cell>
          <cell r="D209" t="str">
            <v>Greenfield Union</v>
          </cell>
          <cell r="E209">
            <v>8411</v>
          </cell>
          <cell r="F209">
            <v>142993</v>
          </cell>
          <cell r="G209">
            <v>11</v>
          </cell>
        </row>
        <row r="210">
          <cell r="A210" t="str">
            <v>15</v>
          </cell>
          <cell r="B210" t="str">
            <v>63529</v>
          </cell>
          <cell r="C210" t="str">
            <v>Kern</v>
          </cell>
          <cell r="D210" t="str">
            <v>Kern Union High</v>
          </cell>
          <cell r="E210">
            <v>37783</v>
          </cell>
          <cell r="F210">
            <v>649729</v>
          </cell>
          <cell r="G210">
            <v>24</v>
          </cell>
        </row>
        <row r="211">
          <cell r="A211" t="str">
            <v>15</v>
          </cell>
          <cell r="B211" t="str">
            <v>63545</v>
          </cell>
          <cell r="C211" t="str">
            <v>Kern</v>
          </cell>
          <cell r="D211" t="str">
            <v>Kernville Union Elementary</v>
          </cell>
          <cell r="E211">
            <v>878</v>
          </cell>
          <cell r="F211">
            <v>17811</v>
          </cell>
          <cell r="G211">
            <v>3</v>
          </cell>
        </row>
        <row r="212">
          <cell r="A212" t="str">
            <v>15</v>
          </cell>
          <cell r="B212" t="str">
            <v>63552</v>
          </cell>
          <cell r="C212" t="str">
            <v>Kern</v>
          </cell>
          <cell r="D212" t="str">
            <v>Lakeside Union</v>
          </cell>
          <cell r="E212">
            <v>1345</v>
          </cell>
          <cell r="F212">
            <v>22866</v>
          </cell>
          <cell r="G212">
            <v>2</v>
          </cell>
        </row>
        <row r="213">
          <cell r="A213" t="str">
            <v>15</v>
          </cell>
          <cell r="B213" t="str">
            <v>63560</v>
          </cell>
          <cell r="C213" t="str">
            <v>Kern</v>
          </cell>
          <cell r="D213" t="str">
            <v>Lamont Elementary</v>
          </cell>
          <cell r="E213">
            <v>2626</v>
          </cell>
          <cell r="F213">
            <v>44643</v>
          </cell>
          <cell r="G213">
            <v>4</v>
          </cell>
        </row>
        <row r="214">
          <cell r="A214" t="str">
            <v>15</v>
          </cell>
          <cell r="B214" t="str">
            <v>63578</v>
          </cell>
          <cell r="C214" t="str">
            <v>Kern</v>
          </cell>
          <cell r="D214" t="str">
            <v>Richland Union Elementary</v>
          </cell>
          <cell r="E214">
            <v>3124</v>
          </cell>
          <cell r="F214">
            <v>53110</v>
          </cell>
          <cell r="G214">
            <v>4</v>
          </cell>
        </row>
        <row r="215">
          <cell r="A215" t="str">
            <v>15</v>
          </cell>
          <cell r="B215" t="str">
            <v>63586</v>
          </cell>
          <cell r="C215" t="str">
            <v>Kern</v>
          </cell>
          <cell r="D215" t="str">
            <v>Linns Valley-Poso Flat Union</v>
          </cell>
          <cell r="E215">
            <v>20</v>
          </cell>
          <cell r="F215">
            <v>2228</v>
          </cell>
          <cell r="G215">
            <v>1</v>
          </cell>
        </row>
        <row r="216">
          <cell r="A216" t="str">
            <v>15</v>
          </cell>
          <cell r="B216" t="str">
            <v>63594</v>
          </cell>
          <cell r="C216" t="str">
            <v>Kern</v>
          </cell>
          <cell r="D216" t="str">
            <v>Lost Hills Union Elementary</v>
          </cell>
          <cell r="E216">
            <v>598</v>
          </cell>
          <cell r="F216">
            <v>10721</v>
          </cell>
          <cell r="G216">
            <v>2</v>
          </cell>
        </row>
        <row r="217">
          <cell r="A217" t="str">
            <v>15</v>
          </cell>
          <cell r="B217" t="str">
            <v>63610</v>
          </cell>
          <cell r="C217" t="str">
            <v>Kern</v>
          </cell>
          <cell r="D217" t="str">
            <v>Maple Elementary</v>
          </cell>
          <cell r="E217">
            <v>274</v>
          </cell>
          <cell r="F217">
            <v>4658</v>
          </cell>
          <cell r="G217">
            <v>1</v>
          </cell>
        </row>
        <row r="218">
          <cell r="A218" t="str">
            <v>15</v>
          </cell>
          <cell r="B218" t="str">
            <v>63628</v>
          </cell>
          <cell r="C218" t="str">
            <v>Kern</v>
          </cell>
          <cell r="D218" t="str">
            <v>Maricopa Unified</v>
          </cell>
          <cell r="E218">
            <v>305</v>
          </cell>
          <cell r="F218">
            <v>7128</v>
          </cell>
          <cell r="G218">
            <v>2</v>
          </cell>
        </row>
        <row r="219">
          <cell r="A219" t="str">
            <v>15</v>
          </cell>
          <cell r="B219" t="str">
            <v>63651</v>
          </cell>
          <cell r="C219" t="str">
            <v>Kern</v>
          </cell>
          <cell r="D219" t="str">
            <v>McKittrick Elementary</v>
          </cell>
          <cell r="E219">
            <v>75</v>
          </cell>
          <cell r="F219">
            <v>3564</v>
          </cell>
          <cell r="G219">
            <v>1</v>
          </cell>
        </row>
        <row r="220">
          <cell r="A220" t="str">
            <v>15</v>
          </cell>
          <cell r="B220" t="str">
            <v>63669</v>
          </cell>
          <cell r="C220" t="str">
            <v>Kern</v>
          </cell>
          <cell r="D220" t="str">
            <v>Midway Elementary</v>
          </cell>
          <cell r="E220">
            <v>72</v>
          </cell>
          <cell r="F220">
            <v>3564</v>
          </cell>
          <cell r="G220">
            <v>1</v>
          </cell>
        </row>
        <row r="221">
          <cell r="A221" t="str">
            <v>15</v>
          </cell>
          <cell r="B221" t="str">
            <v>63677</v>
          </cell>
          <cell r="C221" t="str">
            <v>Kern</v>
          </cell>
          <cell r="D221" t="str">
            <v>Mojave Unified</v>
          </cell>
          <cell r="E221">
            <v>2920</v>
          </cell>
          <cell r="F221">
            <v>52813</v>
          </cell>
          <cell r="G221">
            <v>9</v>
          </cell>
        </row>
        <row r="222">
          <cell r="A222" t="str">
            <v>15</v>
          </cell>
          <cell r="B222" t="str">
            <v>63685</v>
          </cell>
          <cell r="C222" t="str">
            <v>Kern</v>
          </cell>
          <cell r="D222" t="str">
            <v>Muroc Joint Unified</v>
          </cell>
          <cell r="E222">
            <v>2043</v>
          </cell>
          <cell r="F222">
            <v>37769</v>
          </cell>
          <cell r="G222">
            <v>5</v>
          </cell>
        </row>
        <row r="223">
          <cell r="A223" t="str">
            <v>15</v>
          </cell>
          <cell r="B223" t="str">
            <v>63693</v>
          </cell>
          <cell r="C223" t="str">
            <v>Kern</v>
          </cell>
          <cell r="D223" t="str">
            <v>Norris Elementary</v>
          </cell>
          <cell r="E223">
            <v>3536</v>
          </cell>
          <cell r="F223">
            <v>60114</v>
          </cell>
          <cell r="G223">
            <v>5</v>
          </cell>
        </row>
        <row r="224">
          <cell r="A224" t="str">
            <v>15</v>
          </cell>
          <cell r="B224" t="str">
            <v>63719</v>
          </cell>
          <cell r="C224" t="str">
            <v>Kern</v>
          </cell>
          <cell r="D224" t="str">
            <v>Pond Union Elementary</v>
          </cell>
          <cell r="E224">
            <v>226</v>
          </cell>
          <cell r="F224">
            <v>3842</v>
          </cell>
          <cell r="G224">
            <v>1</v>
          </cell>
        </row>
        <row r="225">
          <cell r="A225" t="str">
            <v>15</v>
          </cell>
          <cell r="B225" t="str">
            <v>63750</v>
          </cell>
          <cell r="C225" t="str">
            <v>Kern</v>
          </cell>
          <cell r="D225" t="str">
            <v>Rosedale Union Elementary</v>
          </cell>
          <cell r="E225">
            <v>5325</v>
          </cell>
          <cell r="F225">
            <v>90526</v>
          </cell>
          <cell r="G225">
            <v>9</v>
          </cell>
        </row>
        <row r="226">
          <cell r="A226" t="str">
            <v>15</v>
          </cell>
          <cell r="B226" t="str">
            <v>63768</v>
          </cell>
          <cell r="C226" t="str">
            <v>Kern</v>
          </cell>
          <cell r="D226" t="str">
            <v>Semitropic Elementary</v>
          </cell>
          <cell r="E226">
            <v>234</v>
          </cell>
          <cell r="F226">
            <v>3978</v>
          </cell>
          <cell r="G226">
            <v>1</v>
          </cell>
        </row>
        <row r="227">
          <cell r="A227" t="str">
            <v>15</v>
          </cell>
          <cell r="B227" t="str">
            <v>63776</v>
          </cell>
          <cell r="C227" t="str">
            <v>Kern</v>
          </cell>
          <cell r="D227" t="str">
            <v>Southern Kern Unified</v>
          </cell>
          <cell r="E227">
            <v>3435</v>
          </cell>
          <cell r="F227">
            <v>62006</v>
          </cell>
          <cell r="G227">
            <v>6</v>
          </cell>
        </row>
        <row r="228">
          <cell r="A228" t="str">
            <v>15</v>
          </cell>
          <cell r="B228" t="str">
            <v>63784</v>
          </cell>
          <cell r="C228" t="str">
            <v>Kern</v>
          </cell>
          <cell r="D228" t="str">
            <v>South Fork Union</v>
          </cell>
          <cell r="E228">
            <v>303</v>
          </cell>
          <cell r="F228">
            <v>9356</v>
          </cell>
          <cell r="G228">
            <v>3</v>
          </cell>
        </row>
        <row r="229">
          <cell r="A229" t="str">
            <v>15</v>
          </cell>
          <cell r="B229" t="str">
            <v>63792</v>
          </cell>
          <cell r="C229" t="str">
            <v>Kern</v>
          </cell>
          <cell r="D229" t="str">
            <v>Standard Elementary</v>
          </cell>
          <cell r="E229">
            <v>2890</v>
          </cell>
          <cell r="F229">
            <v>49132</v>
          </cell>
          <cell r="G229">
            <v>4</v>
          </cell>
        </row>
        <row r="230">
          <cell r="A230" t="str">
            <v>15</v>
          </cell>
          <cell r="B230" t="str">
            <v>63800</v>
          </cell>
          <cell r="C230" t="str">
            <v>Kern</v>
          </cell>
          <cell r="D230" t="str">
            <v>Taft City</v>
          </cell>
          <cell r="E230">
            <v>2139</v>
          </cell>
          <cell r="F230">
            <v>39412</v>
          </cell>
          <cell r="G230">
            <v>7</v>
          </cell>
        </row>
        <row r="231">
          <cell r="A231" t="str">
            <v>15</v>
          </cell>
          <cell r="B231" t="str">
            <v>63818</v>
          </cell>
          <cell r="C231" t="str">
            <v>Kern</v>
          </cell>
          <cell r="D231" t="str">
            <v>Taft Union High</v>
          </cell>
          <cell r="E231">
            <v>1066</v>
          </cell>
          <cell r="F231">
            <v>23279</v>
          </cell>
          <cell r="G231">
            <v>3</v>
          </cell>
        </row>
        <row r="232">
          <cell r="A232" t="str">
            <v>15</v>
          </cell>
          <cell r="B232" t="str">
            <v>63826</v>
          </cell>
          <cell r="C232" t="str">
            <v>Kern</v>
          </cell>
          <cell r="D232" t="str">
            <v>Tehachapi Unified</v>
          </cell>
          <cell r="E232">
            <v>4866</v>
          </cell>
          <cell r="F232">
            <v>83364</v>
          </cell>
          <cell r="G232">
            <v>6</v>
          </cell>
        </row>
        <row r="233">
          <cell r="A233" t="str">
            <v>15</v>
          </cell>
          <cell r="B233" t="str">
            <v>63834</v>
          </cell>
          <cell r="C233" t="str">
            <v>Kern</v>
          </cell>
          <cell r="D233" t="str">
            <v>Vineland Elementary</v>
          </cell>
          <cell r="E233">
            <v>862</v>
          </cell>
          <cell r="F233">
            <v>14654</v>
          </cell>
          <cell r="G233">
            <v>2</v>
          </cell>
        </row>
        <row r="234">
          <cell r="A234" t="str">
            <v>15</v>
          </cell>
          <cell r="B234" t="str">
            <v>63842</v>
          </cell>
          <cell r="C234" t="str">
            <v>Kern</v>
          </cell>
          <cell r="D234" t="str">
            <v>Wasco Union Elementary</v>
          </cell>
          <cell r="E234">
            <v>3182</v>
          </cell>
          <cell r="F234">
            <v>54094</v>
          </cell>
          <cell r="G234">
            <v>5</v>
          </cell>
        </row>
        <row r="235">
          <cell r="A235" t="str">
            <v>15</v>
          </cell>
          <cell r="B235" t="str">
            <v>63859</v>
          </cell>
          <cell r="C235" t="str">
            <v>Kern</v>
          </cell>
          <cell r="D235" t="str">
            <v>Wasco Union High</v>
          </cell>
          <cell r="E235">
            <v>1795</v>
          </cell>
          <cell r="F235">
            <v>31530</v>
          </cell>
          <cell r="G235">
            <v>2</v>
          </cell>
        </row>
        <row r="236">
          <cell r="A236" t="str">
            <v>15</v>
          </cell>
          <cell r="B236" t="str">
            <v>73544</v>
          </cell>
          <cell r="C236" t="str">
            <v>Kern</v>
          </cell>
          <cell r="D236" t="str">
            <v>Rio Bravo-Greeley Union Elementary</v>
          </cell>
          <cell r="E236">
            <v>949</v>
          </cell>
          <cell r="F236">
            <v>16133</v>
          </cell>
          <cell r="G236">
            <v>2</v>
          </cell>
        </row>
        <row r="237">
          <cell r="A237" t="str">
            <v>15</v>
          </cell>
          <cell r="B237" t="str">
            <v>73742</v>
          </cell>
          <cell r="C237" t="str">
            <v>Kern</v>
          </cell>
          <cell r="D237" t="str">
            <v>Sierra Sands Unified</v>
          </cell>
          <cell r="E237">
            <v>5509</v>
          </cell>
          <cell r="F237">
            <v>99101</v>
          </cell>
          <cell r="G237">
            <v>12</v>
          </cell>
        </row>
        <row r="238">
          <cell r="A238" t="str">
            <v>15</v>
          </cell>
          <cell r="B238" t="str">
            <v>73908</v>
          </cell>
          <cell r="C238" t="str">
            <v>Kern</v>
          </cell>
          <cell r="D238" t="str">
            <v>McFarland Unified</v>
          </cell>
          <cell r="E238">
            <v>3269</v>
          </cell>
          <cell r="F238">
            <v>60680</v>
          </cell>
          <cell r="G238">
            <v>6</v>
          </cell>
        </row>
        <row r="239">
          <cell r="A239" t="str">
            <v>15</v>
          </cell>
          <cell r="B239" t="str">
            <v>75168</v>
          </cell>
          <cell r="C239" t="str">
            <v>Kern</v>
          </cell>
          <cell r="D239" t="str">
            <v>El Tejon Unified</v>
          </cell>
          <cell r="E239">
            <v>1301</v>
          </cell>
          <cell r="F239">
            <v>27307</v>
          </cell>
          <cell r="G239">
            <v>5</v>
          </cell>
        </row>
        <row r="240">
          <cell r="A240" t="str">
            <v>16</v>
          </cell>
          <cell r="B240" t="str">
            <v>10165</v>
          </cell>
          <cell r="C240" t="str">
            <v>Kings</v>
          </cell>
          <cell r="D240" t="str">
            <v>Kings County Office of Education</v>
          </cell>
          <cell r="E240">
            <v>516</v>
          </cell>
          <cell r="F240">
            <v>11922</v>
          </cell>
          <cell r="G240">
            <v>3</v>
          </cell>
        </row>
        <row r="241">
          <cell r="A241" t="str">
            <v>16</v>
          </cell>
          <cell r="B241" t="str">
            <v>63875</v>
          </cell>
          <cell r="C241" t="str">
            <v>Kings</v>
          </cell>
          <cell r="D241" t="str">
            <v>Armona Union Elementary</v>
          </cell>
          <cell r="E241">
            <v>1213</v>
          </cell>
          <cell r="F241">
            <v>20621</v>
          </cell>
          <cell r="G241">
            <v>3</v>
          </cell>
        </row>
        <row r="242">
          <cell r="A242" t="str">
            <v>16</v>
          </cell>
          <cell r="B242" t="str">
            <v>63883</v>
          </cell>
          <cell r="C242" t="str">
            <v>Kings</v>
          </cell>
          <cell r="D242" t="str">
            <v>Central Union Elementary</v>
          </cell>
          <cell r="E242">
            <v>1866</v>
          </cell>
          <cell r="F242">
            <v>31722</v>
          </cell>
          <cell r="G242">
            <v>4</v>
          </cell>
        </row>
        <row r="243">
          <cell r="A243" t="str">
            <v>16</v>
          </cell>
          <cell r="B243" t="str">
            <v>63891</v>
          </cell>
          <cell r="C243" t="str">
            <v>Kings</v>
          </cell>
          <cell r="D243" t="str">
            <v>Corcoran Joint Unified</v>
          </cell>
          <cell r="E243">
            <v>3257</v>
          </cell>
          <cell r="F243">
            <v>60585</v>
          </cell>
          <cell r="G243">
            <v>7</v>
          </cell>
        </row>
        <row r="244">
          <cell r="A244" t="str">
            <v>16</v>
          </cell>
          <cell r="B244" t="str">
            <v>63909</v>
          </cell>
          <cell r="C244" t="str">
            <v>Kings</v>
          </cell>
          <cell r="D244" t="str">
            <v>Delta View Joint Union Elementary</v>
          </cell>
          <cell r="E244">
            <v>75</v>
          </cell>
          <cell r="F244">
            <v>3564</v>
          </cell>
          <cell r="G244">
            <v>1</v>
          </cell>
        </row>
        <row r="245">
          <cell r="A245" t="str">
            <v>16</v>
          </cell>
          <cell r="B245" t="str">
            <v>63917</v>
          </cell>
          <cell r="C245" t="str">
            <v>Kings</v>
          </cell>
          <cell r="D245" t="str">
            <v>Hanford Elementary</v>
          </cell>
          <cell r="E245">
            <v>5514</v>
          </cell>
          <cell r="F245">
            <v>96843</v>
          </cell>
          <cell r="G245">
            <v>11</v>
          </cell>
        </row>
        <row r="246">
          <cell r="A246" t="str">
            <v>16</v>
          </cell>
          <cell r="B246" t="str">
            <v>63925</v>
          </cell>
          <cell r="C246" t="str">
            <v>Kings</v>
          </cell>
          <cell r="D246" t="str">
            <v>Hanford Joint Union High</v>
          </cell>
          <cell r="E246">
            <v>3926</v>
          </cell>
          <cell r="F246">
            <v>71476</v>
          </cell>
          <cell r="G246">
            <v>5</v>
          </cell>
        </row>
        <row r="247">
          <cell r="A247" t="str">
            <v>16</v>
          </cell>
          <cell r="B247" t="str">
            <v>63933</v>
          </cell>
          <cell r="C247" t="str">
            <v>Kings</v>
          </cell>
          <cell r="D247" t="str">
            <v>Island Union Elementary</v>
          </cell>
          <cell r="E247">
            <v>277</v>
          </cell>
          <cell r="F247">
            <v>4709</v>
          </cell>
          <cell r="G247">
            <v>1</v>
          </cell>
        </row>
        <row r="248">
          <cell r="A248" t="str">
            <v>16</v>
          </cell>
          <cell r="B248" t="str">
            <v>63941</v>
          </cell>
          <cell r="C248" t="str">
            <v>Kings</v>
          </cell>
          <cell r="D248" t="str">
            <v>Kings River-Hardwick Union Elementary</v>
          </cell>
          <cell r="E248">
            <v>655</v>
          </cell>
          <cell r="F248">
            <v>11135</v>
          </cell>
          <cell r="G248">
            <v>1</v>
          </cell>
        </row>
        <row r="249">
          <cell r="A249" t="str">
            <v>16</v>
          </cell>
          <cell r="B249" t="str">
            <v>63958</v>
          </cell>
          <cell r="C249" t="str">
            <v>Kings</v>
          </cell>
          <cell r="D249" t="str">
            <v>Kit Carson Union Elementary</v>
          </cell>
          <cell r="E249">
            <v>424</v>
          </cell>
          <cell r="F249">
            <v>9181</v>
          </cell>
          <cell r="G249">
            <v>2</v>
          </cell>
        </row>
        <row r="250">
          <cell r="A250" t="str">
            <v>16</v>
          </cell>
          <cell r="B250" t="str">
            <v>63966</v>
          </cell>
          <cell r="C250" t="str">
            <v>Kings</v>
          </cell>
          <cell r="D250" t="str">
            <v>Lakeside Union Elementary</v>
          </cell>
          <cell r="E250">
            <v>366</v>
          </cell>
          <cell r="F250">
            <v>10654</v>
          </cell>
          <cell r="G250">
            <v>3</v>
          </cell>
        </row>
        <row r="251">
          <cell r="A251" t="str">
            <v>16</v>
          </cell>
          <cell r="B251" t="str">
            <v>63974</v>
          </cell>
          <cell r="C251" t="str">
            <v>Kings</v>
          </cell>
          <cell r="D251" t="str">
            <v>Lemoore Union Elementary</v>
          </cell>
          <cell r="E251">
            <v>3350</v>
          </cell>
          <cell r="F251">
            <v>56950</v>
          </cell>
          <cell r="G251">
            <v>6</v>
          </cell>
        </row>
        <row r="252">
          <cell r="A252" t="str">
            <v>16</v>
          </cell>
          <cell r="B252" t="str">
            <v>63982</v>
          </cell>
          <cell r="C252" t="str">
            <v>Kings</v>
          </cell>
          <cell r="D252" t="str">
            <v>Lemoore Union High</v>
          </cell>
          <cell r="E252">
            <v>2208</v>
          </cell>
          <cell r="F252">
            <v>45177</v>
          </cell>
          <cell r="G252">
            <v>5</v>
          </cell>
        </row>
        <row r="253">
          <cell r="A253" t="str">
            <v>16</v>
          </cell>
          <cell r="B253" t="str">
            <v>63990</v>
          </cell>
          <cell r="C253" t="str">
            <v>Kings</v>
          </cell>
          <cell r="D253" t="str">
            <v>Pioneer Union Elementary</v>
          </cell>
          <cell r="E253">
            <v>1664</v>
          </cell>
          <cell r="F253">
            <v>28288</v>
          </cell>
          <cell r="G253">
            <v>3</v>
          </cell>
        </row>
        <row r="254">
          <cell r="A254" t="str">
            <v>16</v>
          </cell>
          <cell r="B254" t="str">
            <v>73932</v>
          </cell>
          <cell r="C254" t="str">
            <v>Kings</v>
          </cell>
          <cell r="D254" t="str">
            <v>Reef-Sunset Unified</v>
          </cell>
          <cell r="E254">
            <v>2516</v>
          </cell>
          <cell r="F254">
            <v>50987</v>
          </cell>
          <cell r="G254">
            <v>9</v>
          </cell>
        </row>
        <row r="255">
          <cell r="A255" t="str">
            <v>17</v>
          </cell>
          <cell r="B255" t="str">
            <v>10173</v>
          </cell>
          <cell r="C255" t="str">
            <v>Lake</v>
          </cell>
          <cell r="D255" t="str">
            <v>Lake County Office of Education</v>
          </cell>
          <cell r="E255">
            <v>81</v>
          </cell>
          <cell r="F255">
            <v>12476</v>
          </cell>
          <cell r="G255">
            <v>5</v>
          </cell>
        </row>
        <row r="256">
          <cell r="A256" t="str">
            <v>17</v>
          </cell>
          <cell r="B256" t="str">
            <v>64014</v>
          </cell>
          <cell r="C256" t="str">
            <v>Lake</v>
          </cell>
          <cell r="D256" t="str">
            <v>Kelseyville Unified</v>
          </cell>
          <cell r="E256">
            <v>1752</v>
          </cell>
          <cell r="F256">
            <v>35805</v>
          </cell>
          <cell r="G256">
            <v>7</v>
          </cell>
        </row>
        <row r="257">
          <cell r="A257" t="str">
            <v>17</v>
          </cell>
          <cell r="B257" t="str">
            <v>64022</v>
          </cell>
          <cell r="C257" t="str">
            <v>Lake</v>
          </cell>
          <cell r="D257" t="str">
            <v>Konocti Unified</v>
          </cell>
          <cell r="E257">
            <v>3108</v>
          </cell>
          <cell r="F257">
            <v>63636</v>
          </cell>
          <cell r="G257">
            <v>10</v>
          </cell>
        </row>
        <row r="258">
          <cell r="A258" t="str">
            <v>17</v>
          </cell>
          <cell r="B258" t="str">
            <v>64030</v>
          </cell>
          <cell r="C258" t="str">
            <v>Lake</v>
          </cell>
          <cell r="D258" t="str">
            <v>Lakeport Unified</v>
          </cell>
          <cell r="E258">
            <v>1650</v>
          </cell>
          <cell r="F258">
            <v>36131</v>
          </cell>
          <cell r="G258">
            <v>6</v>
          </cell>
        </row>
        <row r="259">
          <cell r="A259" t="str">
            <v>17</v>
          </cell>
          <cell r="B259" t="str">
            <v>64048</v>
          </cell>
          <cell r="C259" t="str">
            <v>Lake</v>
          </cell>
          <cell r="D259" t="str">
            <v>Lucerne Elementary</v>
          </cell>
          <cell r="E259">
            <v>258</v>
          </cell>
          <cell r="F259">
            <v>4386</v>
          </cell>
          <cell r="G259">
            <v>1</v>
          </cell>
        </row>
        <row r="260">
          <cell r="A260" t="str">
            <v>17</v>
          </cell>
          <cell r="B260" t="str">
            <v>64055</v>
          </cell>
          <cell r="C260" t="str">
            <v>Lake</v>
          </cell>
          <cell r="D260" t="str">
            <v>Middletown Unified</v>
          </cell>
          <cell r="E260">
            <v>1741</v>
          </cell>
          <cell r="F260">
            <v>38285</v>
          </cell>
          <cell r="G260">
            <v>8</v>
          </cell>
        </row>
        <row r="261">
          <cell r="A261" t="str">
            <v>17</v>
          </cell>
          <cell r="B261" t="str">
            <v>64063</v>
          </cell>
          <cell r="C261" t="str">
            <v>Lake</v>
          </cell>
          <cell r="D261" t="str">
            <v>Upper Lake Union Elementary</v>
          </cell>
          <cell r="E261">
            <v>549</v>
          </cell>
          <cell r="F261">
            <v>11742</v>
          </cell>
          <cell r="G261">
            <v>3</v>
          </cell>
        </row>
        <row r="262">
          <cell r="A262" t="str">
            <v>17</v>
          </cell>
          <cell r="B262" t="str">
            <v>64071</v>
          </cell>
          <cell r="C262" t="str">
            <v>Lake</v>
          </cell>
          <cell r="D262" t="str">
            <v>Upper Lake Union High</v>
          </cell>
          <cell r="E262">
            <v>419</v>
          </cell>
          <cell r="F262">
            <v>12116</v>
          </cell>
          <cell r="G262">
            <v>3</v>
          </cell>
        </row>
        <row r="263">
          <cell r="A263" t="str">
            <v>18</v>
          </cell>
          <cell r="B263" t="str">
            <v>10181</v>
          </cell>
          <cell r="C263" t="str">
            <v>Lassen</v>
          </cell>
          <cell r="D263" t="str">
            <v>Lassen County Office of Education</v>
          </cell>
          <cell r="E263">
            <v>136</v>
          </cell>
          <cell r="F263">
            <v>11584</v>
          </cell>
          <cell r="G263">
            <v>4</v>
          </cell>
        </row>
        <row r="264">
          <cell r="A264" t="str">
            <v>18</v>
          </cell>
          <cell r="B264" t="str">
            <v>64089</v>
          </cell>
          <cell r="C264" t="str">
            <v>Lassen</v>
          </cell>
          <cell r="D264" t="str">
            <v>Big Valley Joint Unified</v>
          </cell>
          <cell r="E264">
            <v>223</v>
          </cell>
          <cell r="F264">
            <v>12920</v>
          </cell>
          <cell r="G264">
            <v>4</v>
          </cell>
        </row>
        <row r="265">
          <cell r="A265" t="str">
            <v>18</v>
          </cell>
          <cell r="B265" t="str">
            <v>64105</v>
          </cell>
          <cell r="C265" t="str">
            <v>Lassen</v>
          </cell>
          <cell r="D265" t="str">
            <v>Janesville Union Elementary</v>
          </cell>
          <cell r="E265">
            <v>460</v>
          </cell>
          <cell r="F265">
            <v>7820</v>
          </cell>
          <cell r="G265">
            <v>1</v>
          </cell>
        </row>
        <row r="266">
          <cell r="A266" t="str">
            <v>18</v>
          </cell>
          <cell r="B266" t="str">
            <v>64113</v>
          </cell>
          <cell r="C266" t="str">
            <v>Lassen</v>
          </cell>
          <cell r="D266" t="str">
            <v>Johnstonville Elementary</v>
          </cell>
          <cell r="E266">
            <v>217</v>
          </cell>
          <cell r="F266">
            <v>3689</v>
          </cell>
          <cell r="G266">
            <v>1</v>
          </cell>
        </row>
        <row r="267">
          <cell r="A267" t="str">
            <v>18</v>
          </cell>
          <cell r="B267" t="str">
            <v>64139</v>
          </cell>
          <cell r="C267" t="str">
            <v>Lassen</v>
          </cell>
          <cell r="D267" t="str">
            <v>Lassen Union High</v>
          </cell>
          <cell r="E267">
            <v>1104</v>
          </cell>
          <cell r="F267">
            <v>28466</v>
          </cell>
          <cell r="G267">
            <v>5</v>
          </cell>
        </row>
        <row r="268">
          <cell r="A268" t="str">
            <v>18</v>
          </cell>
          <cell r="B268" t="str">
            <v>64162</v>
          </cell>
          <cell r="C268" t="str">
            <v>Lassen</v>
          </cell>
          <cell r="D268" t="str">
            <v>Ravendale-Termo Elementary</v>
          </cell>
          <cell r="E268">
            <v>9</v>
          </cell>
          <cell r="F268">
            <v>4456</v>
          </cell>
          <cell r="G268">
            <v>2</v>
          </cell>
        </row>
        <row r="269">
          <cell r="A269" t="str">
            <v>18</v>
          </cell>
          <cell r="B269" t="str">
            <v>64170</v>
          </cell>
          <cell r="C269" t="str">
            <v>Lassen</v>
          </cell>
          <cell r="D269" t="str">
            <v>Richmond Elementary</v>
          </cell>
          <cell r="E269">
            <v>219</v>
          </cell>
          <cell r="F269">
            <v>3723</v>
          </cell>
          <cell r="G269">
            <v>1</v>
          </cell>
        </row>
        <row r="270">
          <cell r="A270" t="str">
            <v>18</v>
          </cell>
          <cell r="B270" t="str">
            <v>64188</v>
          </cell>
          <cell r="C270" t="str">
            <v>Lassen</v>
          </cell>
          <cell r="D270" t="str">
            <v>Shaffer Union Elementary</v>
          </cell>
          <cell r="E270">
            <v>290</v>
          </cell>
          <cell r="F270">
            <v>4930</v>
          </cell>
          <cell r="G270">
            <v>1</v>
          </cell>
        </row>
        <row r="271">
          <cell r="A271" t="str">
            <v>18</v>
          </cell>
          <cell r="B271" t="str">
            <v>64196</v>
          </cell>
          <cell r="C271" t="str">
            <v>Lassen</v>
          </cell>
          <cell r="D271" t="str">
            <v>Susanville Elementary</v>
          </cell>
          <cell r="E271">
            <v>1228</v>
          </cell>
          <cell r="F271">
            <v>25230</v>
          </cell>
          <cell r="G271">
            <v>5</v>
          </cell>
        </row>
        <row r="272">
          <cell r="A272" t="str">
            <v>18</v>
          </cell>
          <cell r="B272" t="str">
            <v>64204</v>
          </cell>
          <cell r="C272" t="str">
            <v>Lassen</v>
          </cell>
          <cell r="D272" t="str">
            <v>Westwood Unified</v>
          </cell>
          <cell r="E272">
            <v>296</v>
          </cell>
          <cell r="F272">
            <v>9356</v>
          </cell>
          <cell r="G272">
            <v>3</v>
          </cell>
        </row>
        <row r="273">
          <cell r="A273" t="str">
            <v>18</v>
          </cell>
          <cell r="B273" t="str">
            <v>75036</v>
          </cell>
          <cell r="C273" t="str">
            <v>Lassen</v>
          </cell>
          <cell r="D273" t="str">
            <v>Fort Sage Unified</v>
          </cell>
          <cell r="E273">
            <v>192</v>
          </cell>
          <cell r="F273">
            <v>15148</v>
          </cell>
          <cell r="G273">
            <v>5</v>
          </cell>
        </row>
        <row r="274">
          <cell r="A274" t="str">
            <v>19</v>
          </cell>
          <cell r="B274" t="str">
            <v>10199</v>
          </cell>
          <cell r="C274" t="str">
            <v>Los Angeles</v>
          </cell>
          <cell r="D274" t="str">
            <v>Los Angeles County Office of Education</v>
          </cell>
          <cell r="E274">
            <v>10456</v>
          </cell>
          <cell r="F274">
            <v>178431</v>
          </cell>
          <cell r="G274">
            <v>11</v>
          </cell>
        </row>
        <row r="275">
          <cell r="A275" t="str">
            <v>19</v>
          </cell>
          <cell r="B275" t="str">
            <v>64212</v>
          </cell>
          <cell r="C275" t="str">
            <v>Los Angeles</v>
          </cell>
          <cell r="D275" t="str">
            <v>ABC Unified</v>
          </cell>
          <cell r="E275">
            <v>20787</v>
          </cell>
          <cell r="F275">
            <v>354533</v>
          </cell>
          <cell r="G275">
            <v>30</v>
          </cell>
        </row>
        <row r="276">
          <cell r="A276" t="str">
            <v>19</v>
          </cell>
          <cell r="B276" t="str">
            <v>64246</v>
          </cell>
          <cell r="C276" t="str">
            <v>Los Angeles</v>
          </cell>
          <cell r="D276" t="str">
            <v>Antelope Valley Union High</v>
          </cell>
          <cell r="E276">
            <v>23653</v>
          </cell>
          <cell r="F276">
            <v>402892</v>
          </cell>
          <cell r="G276">
            <v>12</v>
          </cell>
        </row>
        <row r="277">
          <cell r="A277" t="str">
            <v>19</v>
          </cell>
          <cell r="B277" t="str">
            <v>64261</v>
          </cell>
          <cell r="C277" t="str">
            <v>Los Angeles</v>
          </cell>
          <cell r="D277" t="str">
            <v>Arcadia Unified</v>
          </cell>
          <cell r="E277">
            <v>9813</v>
          </cell>
          <cell r="F277">
            <v>169421</v>
          </cell>
          <cell r="G277">
            <v>11</v>
          </cell>
        </row>
        <row r="278">
          <cell r="A278" t="str">
            <v>19</v>
          </cell>
          <cell r="B278" t="str">
            <v>64279</v>
          </cell>
          <cell r="C278" t="str">
            <v>Los Angeles</v>
          </cell>
          <cell r="D278" t="str">
            <v>Azusa Unified</v>
          </cell>
          <cell r="E278">
            <v>11172</v>
          </cell>
          <cell r="F278">
            <v>191022</v>
          </cell>
          <cell r="G278">
            <v>18</v>
          </cell>
        </row>
        <row r="279">
          <cell r="A279" t="str">
            <v>19</v>
          </cell>
          <cell r="B279" t="str">
            <v>64287</v>
          </cell>
          <cell r="C279" t="str">
            <v>Los Angeles</v>
          </cell>
          <cell r="D279" t="str">
            <v>Baldwin Park Unified</v>
          </cell>
          <cell r="E279">
            <v>16354</v>
          </cell>
          <cell r="F279">
            <v>280927</v>
          </cell>
          <cell r="G279">
            <v>21</v>
          </cell>
        </row>
        <row r="280">
          <cell r="A280" t="str">
            <v>19</v>
          </cell>
          <cell r="B280" t="str">
            <v>64295</v>
          </cell>
          <cell r="C280" t="str">
            <v>Los Angeles</v>
          </cell>
          <cell r="D280" t="str">
            <v>Bassett Unified</v>
          </cell>
          <cell r="E280">
            <v>5033</v>
          </cell>
          <cell r="F280">
            <v>87274</v>
          </cell>
          <cell r="G280">
            <v>7</v>
          </cell>
        </row>
        <row r="281">
          <cell r="A281" t="str">
            <v>19</v>
          </cell>
          <cell r="B281" t="str">
            <v>64303</v>
          </cell>
          <cell r="C281" t="str">
            <v>Los Angeles</v>
          </cell>
          <cell r="D281" t="str">
            <v>Bellflower Unified</v>
          </cell>
          <cell r="E281">
            <v>14624</v>
          </cell>
          <cell r="F281">
            <v>251261</v>
          </cell>
          <cell r="G281">
            <v>15</v>
          </cell>
        </row>
        <row r="282">
          <cell r="A282" t="str">
            <v>19</v>
          </cell>
          <cell r="B282" t="str">
            <v>64311</v>
          </cell>
          <cell r="C282" t="str">
            <v>Los Angeles</v>
          </cell>
          <cell r="D282" t="str">
            <v>Beverly Hills Unified</v>
          </cell>
          <cell r="E282">
            <v>5093</v>
          </cell>
          <cell r="F282">
            <v>88539</v>
          </cell>
          <cell r="G282">
            <v>6</v>
          </cell>
        </row>
        <row r="283">
          <cell r="A283" t="str">
            <v>19</v>
          </cell>
          <cell r="B283" t="str">
            <v>64329</v>
          </cell>
          <cell r="C283" t="str">
            <v>Los Angeles</v>
          </cell>
          <cell r="D283" t="str">
            <v>Bonita Unified</v>
          </cell>
          <cell r="E283">
            <v>9808</v>
          </cell>
          <cell r="F283">
            <v>170723</v>
          </cell>
          <cell r="G283">
            <v>14</v>
          </cell>
        </row>
        <row r="284">
          <cell r="A284" t="str">
            <v>19</v>
          </cell>
          <cell r="B284" t="str">
            <v>64337</v>
          </cell>
          <cell r="C284" t="str">
            <v>Los Angeles</v>
          </cell>
          <cell r="D284" t="str">
            <v>Burbank Unified</v>
          </cell>
          <cell r="E284">
            <v>15181</v>
          </cell>
          <cell r="F284">
            <v>265928</v>
          </cell>
          <cell r="G284">
            <v>20</v>
          </cell>
        </row>
        <row r="285">
          <cell r="A285" t="str">
            <v>19</v>
          </cell>
          <cell r="B285" t="str">
            <v>64345</v>
          </cell>
          <cell r="C285" t="str">
            <v>Los Angeles</v>
          </cell>
          <cell r="D285" t="str">
            <v>Castaic Union Elementary</v>
          </cell>
          <cell r="E285">
            <v>3303</v>
          </cell>
          <cell r="F285">
            <v>56152</v>
          </cell>
          <cell r="G285">
            <v>4</v>
          </cell>
        </row>
        <row r="286">
          <cell r="A286" t="str">
            <v>19</v>
          </cell>
          <cell r="B286" t="str">
            <v>64352</v>
          </cell>
          <cell r="C286" t="str">
            <v>Los Angeles</v>
          </cell>
          <cell r="D286" t="str">
            <v>Centinela Valley Union High</v>
          </cell>
          <cell r="E286">
            <v>7324</v>
          </cell>
          <cell r="F286">
            <v>126683</v>
          </cell>
          <cell r="G286">
            <v>5</v>
          </cell>
        </row>
        <row r="287">
          <cell r="A287" t="str">
            <v>19</v>
          </cell>
          <cell r="B287" t="str">
            <v>64378</v>
          </cell>
          <cell r="C287" t="str">
            <v>Los Angeles</v>
          </cell>
          <cell r="D287" t="str">
            <v>Charter Oak Unified</v>
          </cell>
          <cell r="E287">
            <v>6272</v>
          </cell>
          <cell r="F287">
            <v>110967</v>
          </cell>
          <cell r="G287">
            <v>10</v>
          </cell>
        </row>
        <row r="288">
          <cell r="A288" t="str">
            <v>19</v>
          </cell>
          <cell r="B288" t="str">
            <v>64394</v>
          </cell>
          <cell r="C288" t="str">
            <v>Los Angeles</v>
          </cell>
          <cell r="D288" t="str">
            <v>Claremont Unified</v>
          </cell>
          <cell r="E288">
            <v>6948</v>
          </cell>
          <cell r="F288">
            <v>125530</v>
          </cell>
          <cell r="G288">
            <v>12</v>
          </cell>
        </row>
        <row r="289">
          <cell r="A289" t="str">
            <v>19</v>
          </cell>
          <cell r="B289" t="str">
            <v>64436</v>
          </cell>
          <cell r="C289" t="str">
            <v>Los Angeles</v>
          </cell>
          <cell r="D289" t="str">
            <v>Covina-Valley Unified</v>
          </cell>
          <cell r="E289">
            <v>14385</v>
          </cell>
          <cell r="F289">
            <v>244551</v>
          </cell>
          <cell r="G289">
            <v>19</v>
          </cell>
        </row>
        <row r="290">
          <cell r="A290" t="str">
            <v>19</v>
          </cell>
          <cell r="B290" t="str">
            <v>64444</v>
          </cell>
          <cell r="C290" t="str">
            <v>Los Angeles</v>
          </cell>
          <cell r="D290" t="str">
            <v>Culver City Unified</v>
          </cell>
          <cell r="E290">
            <v>6636</v>
          </cell>
          <cell r="F290">
            <v>117818</v>
          </cell>
          <cell r="G290">
            <v>9</v>
          </cell>
        </row>
        <row r="291">
          <cell r="A291" t="str">
            <v>19</v>
          </cell>
          <cell r="B291" t="str">
            <v>64451</v>
          </cell>
          <cell r="C291" t="str">
            <v>Los Angeles</v>
          </cell>
          <cell r="D291" t="str">
            <v>Downey Unified</v>
          </cell>
          <cell r="E291">
            <v>22429</v>
          </cell>
          <cell r="F291">
            <v>381305</v>
          </cell>
          <cell r="G291">
            <v>20</v>
          </cell>
        </row>
        <row r="292">
          <cell r="A292" t="str">
            <v>19</v>
          </cell>
          <cell r="B292" t="str">
            <v>64469</v>
          </cell>
          <cell r="C292" t="str">
            <v>Los Angeles</v>
          </cell>
          <cell r="D292" t="str">
            <v>Duarte Unified</v>
          </cell>
          <cell r="E292">
            <v>4239</v>
          </cell>
          <cell r="F292">
            <v>73690</v>
          </cell>
          <cell r="G292">
            <v>8</v>
          </cell>
        </row>
        <row r="293">
          <cell r="A293" t="str">
            <v>19</v>
          </cell>
          <cell r="B293" t="str">
            <v>64477</v>
          </cell>
          <cell r="C293" t="str">
            <v>Los Angeles</v>
          </cell>
          <cell r="D293" t="str">
            <v>Eastside Union Elementary</v>
          </cell>
          <cell r="E293">
            <v>3217</v>
          </cell>
          <cell r="F293">
            <v>54692</v>
          </cell>
          <cell r="G293">
            <v>4</v>
          </cell>
        </row>
        <row r="294">
          <cell r="A294" t="str">
            <v>19</v>
          </cell>
          <cell r="B294" t="str">
            <v>64485</v>
          </cell>
          <cell r="C294" t="str">
            <v>Los Angeles</v>
          </cell>
          <cell r="D294" t="str">
            <v>East Whittier City Elementary</v>
          </cell>
          <cell r="E294">
            <v>8816</v>
          </cell>
          <cell r="F294">
            <v>149877</v>
          </cell>
          <cell r="G294">
            <v>13</v>
          </cell>
        </row>
        <row r="295">
          <cell r="A295" t="str">
            <v>19</v>
          </cell>
          <cell r="B295" t="str">
            <v>64501</v>
          </cell>
          <cell r="C295" t="str">
            <v>Los Angeles</v>
          </cell>
          <cell r="D295" t="str">
            <v>El Monte City Elementary</v>
          </cell>
          <cell r="E295">
            <v>10144</v>
          </cell>
          <cell r="F295">
            <v>174810</v>
          </cell>
          <cell r="G295">
            <v>17</v>
          </cell>
        </row>
        <row r="296">
          <cell r="A296" t="str">
            <v>19</v>
          </cell>
          <cell r="B296" t="str">
            <v>64519</v>
          </cell>
          <cell r="C296" t="str">
            <v>Los Angeles</v>
          </cell>
          <cell r="D296" t="str">
            <v>El Monte Union High</v>
          </cell>
          <cell r="E296">
            <v>10409</v>
          </cell>
          <cell r="F296">
            <v>179723</v>
          </cell>
          <cell r="G296">
            <v>7</v>
          </cell>
        </row>
        <row r="297">
          <cell r="A297" t="str">
            <v>19</v>
          </cell>
          <cell r="B297" t="str">
            <v>64527</v>
          </cell>
          <cell r="C297" t="str">
            <v>Los Angeles</v>
          </cell>
          <cell r="D297" t="str">
            <v>El Rancho Unified</v>
          </cell>
          <cell r="E297">
            <v>11022</v>
          </cell>
          <cell r="F297">
            <v>189317</v>
          </cell>
          <cell r="G297">
            <v>14</v>
          </cell>
        </row>
        <row r="298">
          <cell r="A298" t="str">
            <v>19</v>
          </cell>
          <cell r="B298" t="str">
            <v>64535</v>
          </cell>
          <cell r="C298" t="str">
            <v>Los Angeles</v>
          </cell>
          <cell r="D298" t="str">
            <v>El Segundo Unified</v>
          </cell>
          <cell r="E298">
            <v>3262</v>
          </cell>
          <cell r="F298">
            <v>58595</v>
          </cell>
          <cell r="G298">
            <v>5</v>
          </cell>
        </row>
        <row r="299">
          <cell r="A299" t="str">
            <v>19</v>
          </cell>
          <cell r="B299" t="str">
            <v>64550</v>
          </cell>
          <cell r="C299" t="str">
            <v>Los Angeles</v>
          </cell>
          <cell r="D299" t="str">
            <v>Garvey Elementary</v>
          </cell>
          <cell r="E299">
            <v>5770</v>
          </cell>
          <cell r="F299">
            <v>98091</v>
          </cell>
          <cell r="G299">
            <v>11</v>
          </cell>
        </row>
        <row r="300">
          <cell r="A300" t="str">
            <v>19</v>
          </cell>
          <cell r="B300" t="str">
            <v>64568</v>
          </cell>
          <cell r="C300" t="str">
            <v>Los Angeles</v>
          </cell>
          <cell r="D300" t="str">
            <v>Glendale Unified</v>
          </cell>
          <cell r="E300">
            <v>26702</v>
          </cell>
          <cell r="F300">
            <v>458406</v>
          </cell>
          <cell r="G300">
            <v>32</v>
          </cell>
        </row>
        <row r="301">
          <cell r="A301" t="str">
            <v>19</v>
          </cell>
          <cell r="B301" t="str">
            <v>64576</v>
          </cell>
          <cell r="C301" t="str">
            <v>Los Angeles</v>
          </cell>
          <cell r="D301" t="str">
            <v>Glendora Unified</v>
          </cell>
          <cell r="E301">
            <v>7189</v>
          </cell>
          <cell r="F301">
            <v>123860</v>
          </cell>
          <cell r="G301">
            <v>10</v>
          </cell>
        </row>
        <row r="302">
          <cell r="A302" t="str">
            <v>19</v>
          </cell>
          <cell r="B302" t="str">
            <v>64584</v>
          </cell>
          <cell r="C302" t="str">
            <v>Los Angeles</v>
          </cell>
          <cell r="D302" t="str">
            <v>Gorman Elementary</v>
          </cell>
          <cell r="E302">
            <v>44</v>
          </cell>
          <cell r="F302">
            <v>3564</v>
          </cell>
          <cell r="G302">
            <v>1</v>
          </cell>
        </row>
        <row r="303">
          <cell r="A303" t="str">
            <v>19</v>
          </cell>
          <cell r="B303" t="str">
            <v>64592</v>
          </cell>
          <cell r="C303" t="str">
            <v>Los Angeles</v>
          </cell>
          <cell r="D303" t="str">
            <v>Hawthorne</v>
          </cell>
          <cell r="E303">
            <v>9052</v>
          </cell>
          <cell r="F303">
            <v>153891</v>
          </cell>
          <cell r="G303">
            <v>11</v>
          </cell>
        </row>
        <row r="304">
          <cell r="A304" t="str">
            <v>19</v>
          </cell>
          <cell r="B304" t="str">
            <v>64600</v>
          </cell>
          <cell r="C304" t="str">
            <v>Los Angeles</v>
          </cell>
          <cell r="D304" t="str">
            <v>Hermosa Beach City Elementary</v>
          </cell>
          <cell r="E304">
            <v>1176</v>
          </cell>
          <cell r="F304">
            <v>19993</v>
          </cell>
          <cell r="G304">
            <v>2</v>
          </cell>
        </row>
        <row r="305">
          <cell r="A305" t="str">
            <v>19</v>
          </cell>
          <cell r="B305" t="str">
            <v>64626</v>
          </cell>
          <cell r="C305" t="str">
            <v>Los Angeles</v>
          </cell>
          <cell r="D305" t="str">
            <v>Hughes-Elizabeth Lakes Union Elementary</v>
          </cell>
          <cell r="E305">
            <v>353</v>
          </cell>
          <cell r="F305">
            <v>6001</v>
          </cell>
          <cell r="G305">
            <v>1</v>
          </cell>
        </row>
        <row r="306">
          <cell r="A306" t="str">
            <v>19</v>
          </cell>
          <cell r="B306" t="str">
            <v>64634</v>
          </cell>
          <cell r="C306" t="str">
            <v>Los Angeles</v>
          </cell>
          <cell r="D306" t="str">
            <v>Inglewood Unified</v>
          </cell>
          <cell r="E306">
            <v>14263</v>
          </cell>
          <cell r="F306">
            <v>242478</v>
          </cell>
          <cell r="G306">
            <v>19</v>
          </cell>
        </row>
        <row r="307">
          <cell r="A307" t="str">
            <v>19</v>
          </cell>
          <cell r="B307" t="str">
            <v>64642</v>
          </cell>
          <cell r="C307" t="str">
            <v>Los Angeles</v>
          </cell>
          <cell r="D307" t="str">
            <v>Keppel Union Elementary</v>
          </cell>
          <cell r="E307">
            <v>2890</v>
          </cell>
          <cell r="F307">
            <v>49130</v>
          </cell>
          <cell r="G307">
            <v>6</v>
          </cell>
        </row>
        <row r="308">
          <cell r="A308" t="str">
            <v>19</v>
          </cell>
          <cell r="B308" t="str">
            <v>64659</v>
          </cell>
          <cell r="C308" t="str">
            <v>Los Angeles</v>
          </cell>
          <cell r="D308" t="str">
            <v>La Canada Unified</v>
          </cell>
          <cell r="E308">
            <v>4001</v>
          </cell>
          <cell r="F308">
            <v>70025</v>
          </cell>
          <cell r="G308">
            <v>5</v>
          </cell>
        </row>
        <row r="309">
          <cell r="A309" t="str">
            <v>19</v>
          </cell>
          <cell r="B309" t="str">
            <v>64667</v>
          </cell>
          <cell r="C309" t="str">
            <v>Los Angeles</v>
          </cell>
          <cell r="D309" t="str">
            <v>Lancaster Elementary</v>
          </cell>
          <cell r="E309">
            <v>15085</v>
          </cell>
          <cell r="F309">
            <v>261785</v>
          </cell>
          <cell r="G309">
            <v>19</v>
          </cell>
        </row>
        <row r="310">
          <cell r="A310" t="str">
            <v>19</v>
          </cell>
          <cell r="B310" t="str">
            <v>64683</v>
          </cell>
          <cell r="C310" t="str">
            <v>Los Angeles</v>
          </cell>
          <cell r="D310" t="str">
            <v>Las Virgenes Unified</v>
          </cell>
          <cell r="E310">
            <v>11627</v>
          </cell>
          <cell r="F310">
            <v>202463</v>
          </cell>
          <cell r="G310">
            <v>15</v>
          </cell>
        </row>
        <row r="311">
          <cell r="A311" t="str">
            <v>19</v>
          </cell>
          <cell r="B311" t="str">
            <v>64691</v>
          </cell>
          <cell r="C311" t="str">
            <v>Los Angeles</v>
          </cell>
          <cell r="D311" t="str">
            <v>Lawndale Elementary</v>
          </cell>
          <cell r="E311">
            <v>5795</v>
          </cell>
          <cell r="F311">
            <v>98518</v>
          </cell>
          <cell r="G311">
            <v>8</v>
          </cell>
        </row>
        <row r="312">
          <cell r="A312" t="str">
            <v>19</v>
          </cell>
          <cell r="B312" t="str">
            <v>64709</v>
          </cell>
          <cell r="C312" t="str">
            <v>Los Angeles</v>
          </cell>
          <cell r="D312" t="str">
            <v>Lennox Elementary</v>
          </cell>
          <cell r="E312">
            <v>6253</v>
          </cell>
          <cell r="F312">
            <v>106304</v>
          </cell>
          <cell r="G312">
            <v>7</v>
          </cell>
        </row>
        <row r="313">
          <cell r="A313" t="str">
            <v>19</v>
          </cell>
          <cell r="B313" t="str">
            <v>64717</v>
          </cell>
          <cell r="C313" t="str">
            <v>Los Angeles</v>
          </cell>
          <cell r="D313" t="str">
            <v>Little Lake City Elementary</v>
          </cell>
          <cell r="E313">
            <v>4953</v>
          </cell>
          <cell r="F313">
            <v>84203</v>
          </cell>
          <cell r="G313">
            <v>9</v>
          </cell>
        </row>
        <row r="314">
          <cell r="A314" t="str">
            <v>19</v>
          </cell>
          <cell r="B314" t="str">
            <v>64725</v>
          </cell>
          <cell r="C314" t="str">
            <v>Los Angeles</v>
          </cell>
          <cell r="D314" t="str">
            <v>Long Beach Unified</v>
          </cell>
          <cell r="E314">
            <v>86563</v>
          </cell>
          <cell r="F314">
            <v>1478988</v>
          </cell>
          <cell r="G314">
            <v>87</v>
          </cell>
        </row>
        <row r="315">
          <cell r="A315" t="str">
            <v>19</v>
          </cell>
          <cell r="B315" t="str">
            <v>64733</v>
          </cell>
          <cell r="C315" t="str">
            <v>Los Angeles</v>
          </cell>
          <cell r="D315" t="str">
            <v>Los Angeles Unified</v>
          </cell>
          <cell r="E315">
            <v>633892</v>
          </cell>
          <cell r="F315">
            <v>10921927</v>
          </cell>
          <cell r="G315">
            <v>721</v>
          </cell>
        </row>
        <row r="316">
          <cell r="A316" t="str">
            <v>19</v>
          </cell>
          <cell r="B316" t="str">
            <v>64758</v>
          </cell>
          <cell r="C316" t="str">
            <v>Los Angeles</v>
          </cell>
          <cell r="D316" t="str">
            <v>Los Nietos</v>
          </cell>
          <cell r="E316">
            <v>2027</v>
          </cell>
          <cell r="F316">
            <v>34459</v>
          </cell>
          <cell r="G316">
            <v>4</v>
          </cell>
        </row>
        <row r="317">
          <cell r="A317" t="str">
            <v>19</v>
          </cell>
          <cell r="B317" t="str">
            <v>64766</v>
          </cell>
          <cell r="C317" t="str">
            <v>Los Angeles</v>
          </cell>
          <cell r="D317" t="str">
            <v>Lowell Joint</v>
          </cell>
          <cell r="E317">
            <v>3061</v>
          </cell>
          <cell r="F317">
            <v>52038</v>
          </cell>
          <cell r="G317">
            <v>6</v>
          </cell>
        </row>
        <row r="318">
          <cell r="A318" t="str">
            <v>19</v>
          </cell>
          <cell r="B318" t="str">
            <v>64774</v>
          </cell>
          <cell r="C318" t="str">
            <v>Los Angeles</v>
          </cell>
          <cell r="D318" t="str">
            <v>Lynwood Unified</v>
          </cell>
          <cell r="E318">
            <v>17021</v>
          </cell>
          <cell r="F318">
            <v>291502</v>
          </cell>
          <cell r="G318">
            <v>19</v>
          </cell>
        </row>
        <row r="319">
          <cell r="A319" t="str">
            <v>19</v>
          </cell>
          <cell r="B319" t="str">
            <v>64790</v>
          </cell>
          <cell r="C319" t="str">
            <v>Los Angeles</v>
          </cell>
          <cell r="D319" t="str">
            <v>Monrovia Unified</v>
          </cell>
          <cell r="E319">
            <v>6012</v>
          </cell>
          <cell r="F319">
            <v>105814</v>
          </cell>
          <cell r="G319">
            <v>10</v>
          </cell>
        </row>
        <row r="320">
          <cell r="A320" t="str">
            <v>19</v>
          </cell>
          <cell r="B320" t="str">
            <v>64808</v>
          </cell>
          <cell r="C320" t="str">
            <v>Los Angeles</v>
          </cell>
          <cell r="D320" t="str">
            <v>Montebello Unified</v>
          </cell>
          <cell r="E320">
            <v>33007</v>
          </cell>
          <cell r="F320">
            <v>561846</v>
          </cell>
          <cell r="G320">
            <v>29</v>
          </cell>
        </row>
        <row r="321">
          <cell r="A321" t="str">
            <v>19</v>
          </cell>
          <cell r="B321" t="str">
            <v>64816</v>
          </cell>
          <cell r="C321" t="str">
            <v>Los Angeles</v>
          </cell>
          <cell r="D321" t="str">
            <v>Mountain View Elementary</v>
          </cell>
          <cell r="E321">
            <v>8714</v>
          </cell>
          <cell r="F321">
            <v>148143</v>
          </cell>
          <cell r="G321">
            <v>12</v>
          </cell>
        </row>
        <row r="322">
          <cell r="A322" t="str">
            <v>19</v>
          </cell>
          <cell r="B322" t="str">
            <v>64832</v>
          </cell>
          <cell r="C322" t="str">
            <v>Los Angeles</v>
          </cell>
          <cell r="D322" t="str">
            <v>Newhall Elementary</v>
          </cell>
          <cell r="E322">
            <v>7032</v>
          </cell>
          <cell r="F322">
            <v>119547</v>
          </cell>
          <cell r="G322">
            <v>10</v>
          </cell>
        </row>
        <row r="323">
          <cell r="A323" t="str">
            <v>19</v>
          </cell>
          <cell r="B323" t="str">
            <v>64840</v>
          </cell>
          <cell r="C323" t="str">
            <v>Los Angeles</v>
          </cell>
          <cell r="D323" t="str">
            <v>Norwalk-La Mirada Unified</v>
          </cell>
          <cell r="E323">
            <v>21478</v>
          </cell>
          <cell r="F323">
            <v>365133</v>
          </cell>
          <cell r="G323">
            <v>27</v>
          </cell>
        </row>
        <row r="324">
          <cell r="A324" t="str">
            <v>19</v>
          </cell>
          <cell r="B324" t="str">
            <v>64857</v>
          </cell>
          <cell r="C324" t="str">
            <v>Los Angeles</v>
          </cell>
          <cell r="D324" t="str">
            <v>Palmdale Elementary</v>
          </cell>
          <cell r="E324">
            <v>21223</v>
          </cell>
          <cell r="F324">
            <v>365406</v>
          </cell>
          <cell r="G324">
            <v>27</v>
          </cell>
        </row>
        <row r="325">
          <cell r="A325" t="str">
            <v>19</v>
          </cell>
          <cell r="B325" t="str">
            <v>64865</v>
          </cell>
          <cell r="C325" t="str">
            <v>Los Angeles</v>
          </cell>
          <cell r="D325" t="str">
            <v>Palos Verdes Peninsula Unified</v>
          </cell>
          <cell r="E325">
            <v>12014</v>
          </cell>
          <cell r="F325">
            <v>209026</v>
          </cell>
          <cell r="G325">
            <v>17</v>
          </cell>
        </row>
        <row r="326">
          <cell r="A326" t="str">
            <v>19</v>
          </cell>
          <cell r="B326" t="str">
            <v>64873</v>
          </cell>
          <cell r="C326" t="str">
            <v>Los Angeles</v>
          </cell>
          <cell r="D326" t="str">
            <v>Paramount Unified</v>
          </cell>
          <cell r="E326">
            <v>15949</v>
          </cell>
          <cell r="F326">
            <v>274043</v>
          </cell>
          <cell r="G326">
            <v>19</v>
          </cell>
        </row>
        <row r="327">
          <cell r="A327" t="str">
            <v>19</v>
          </cell>
          <cell r="B327" t="str">
            <v>64881</v>
          </cell>
          <cell r="C327" t="str">
            <v>Los Angeles</v>
          </cell>
          <cell r="D327" t="str">
            <v>Pasadena Unified</v>
          </cell>
          <cell r="E327">
            <v>19691</v>
          </cell>
          <cell r="F327">
            <v>335071</v>
          </cell>
          <cell r="G327">
            <v>29</v>
          </cell>
        </row>
        <row r="328">
          <cell r="A328" t="str">
            <v>19</v>
          </cell>
          <cell r="B328" t="str">
            <v>64907</v>
          </cell>
          <cell r="C328" t="str">
            <v>Los Angeles</v>
          </cell>
          <cell r="D328" t="str">
            <v>Pomona Unified</v>
          </cell>
          <cell r="E328">
            <v>30032</v>
          </cell>
          <cell r="F328">
            <v>516004</v>
          </cell>
          <cell r="G328">
            <v>44</v>
          </cell>
        </row>
        <row r="329">
          <cell r="A329" t="str">
            <v>19</v>
          </cell>
          <cell r="B329" t="str">
            <v>64931</v>
          </cell>
          <cell r="C329" t="str">
            <v>Los Angeles</v>
          </cell>
          <cell r="D329" t="str">
            <v>Rosemead Elementary</v>
          </cell>
          <cell r="E329">
            <v>3052</v>
          </cell>
          <cell r="F329">
            <v>51884</v>
          </cell>
          <cell r="G329">
            <v>5</v>
          </cell>
        </row>
        <row r="330">
          <cell r="A330" t="str">
            <v>19</v>
          </cell>
          <cell r="B330" t="str">
            <v>64964</v>
          </cell>
          <cell r="C330" t="str">
            <v>Los Angeles</v>
          </cell>
          <cell r="D330" t="str">
            <v>San Marino Unified</v>
          </cell>
          <cell r="E330">
            <v>3195</v>
          </cell>
          <cell r="F330">
            <v>54317</v>
          </cell>
          <cell r="G330">
            <v>4</v>
          </cell>
        </row>
        <row r="331">
          <cell r="A331" t="str">
            <v>19</v>
          </cell>
          <cell r="B331" t="str">
            <v>64980</v>
          </cell>
          <cell r="C331" t="str">
            <v>Los Angeles</v>
          </cell>
          <cell r="D331" t="str">
            <v>Santa Monica-Malibu Unified</v>
          </cell>
          <cell r="E331">
            <v>11579</v>
          </cell>
          <cell r="F331">
            <v>198673</v>
          </cell>
          <cell r="G331">
            <v>16</v>
          </cell>
        </row>
        <row r="332">
          <cell r="A332" t="str">
            <v>19</v>
          </cell>
          <cell r="B332" t="str">
            <v>64998</v>
          </cell>
          <cell r="C332" t="str">
            <v>Los Angeles</v>
          </cell>
          <cell r="D332" t="str">
            <v>Saugus Union Elementary</v>
          </cell>
          <cell r="E332">
            <v>10404</v>
          </cell>
          <cell r="F332">
            <v>176873</v>
          </cell>
          <cell r="G332">
            <v>15</v>
          </cell>
        </row>
        <row r="333">
          <cell r="A333" t="str">
            <v>19</v>
          </cell>
          <cell r="B333" t="str">
            <v>65029</v>
          </cell>
          <cell r="C333" t="str">
            <v>Los Angeles</v>
          </cell>
          <cell r="D333" t="str">
            <v>South Pasadena Unified</v>
          </cell>
          <cell r="E333">
            <v>4247</v>
          </cell>
          <cell r="F333">
            <v>72201</v>
          </cell>
          <cell r="G333">
            <v>5</v>
          </cell>
        </row>
        <row r="334">
          <cell r="A334" t="str">
            <v>19</v>
          </cell>
          <cell r="B334" t="str">
            <v>65037</v>
          </cell>
          <cell r="C334" t="str">
            <v>Los Angeles</v>
          </cell>
          <cell r="D334" t="str">
            <v>South Whittier Elementary</v>
          </cell>
          <cell r="E334">
            <v>3906</v>
          </cell>
          <cell r="F334">
            <v>66403</v>
          </cell>
          <cell r="G334">
            <v>8</v>
          </cell>
        </row>
        <row r="335">
          <cell r="A335" t="str">
            <v>19</v>
          </cell>
          <cell r="B335" t="str">
            <v>65045</v>
          </cell>
          <cell r="C335" t="str">
            <v>Los Angeles</v>
          </cell>
          <cell r="D335" t="str">
            <v>Sulphur Springs Union Elementary</v>
          </cell>
          <cell r="E335">
            <v>5774</v>
          </cell>
          <cell r="F335">
            <v>98159</v>
          </cell>
          <cell r="G335">
            <v>9</v>
          </cell>
        </row>
        <row r="336">
          <cell r="A336" t="str">
            <v>19</v>
          </cell>
          <cell r="B336" t="str">
            <v>65052</v>
          </cell>
          <cell r="C336" t="str">
            <v>Los Angeles</v>
          </cell>
          <cell r="D336" t="str">
            <v>Temple City Unified</v>
          </cell>
          <cell r="E336">
            <v>5486</v>
          </cell>
          <cell r="F336">
            <v>98710</v>
          </cell>
          <cell r="G336">
            <v>8</v>
          </cell>
        </row>
        <row r="337">
          <cell r="A337" t="str">
            <v>19</v>
          </cell>
          <cell r="B337" t="str">
            <v>65060</v>
          </cell>
          <cell r="C337" t="str">
            <v>Los Angeles</v>
          </cell>
          <cell r="D337" t="str">
            <v>Torrance Unified</v>
          </cell>
          <cell r="E337">
            <v>24648</v>
          </cell>
          <cell r="F337">
            <v>422328</v>
          </cell>
          <cell r="G337">
            <v>31</v>
          </cell>
        </row>
        <row r="338">
          <cell r="A338" t="str">
            <v>19</v>
          </cell>
          <cell r="B338" t="str">
            <v>65078</v>
          </cell>
          <cell r="C338" t="str">
            <v>Los Angeles</v>
          </cell>
          <cell r="D338" t="str">
            <v>Valle Lindo Elementary</v>
          </cell>
          <cell r="E338">
            <v>1155</v>
          </cell>
          <cell r="F338">
            <v>19635</v>
          </cell>
          <cell r="G338">
            <v>2</v>
          </cell>
        </row>
        <row r="339">
          <cell r="A339" t="str">
            <v>19</v>
          </cell>
          <cell r="B339" t="str">
            <v>65094</v>
          </cell>
          <cell r="C339" t="str">
            <v>Los Angeles</v>
          </cell>
          <cell r="D339" t="str">
            <v>West Covina Unified</v>
          </cell>
          <cell r="E339">
            <v>10322</v>
          </cell>
          <cell r="F339">
            <v>175478</v>
          </cell>
          <cell r="G339">
            <v>14</v>
          </cell>
        </row>
        <row r="340">
          <cell r="A340" t="str">
            <v>19</v>
          </cell>
          <cell r="B340" t="str">
            <v>65102</v>
          </cell>
          <cell r="C340" t="str">
            <v>Los Angeles</v>
          </cell>
          <cell r="D340" t="str">
            <v>Westside Union Elementary</v>
          </cell>
          <cell r="E340">
            <v>8829</v>
          </cell>
          <cell r="F340">
            <v>151234</v>
          </cell>
          <cell r="G340">
            <v>11</v>
          </cell>
        </row>
        <row r="341">
          <cell r="A341" t="str">
            <v>19</v>
          </cell>
          <cell r="B341" t="str">
            <v>65110</v>
          </cell>
          <cell r="C341" t="str">
            <v>Los Angeles</v>
          </cell>
          <cell r="D341" t="str">
            <v>Whittier City Elementary</v>
          </cell>
          <cell r="E341">
            <v>6617</v>
          </cell>
          <cell r="F341">
            <v>112491</v>
          </cell>
          <cell r="G341">
            <v>11</v>
          </cell>
        </row>
        <row r="342">
          <cell r="A342" t="str">
            <v>19</v>
          </cell>
          <cell r="B342" t="str">
            <v>65128</v>
          </cell>
          <cell r="C342" t="str">
            <v>Los Angeles</v>
          </cell>
          <cell r="D342" t="str">
            <v>Whittier Union High</v>
          </cell>
          <cell r="E342">
            <v>13603</v>
          </cell>
          <cell r="F342">
            <v>231261</v>
          </cell>
          <cell r="G342">
            <v>7</v>
          </cell>
        </row>
        <row r="343">
          <cell r="A343" t="str">
            <v>19</v>
          </cell>
          <cell r="B343" t="str">
            <v>65136</v>
          </cell>
          <cell r="C343" t="str">
            <v>Los Angeles</v>
          </cell>
          <cell r="D343" t="str">
            <v>William S. Hart Union High</v>
          </cell>
          <cell r="E343">
            <v>23211</v>
          </cell>
          <cell r="F343">
            <v>400926</v>
          </cell>
          <cell r="G343">
            <v>17</v>
          </cell>
        </row>
        <row r="344">
          <cell r="A344" t="str">
            <v>19</v>
          </cell>
          <cell r="B344" t="str">
            <v>65151</v>
          </cell>
          <cell r="C344" t="str">
            <v>Los Angeles</v>
          </cell>
          <cell r="D344" t="str">
            <v>Wilsona Elementary</v>
          </cell>
          <cell r="E344">
            <v>1737</v>
          </cell>
          <cell r="F344">
            <v>32328</v>
          </cell>
          <cell r="G344">
            <v>4</v>
          </cell>
        </row>
        <row r="345">
          <cell r="A345" t="str">
            <v>19</v>
          </cell>
          <cell r="B345" t="str">
            <v>65169</v>
          </cell>
          <cell r="C345" t="str">
            <v>Los Angeles</v>
          </cell>
          <cell r="D345" t="str">
            <v>Wiseburn Elementary</v>
          </cell>
          <cell r="E345">
            <v>2273</v>
          </cell>
          <cell r="F345">
            <v>38642</v>
          </cell>
          <cell r="G345">
            <v>4</v>
          </cell>
        </row>
        <row r="346">
          <cell r="A346" t="str">
            <v>19</v>
          </cell>
          <cell r="B346" t="str">
            <v>73437</v>
          </cell>
          <cell r="C346" t="str">
            <v>Los Angeles</v>
          </cell>
          <cell r="D346" t="str">
            <v>Compton Unified</v>
          </cell>
          <cell r="E346">
            <v>27369</v>
          </cell>
          <cell r="F346">
            <v>474038</v>
          </cell>
          <cell r="G346">
            <v>40</v>
          </cell>
        </row>
        <row r="347">
          <cell r="A347" t="str">
            <v>19</v>
          </cell>
          <cell r="B347" t="str">
            <v>73445</v>
          </cell>
          <cell r="C347" t="str">
            <v>Los Angeles</v>
          </cell>
          <cell r="D347" t="str">
            <v>Hacienda la Puente Unified</v>
          </cell>
          <cell r="E347">
            <v>21950</v>
          </cell>
          <cell r="F347">
            <v>381299</v>
          </cell>
          <cell r="G347">
            <v>37</v>
          </cell>
        </row>
        <row r="348">
          <cell r="A348" t="str">
            <v>19</v>
          </cell>
          <cell r="B348" t="str">
            <v>73452</v>
          </cell>
          <cell r="C348" t="str">
            <v>Los Angeles</v>
          </cell>
          <cell r="D348" t="str">
            <v>Rowland Unified</v>
          </cell>
          <cell r="E348">
            <v>16505</v>
          </cell>
          <cell r="F348">
            <v>286122</v>
          </cell>
          <cell r="G348">
            <v>23</v>
          </cell>
        </row>
        <row r="349">
          <cell r="A349" t="str">
            <v>19</v>
          </cell>
          <cell r="B349" t="str">
            <v>73460</v>
          </cell>
          <cell r="C349" t="str">
            <v>Los Angeles</v>
          </cell>
          <cell r="D349" t="str">
            <v>Walnut Valley Unified</v>
          </cell>
          <cell r="E349">
            <v>14984</v>
          </cell>
          <cell r="F349">
            <v>256395</v>
          </cell>
          <cell r="G349">
            <v>15</v>
          </cell>
        </row>
        <row r="350">
          <cell r="A350" t="str">
            <v>19</v>
          </cell>
          <cell r="B350" t="str">
            <v>75291</v>
          </cell>
          <cell r="C350" t="str">
            <v>Los Angeles</v>
          </cell>
          <cell r="D350" t="str">
            <v>San Gabriel Unified</v>
          </cell>
          <cell r="E350">
            <v>5439</v>
          </cell>
          <cell r="F350">
            <v>94856</v>
          </cell>
          <cell r="G350">
            <v>8</v>
          </cell>
        </row>
        <row r="351">
          <cell r="A351" t="str">
            <v>19</v>
          </cell>
          <cell r="B351" t="str">
            <v>75309</v>
          </cell>
          <cell r="C351" t="str">
            <v>Los Angeles</v>
          </cell>
          <cell r="D351" t="str">
            <v>Acton-Agua Dulce Unified</v>
          </cell>
          <cell r="E351">
            <v>1807</v>
          </cell>
          <cell r="F351">
            <v>30719</v>
          </cell>
          <cell r="G351">
            <v>4</v>
          </cell>
        </row>
        <row r="352">
          <cell r="A352" t="str">
            <v>19</v>
          </cell>
          <cell r="B352" t="str">
            <v>75333</v>
          </cell>
          <cell r="C352" t="str">
            <v>Los Angeles</v>
          </cell>
          <cell r="D352" t="str">
            <v>Manhattan Beach Unified</v>
          </cell>
          <cell r="E352">
            <v>6451</v>
          </cell>
          <cell r="F352">
            <v>109670</v>
          </cell>
          <cell r="G352">
            <v>7</v>
          </cell>
        </row>
        <row r="353">
          <cell r="A353" t="str">
            <v>19</v>
          </cell>
          <cell r="B353" t="str">
            <v>75341</v>
          </cell>
          <cell r="C353" t="str">
            <v>Los Angeles</v>
          </cell>
          <cell r="D353" t="str">
            <v>Redondo Beach Unified</v>
          </cell>
          <cell r="E353">
            <v>8251</v>
          </cell>
          <cell r="F353">
            <v>144312</v>
          </cell>
          <cell r="G353">
            <v>13</v>
          </cell>
        </row>
        <row r="354">
          <cell r="A354" t="str">
            <v>19</v>
          </cell>
          <cell r="B354" t="str">
            <v>75713</v>
          </cell>
          <cell r="C354" t="str">
            <v>Los Angeles</v>
          </cell>
          <cell r="D354" t="str">
            <v>Alhambra Unified</v>
          </cell>
          <cell r="E354">
            <v>18680</v>
          </cell>
          <cell r="F354">
            <v>318994</v>
          </cell>
          <cell r="G354">
            <v>18</v>
          </cell>
        </row>
        <row r="355">
          <cell r="A355" t="str">
            <v>20</v>
          </cell>
          <cell r="B355" t="str">
            <v>10207</v>
          </cell>
          <cell r="C355" t="str">
            <v>Madera</v>
          </cell>
          <cell r="D355" t="str">
            <v>Madera County Office of Education</v>
          </cell>
          <cell r="E355">
            <v>666</v>
          </cell>
          <cell r="F355">
            <v>28166</v>
          </cell>
          <cell r="G355">
            <v>9</v>
          </cell>
        </row>
        <row r="356">
          <cell r="A356" t="str">
            <v>20</v>
          </cell>
          <cell r="B356" t="str">
            <v>65177</v>
          </cell>
          <cell r="C356" t="str">
            <v>Madera</v>
          </cell>
          <cell r="D356" t="str">
            <v>Alview-Dairyland Union Elementary</v>
          </cell>
          <cell r="E356">
            <v>370</v>
          </cell>
          <cell r="F356">
            <v>7219</v>
          </cell>
          <cell r="G356">
            <v>2</v>
          </cell>
        </row>
        <row r="357">
          <cell r="A357" t="str">
            <v>20</v>
          </cell>
          <cell r="B357" t="str">
            <v>65185</v>
          </cell>
          <cell r="C357" t="str">
            <v>Madera</v>
          </cell>
          <cell r="D357" t="str">
            <v>Bass Lake Joint Union Elementary</v>
          </cell>
          <cell r="E357">
            <v>1104</v>
          </cell>
          <cell r="F357">
            <v>26102</v>
          </cell>
          <cell r="G357">
            <v>7</v>
          </cell>
        </row>
        <row r="358">
          <cell r="A358" t="str">
            <v>20</v>
          </cell>
          <cell r="B358" t="str">
            <v>65193</v>
          </cell>
          <cell r="C358" t="str">
            <v>Madera</v>
          </cell>
          <cell r="D358" t="str">
            <v>Chowchilla Elementary</v>
          </cell>
          <cell r="E358">
            <v>1924</v>
          </cell>
          <cell r="F358">
            <v>32708</v>
          </cell>
          <cell r="G358">
            <v>5</v>
          </cell>
        </row>
        <row r="359">
          <cell r="A359" t="str">
            <v>20</v>
          </cell>
          <cell r="B359" t="str">
            <v>65201</v>
          </cell>
          <cell r="C359" t="str">
            <v>Madera</v>
          </cell>
          <cell r="D359" t="str">
            <v>Chowchilla Union High</v>
          </cell>
          <cell r="E359">
            <v>996</v>
          </cell>
          <cell r="F359">
            <v>20123</v>
          </cell>
          <cell r="G359">
            <v>2</v>
          </cell>
        </row>
        <row r="360">
          <cell r="A360" t="str">
            <v>20</v>
          </cell>
          <cell r="B360" t="str">
            <v>65243</v>
          </cell>
          <cell r="C360" t="str">
            <v>Madera</v>
          </cell>
          <cell r="D360" t="str">
            <v>Madera Unified</v>
          </cell>
          <cell r="E360">
            <v>18675</v>
          </cell>
          <cell r="F360">
            <v>318761</v>
          </cell>
          <cell r="G360">
            <v>24</v>
          </cell>
        </row>
        <row r="361">
          <cell r="A361" t="str">
            <v>20</v>
          </cell>
          <cell r="B361" t="str">
            <v>65276</v>
          </cell>
          <cell r="C361" t="str">
            <v>Madera</v>
          </cell>
          <cell r="D361" t="str">
            <v>Raymond-Knowles Union Elementary</v>
          </cell>
          <cell r="E361">
            <v>80</v>
          </cell>
          <cell r="F361">
            <v>5792</v>
          </cell>
          <cell r="G361">
            <v>2</v>
          </cell>
        </row>
        <row r="362">
          <cell r="A362" t="str">
            <v>20</v>
          </cell>
          <cell r="B362" t="str">
            <v>75580</v>
          </cell>
          <cell r="C362" t="str">
            <v>Madera</v>
          </cell>
          <cell r="D362" t="str">
            <v>Golden Valley Unified</v>
          </cell>
          <cell r="E362">
            <v>1941</v>
          </cell>
          <cell r="F362">
            <v>43034</v>
          </cell>
          <cell r="G362">
            <v>8</v>
          </cell>
        </row>
        <row r="363">
          <cell r="A363" t="str">
            <v>20</v>
          </cell>
          <cell r="B363" t="str">
            <v>75606</v>
          </cell>
          <cell r="C363" t="str">
            <v>Madera</v>
          </cell>
          <cell r="D363" t="str">
            <v>Chawanakee Unified</v>
          </cell>
          <cell r="E363">
            <v>754</v>
          </cell>
          <cell r="F363">
            <v>25127</v>
          </cell>
          <cell r="G363">
            <v>7</v>
          </cell>
        </row>
        <row r="364">
          <cell r="A364" t="str">
            <v>20</v>
          </cell>
          <cell r="B364" t="str">
            <v>76414</v>
          </cell>
          <cell r="C364" t="str">
            <v>Madera</v>
          </cell>
          <cell r="D364" t="str">
            <v>Yosemite Unified</v>
          </cell>
          <cell r="E364">
            <v>2419</v>
          </cell>
          <cell r="F364">
            <v>62510</v>
          </cell>
          <cell r="G364">
            <v>11</v>
          </cell>
        </row>
        <row r="365">
          <cell r="A365" t="str">
            <v>21</v>
          </cell>
          <cell r="B365" t="str">
            <v>10215</v>
          </cell>
          <cell r="C365" t="str">
            <v>Marin</v>
          </cell>
          <cell r="D365" t="str">
            <v>Marin County Office of Education</v>
          </cell>
          <cell r="E365">
            <v>475</v>
          </cell>
          <cell r="F365">
            <v>13776</v>
          </cell>
          <cell r="G365">
            <v>4</v>
          </cell>
        </row>
        <row r="366">
          <cell r="A366" t="str">
            <v>21</v>
          </cell>
          <cell r="B366" t="str">
            <v>65300</v>
          </cell>
          <cell r="C366" t="str">
            <v>Marin</v>
          </cell>
          <cell r="D366" t="str">
            <v>Bolinas-Stinson Union</v>
          </cell>
          <cell r="E366">
            <v>101</v>
          </cell>
          <cell r="F366">
            <v>3564</v>
          </cell>
          <cell r="G366">
            <v>1</v>
          </cell>
        </row>
        <row r="367">
          <cell r="A367" t="str">
            <v>21</v>
          </cell>
          <cell r="B367" t="str">
            <v>65318</v>
          </cell>
          <cell r="C367" t="str">
            <v>Marin</v>
          </cell>
          <cell r="D367" t="str">
            <v>Dixie Elementary</v>
          </cell>
          <cell r="E367">
            <v>1783</v>
          </cell>
          <cell r="F367">
            <v>30311</v>
          </cell>
          <cell r="G367">
            <v>4</v>
          </cell>
        </row>
        <row r="368">
          <cell r="A368" t="str">
            <v>21</v>
          </cell>
          <cell r="B368" t="str">
            <v>65334</v>
          </cell>
          <cell r="C368" t="str">
            <v>Marin</v>
          </cell>
          <cell r="D368" t="str">
            <v>Kentfield Elementary</v>
          </cell>
          <cell r="E368">
            <v>1007</v>
          </cell>
          <cell r="F368">
            <v>17119</v>
          </cell>
          <cell r="G368">
            <v>2</v>
          </cell>
        </row>
        <row r="369">
          <cell r="A369" t="str">
            <v>21</v>
          </cell>
          <cell r="B369" t="str">
            <v>65342</v>
          </cell>
          <cell r="C369" t="str">
            <v>Marin</v>
          </cell>
          <cell r="D369" t="str">
            <v>Laguna Joint Elementary</v>
          </cell>
          <cell r="E369">
            <v>35</v>
          </cell>
          <cell r="F369">
            <v>3564</v>
          </cell>
          <cell r="G369">
            <v>1</v>
          </cell>
        </row>
        <row r="370">
          <cell r="A370" t="str">
            <v>21</v>
          </cell>
          <cell r="B370" t="str">
            <v>65359</v>
          </cell>
          <cell r="C370" t="str">
            <v>Marin</v>
          </cell>
          <cell r="D370" t="str">
            <v>Lagunitas Elementary</v>
          </cell>
          <cell r="E370">
            <v>287</v>
          </cell>
          <cell r="F370">
            <v>7128</v>
          </cell>
          <cell r="G370">
            <v>2</v>
          </cell>
        </row>
        <row r="371">
          <cell r="A371" t="str">
            <v>21</v>
          </cell>
          <cell r="B371" t="str">
            <v>65367</v>
          </cell>
          <cell r="C371" t="str">
            <v>Marin</v>
          </cell>
          <cell r="D371" t="str">
            <v>Larkspur</v>
          </cell>
          <cell r="E371">
            <v>1257</v>
          </cell>
          <cell r="F371">
            <v>21369</v>
          </cell>
          <cell r="G371">
            <v>2</v>
          </cell>
        </row>
        <row r="372">
          <cell r="A372" t="str">
            <v>21</v>
          </cell>
          <cell r="B372" t="str">
            <v>65375</v>
          </cell>
          <cell r="C372" t="str">
            <v>Marin</v>
          </cell>
          <cell r="D372" t="str">
            <v>Lincoln Elementary</v>
          </cell>
          <cell r="E372">
            <v>13</v>
          </cell>
          <cell r="F372">
            <v>2228</v>
          </cell>
          <cell r="G372">
            <v>1</v>
          </cell>
        </row>
        <row r="373">
          <cell r="A373" t="str">
            <v>21</v>
          </cell>
          <cell r="B373" t="str">
            <v>65391</v>
          </cell>
          <cell r="C373" t="str">
            <v>Marin</v>
          </cell>
          <cell r="D373" t="str">
            <v>Mill Valley Elementary</v>
          </cell>
          <cell r="E373">
            <v>2490</v>
          </cell>
          <cell r="F373">
            <v>42330</v>
          </cell>
          <cell r="G373">
            <v>6</v>
          </cell>
        </row>
        <row r="374">
          <cell r="A374" t="str">
            <v>21</v>
          </cell>
          <cell r="B374" t="str">
            <v>65409</v>
          </cell>
          <cell r="C374" t="str">
            <v>Marin</v>
          </cell>
          <cell r="D374" t="str">
            <v>Nicasio</v>
          </cell>
          <cell r="E374">
            <v>59</v>
          </cell>
          <cell r="F374">
            <v>3564</v>
          </cell>
          <cell r="G374">
            <v>1</v>
          </cell>
        </row>
        <row r="375">
          <cell r="A375" t="str">
            <v>21</v>
          </cell>
          <cell r="B375" t="str">
            <v>65417</v>
          </cell>
          <cell r="C375" t="str">
            <v>Marin</v>
          </cell>
          <cell r="D375" t="str">
            <v>Novato Unified</v>
          </cell>
          <cell r="E375">
            <v>7686</v>
          </cell>
          <cell r="F375">
            <v>135055</v>
          </cell>
          <cell r="G375">
            <v>15</v>
          </cell>
        </row>
        <row r="376">
          <cell r="A376" t="str">
            <v>21</v>
          </cell>
          <cell r="B376" t="str">
            <v>65425</v>
          </cell>
          <cell r="C376" t="str">
            <v>Marin</v>
          </cell>
          <cell r="D376" t="str">
            <v>Reed Union Elementary</v>
          </cell>
          <cell r="E376">
            <v>1163</v>
          </cell>
          <cell r="F376">
            <v>19771</v>
          </cell>
          <cell r="G376">
            <v>3</v>
          </cell>
        </row>
        <row r="377">
          <cell r="A377" t="str">
            <v>21</v>
          </cell>
          <cell r="B377" t="str">
            <v>65433</v>
          </cell>
          <cell r="C377" t="str">
            <v>Marin</v>
          </cell>
          <cell r="D377" t="str">
            <v>Ross Elementary</v>
          </cell>
          <cell r="E377">
            <v>378</v>
          </cell>
          <cell r="F377">
            <v>6426</v>
          </cell>
          <cell r="G377">
            <v>1</v>
          </cell>
        </row>
        <row r="378">
          <cell r="A378" t="str">
            <v>21</v>
          </cell>
          <cell r="B378" t="str">
            <v>65458</v>
          </cell>
          <cell r="C378" t="str">
            <v>Marin</v>
          </cell>
          <cell r="D378" t="str">
            <v>San Rafael City Elementary</v>
          </cell>
          <cell r="E378">
            <v>3750</v>
          </cell>
          <cell r="F378">
            <v>64255</v>
          </cell>
          <cell r="G378">
            <v>8</v>
          </cell>
        </row>
        <row r="379">
          <cell r="A379" t="str">
            <v>21</v>
          </cell>
          <cell r="B379" t="str">
            <v>65466</v>
          </cell>
          <cell r="C379" t="str">
            <v>Marin</v>
          </cell>
          <cell r="D379" t="str">
            <v>San Rafael City High</v>
          </cell>
          <cell r="E379">
            <v>2133</v>
          </cell>
          <cell r="F379">
            <v>38875</v>
          </cell>
          <cell r="G379">
            <v>3</v>
          </cell>
        </row>
        <row r="380">
          <cell r="A380" t="str">
            <v>21</v>
          </cell>
          <cell r="B380" t="str">
            <v>65474</v>
          </cell>
          <cell r="C380" t="str">
            <v>Marin</v>
          </cell>
          <cell r="D380" t="str">
            <v>Sausalito Marin City</v>
          </cell>
          <cell r="E380">
            <v>177</v>
          </cell>
          <cell r="F380">
            <v>7128</v>
          </cell>
          <cell r="G380">
            <v>2</v>
          </cell>
        </row>
        <row r="381">
          <cell r="A381" t="str">
            <v>21</v>
          </cell>
          <cell r="B381" t="str">
            <v>65482</v>
          </cell>
          <cell r="C381" t="str">
            <v>Marin</v>
          </cell>
          <cell r="D381" t="str">
            <v>Tamalpais Union High</v>
          </cell>
          <cell r="E381">
            <v>3811</v>
          </cell>
          <cell r="F381">
            <v>68025</v>
          </cell>
          <cell r="G381">
            <v>5</v>
          </cell>
        </row>
        <row r="382">
          <cell r="A382" t="str">
            <v>21</v>
          </cell>
          <cell r="B382" t="str">
            <v>65516</v>
          </cell>
          <cell r="C382" t="str">
            <v>Marin</v>
          </cell>
          <cell r="D382" t="str">
            <v>Union Joint Elementary</v>
          </cell>
          <cell r="E382">
            <v>14</v>
          </cell>
          <cell r="F382">
            <v>2228</v>
          </cell>
          <cell r="G382">
            <v>1</v>
          </cell>
        </row>
        <row r="383">
          <cell r="A383" t="str">
            <v>21</v>
          </cell>
          <cell r="B383" t="str">
            <v>73361</v>
          </cell>
          <cell r="C383" t="str">
            <v>Marin</v>
          </cell>
          <cell r="D383" t="str">
            <v>Shoreline Unified</v>
          </cell>
          <cell r="E383">
            <v>567</v>
          </cell>
          <cell r="F383">
            <v>17820</v>
          </cell>
          <cell r="G383">
            <v>5</v>
          </cell>
        </row>
        <row r="384">
          <cell r="A384" t="str">
            <v>21</v>
          </cell>
          <cell r="B384" t="str">
            <v>75002</v>
          </cell>
          <cell r="C384" t="str">
            <v>Marin</v>
          </cell>
          <cell r="D384" t="str">
            <v>Ross Valley Elementary</v>
          </cell>
          <cell r="E384">
            <v>1935</v>
          </cell>
          <cell r="F384">
            <v>32895</v>
          </cell>
          <cell r="G384">
            <v>4</v>
          </cell>
        </row>
        <row r="385">
          <cell r="A385" t="str">
            <v>22</v>
          </cell>
          <cell r="B385" t="str">
            <v>10223</v>
          </cell>
          <cell r="C385" t="str">
            <v>Mariposa</v>
          </cell>
          <cell r="D385" t="str">
            <v>Mariposa County Office of Education</v>
          </cell>
          <cell r="E385">
            <v>54</v>
          </cell>
          <cell r="F385">
            <v>8020</v>
          </cell>
          <cell r="G385">
            <v>3</v>
          </cell>
        </row>
        <row r="386">
          <cell r="A386" t="str">
            <v>22</v>
          </cell>
          <cell r="B386" t="str">
            <v>65532</v>
          </cell>
          <cell r="C386" t="str">
            <v>Mariposa</v>
          </cell>
          <cell r="D386" t="str">
            <v>Mariposa County Unified</v>
          </cell>
          <cell r="E386">
            <v>2201</v>
          </cell>
          <cell r="F386">
            <v>57145</v>
          </cell>
          <cell r="G386">
            <v>14</v>
          </cell>
        </row>
        <row r="387">
          <cell r="A387" t="str">
            <v>23</v>
          </cell>
          <cell r="B387" t="str">
            <v>10231</v>
          </cell>
          <cell r="C387" t="str">
            <v>Mendocino</v>
          </cell>
          <cell r="D387" t="str">
            <v>Mendocino County Office of Education</v>
          </cell>
          <cell r="E387">
            <v>221</v>
          </cell>
          <cell r="F387">
            <v>11584</v>
          </cell>
          <cell r="G387">
            <v>4</v>
          </cell>
        </row>
        <row r="388">
          <cell r="A388" t="str">
            <v>23</v>
          </cell>
          <cell r="B388" t="str">
            <v>65540</v>
          </cell>
          <cell r="C388" t="str">
            <v>Mendocino</v>
          </cell>
          <cell r="D388" t="str">
            <v>Anderson Valley Unified</v>
          </cell>
          <cell r="E388">
            <v>543</v>
          </cell>
          <cell r="F388">
            <v>11323</v>
          </cell>
          <cell r="G388">
            <v>3</v>
          </cell>
        </row>
        <row r="389">
          <cell r="A389" t="str">
            <v>23</v>
          </cell>
          <cell r="B389" t="str">
            <v>65557</v>
          </cell>
          <cell r="C389" t="str">
            <v>Mendocino</v>
          </cell>
          <cell r="D389" t="str">
            <v>Arena Union Elementary</v>
          </cell>
          <cell r="E389">
            <v>209</v>
          </cell>
          <cell r="F389">
            <v>3564</v>
          </cell>
          <cell r="G389">
            <v>1</v>
          </cell>
        </row>
        <row r="390">
          <cell r="A390" t="str">
            <v>23</v>
          </cell>
          <cell r="B390" t="str">
            <v>65565</v>
          </cell>
          <cell r="C390" t="str">
            <v>Mendocino</v>
          </cell>
          <cell r="D390" t="str">
            <v>Fort Bragg Unified</v>
          </cell>
          <cell r="E390">
            <v>1907</v>
          </cell>
          <cell r="F390">
            <v>40413</v>
          </cell>
          <cell r="G390">
            <v>8</v>
          </cell>
        </row>
        <row r="391">
          <cell r="A391" t="str">
            <v>23</v>
          </cell>
          <cell r="B391" t="str">
            <v>65573</v>
          </cell>
          <cell r="C391" t="str">
            <v>Mendocino</v>
          </cell>
          <cell r="D391" t="str">
            <v>Manchester Union Elementary</v>
          </cell>
          <cell r="E391">
            <v>67</v>
          </cell>
          <cell r="F391">
            <v>3564</v>
          </cell>
          <cell r="G391">
            <v>1</v>
          </cell>
        </row>
        <row r="392">
          <cell r="A392" t="str">
            <v>23</v>
          </cell>
          <cell r="B392" t="str">
            <v>65581</v>
          </cell>
          <cell r="C392" t="str">
            <v>Mendocino</v>
          </cell>
          <cell r="D392" t="str">
            <v>Mendocino Unified</v>
          </cell>
          <cell r="E392">
            <v>548</v>
          </cell>
          <cell r="F392">
            <v>21983</v>
          </cell>
          <cell r="G392">
            <v>7</v>
          </cell>
        </row>
        <row r="393">
          <cell r="A393" t="str">
            <v>23</v>
          </cell>
          <cell r="B393" t="str">
            <v>65599</v>
          </cell>
          <cell r="C393" t="str">
            <v>Mendocino</v>
          </cell>
          <cell r="D393" t="str">
            <v>Point Arena Joint Union High</v>
          </cell>
          <cell r="E393">
            <v>185</v>
          </cell>
          <cell r="F393">
            <v>5792</v>
          </cell>
          <cell r="G393">
            <v>2</v>
          </cell>
        </row>
        <row r="394">
          <cell r="A394" t="str">
            <v>23</v>
          </cell>
          <cell r="B394" t="str">
            <v>65607</v>
          </cell>
          <cell r="C394" t="str">
            <v>Mendocino</v>
          </cell>
          <cell r="D394" t="str">
            <v>Round Valley Unified</v>
          </cell>
          <cell r="E394">
            <v>331</v>
          </cell>
          <cell r="F394">
            <v>13971</v>
          </cell>
          <cell r="G394">
            <v>5</v>
          </cell>
        </row>
        <row r="395">
          <cell r="A395" t="str">
            <v>23</v>
          </cell>
          <cell r="B395" t="str">
            <v>65615</v>
          </cell>
          <cell r="C395" t="str">
            <v>Mendocino</v>
          </cell>
          <cell r="D395" t="str">
            <v>Ukiah Unified</v>
          </cell>
          <cell r="E395">
            <v>5736</v>
          </cell>
          <cell r="F395">
            <v>99898</v>
          </cell>
          <cell r="G395">
            <v>12</v>
          </cell>
        </row>
        <row r="396">
          <cell r="A396" t="str">
            <v>23</v>
          </cell>
          <cell r="B396" t="str">
            <v>65623</v>
          </cell>
          <cell r="C396" t="str">
            <v>Mendocino</v>
          </cell>
          <cell r="D396" t="str">
            <v>Willits Unified</v>
          </cell>
          <cell r="E396">
            <v>1824</v>
          </cell>
          <cell r="F396">
            <v>43572</v>
          </cell>
          <cell r="G396">
            <v>9</v>
          </cell>
        </row>
        <row r="397">
          <cell r="A397" t="str">
            <v>23</v>
          </cell>
          <cell r="B397" t="str">
            <v>73866</v>
          </cell>
          <cell r="C397" t="str">
            <v>Mendocino</v>
          </cell>
          <cell r="D397" t="str">
            <v>Potter Valley Community Unified</v>
          </cell>
          <cell r="E397">
            <v>261</v>
          </cell>
          <cell r="F397">
            <v>15148</v>
          </cell>
          <cell r="G397">
            <v>5</v>
          </cell>
        </row>
        <row r="398">
          <cell r="A398" t="str">
            <v>23</v>
          </cell>
          <cell r="B398" t="str">
            <v>73916</v>
          </cell>
          <cell r="C398" t="str">
            <v>Mendocino</v>
          </cell>
          <cell r="D398" t="str">
            <v>Laytonville Unified</v>
          </cell>
          <cell r="E398">
            <v>386</v>
          </cell>
          <cell r="F398">
            <v>16182</v>
          </cell>
          <cell r="G398">
            <v>6</v>
          </cell>
        </row>
        <row r="399">
          <cell r="A399" t="str">
            <v>23</v>
          </cell>
          <cell r="B399" t="str">
            <v>75218</v>
          </cell>
          <cell r="C399" t="str">
            <v>Mendocino</v>
          </cell>
          <cell r="D399" t="str">
            <v>Leggett Valley Unified</v>
          </cell>
          <cell r="E399">
            <v>149</v>
          </cell>
          <cell r="F399">
            <v>15148</v>
          </cell>
          <cell r="G399">
            <v>5</v>
          </cell>
        </row>
        <row r="400">
          <cell r="A400" t="str">
            <v>24</v>
          </cell>
          <cell r="B400" t="str">
            <v>10249</v>
          </cell>
          <cell r="C400" t="str">
            <v>Merced</v>
          </cell>
          <cell r="D400" t="str">
            <v>Merced County Office of Education</v>
          </cell>
          <cell r="E400">
            <v>1865</v>
          </cell>
          <cell r="F400">
            <v>41383</v>
          </cell>
          <cell r="G400">
            <v>7</v>
          </cell>
        </row>
        <row r="401">
          <cell r="A401" t="str">
            <v>24</v>
          </cell>
          <cell r="B401" t="str">
            <v>65631</v>
          </cell>
          <cell r="C401" t="str">
            <v>Merced</v>
          </cell>
          <cell r="D401" t="str">
            <v>Atwater Elementary</v>
          </cell>
          <cell r="E401">
            <v>4612</v>
          </cell>
          <cell r="F401">
            <v>80446</v>
          </cell>
          <cell r="G401">
            <v>9</v>
          </cell>
        </row>
        <row r="402">
          <cell r="A402" t="str">
            <v>24</v>
          </cell>
          <cell r="B402" t="str">
            <v>65649</v>
          </cell>
          <cell r="C402" t="str">
            <v>Merced</v>
          </cell>
          <cell r="D402" t="str">
            <v>Ballico-Cressey Elementary</v>
          </cell>
          <cell r="E402">
            <v>311</v>
          </cell>
          <cell r="F402">
            <v>7128</v>
          </cell>
          <cell r="G402">
            <v>2</v>
          </cell>
        </row>
        <row r="403">
          <cell r="A403" t="str">
            <v>24</v>
          </cell>
          <cell r="B403" t="str">
            <v>65680</v>
          </cell>
          <cell r="C403" t="str">
            <v>Merced</v>
          </cell>
          <cell r="D403" t="str">
            <v>El Nido Elementary</v>
          </cell>
          <cell r="E403">
            <v>181</v>
          </cell>
          <cell r="F403">
            <v>3564</v>
          </cell>
          <cell r="G403">
            <v>1</v>
          </cell>
        </row>
        <row r="404">
          <cell r="A404" t="str">
            <v>24</v>
          </cell>
          <cell r="B404" t="str">
            <v>65698</v>
          </cell>
          <cell r="C404" t="str">
            <v>Merced</v>
          </cell>
          <cell r="D404" t="str">
            <v>Hilmar Unified</v>
          </cell>
          <cell r="E404">
            <v>2362</v>
          </cell>
          <cell r="F404">
            <v>45584</v>
          </cell>
          <cell r="G404">
            <v>6</v>
          </cell>
        </row>
        <row r="405">
          <cell r="A405" t="str">
            <v>24</v>
          </cell>
          <cell r="B405" t="str">
            <v>65722</v>
          </cell>
          <cell r="C405" t="str">
            <v>Merced</v>
          </cell>
          <cell r="D405" t="str">
            <v>Le Grand Union Elementary</v>
          </cell>
          <cell r="E405">
            <v>403</v>
          </cell>
          <cell r="F405">
            <v>6851</v>
          </cell>
          <cell r="G405">
            <v>1</v>
          </cell>
        </row>
        <row r="406">
          <cell r="A406" t="str">
            <v>24</v>
          </cell>
          <cell r="B406" t="str">
            <v>65730</v>
          </cell>
          <cell r="C406" t="str">
            <v>Merced</v>
          </cell>
          <cell r="D406" t="str">
            <v>Le Grand Union High</v>
          </cell>
          <cell r="E406">
            <v>572</v>
          </cell>
          <cell r="F406">
            <v>12149</v>
          </cell>
          <cell r="G406">
            <v>2</v>
          </cell>
        </row>
        <row r="407">
          <cell r="A407" t="str">
            <v>24</v>
          </cell>
          <cell r="B407" t="str">
            <v>65748</v>
          </cell>
          <cell r="C407" t="str">
            <v>Merced</v>
          </cell>
          <cell r="D407" t="str">
            <v>Livingston Union</v>
          </cell>
          <cell r="E407">
            <v>2521</v>
          </cell>
          <cell r="F407">
            <v>42858</v>
          </cell>
          <cell r="G407">
            <v>4</v>
          </cell>
        </row>
        <row r="408">
          <cell r="A408" t="str">
            <v>24</v>
          </cell>
          <cell r="B408" t="str">
            <v>65755</v>
          </cell>
          <cell r="C408" t="str">
            <v>Merced</v>
          </cell>
          <cell r="D408" t="str">
            <v>Los Banos Unified</v>
          </cell>
          <cell r="E408">
            <v>8748</v>
          </cell>
          <cell r="F408">
            <v>151319</v>
          </cell>
          <cell r="G408">
            <v>11</v>
          </cell>
        </row>
        <row r="409">
          <cell r="A409" t="str">
            <v>24</v>
          </cell>
          <cell r="B409" t="str">
            <v>65763</v>
          </cell>
          <cell r="C409" t="str">
            <v>Merced</v>
          </cell>
          <cell r="D409" t="str">
            <v>McSwain Union Elementary</v>
          </cell>
          <cell r="E409">
            <v>782</v>
          </cell>
          <cell r="F409">
            <v>13295</v>
          </cell>
          <cell r="G409">
            <v>1</v>
          </cell>
        </row>
        <row r="410">
          <cell r="A410" t="str">
            <v>24</v>
          </cell>
          <cell r="B410" t="str">
            <v>65771</v>
          </cell>
          <cell r="C410" t="str">
            <v>Merced</v>
          </cell>
          <cell r="D410" t="str">
            <v>Merced City Elementary</v>
          </cell>
          <cell r="E410">
            <v>10876</v>
          </cell>
          <cell r="F410">
            <v>188086</v>
          </cell>
          <cell r="G410">
            <v>18</v>
          </cell>
        </row>
        <row r="411">
          <cell r="A411" t="str">
            <v>24</v>
          </cell>
          <cell r="B411" t="str">
            <v>65789</v>
          </cell>
          <cell r="C411" t="str">
            <v>Merced</v>
          </cell>
          <cell r="D411" t="str">
            <v>Merced Union High</v>
          </cell>
          <cell r="E411">
            <v>10591</v>
          </cell>
          <cell r="F411">
            <v>182343</v>
          </cell>
          <cell r="G411">
            <v>8</v>
          </cell>
        </row>
        <row r="412">
          <cell r="A412" t="str">
            <v>24</v>
          </cell>
          <cell r="B412" t="str">
            <v>65813</v>
          </cell>
          <cell r="C412" t="str">
            <v>Merced</v>
          </cell>
          <cell r="D412" t="str">
            <v>Plainsburg Union Elementary</v>
          </cell>
          <cell r="E412">
            <v>114</v>
          </cell>
          <cell r="F412">
            <v>3564</v>
          </cell>
          <cell r="G412">
            <v>1</v>
          </cell>
        </row>
        <row r="413">
          <cell r="A413" t="str">
            <v>24</v>
          </cell>
          <cell r="B413" t="str">
            <v>65821</v>
          </cell>
          <cell r="C413" t="str">
            <v>Merced</v>
          </cell>
          <cell r="D413" t="str">
            <v>Planada Elementary</v>
          </cell>
          <cell r="E413">
            <v>794</v>
          </cell>
          <cell r="F413">
            <v>13498</v>
          </cell>
          <cell r="G413">
            <v>2</v>
          </cell>
        </row>
        <row r="414">
          <cell r="A414" t="str">
            <v>24</v>
          </cell>
          <cell r="B414" t="str">
            <v>65839</v>
          </cell>
          <cell r="C414" t="str">
            <v>Merced</v>
          </cell>
          <cell r="D414" t="str">
            <v>Snelling-Merced Falls Union Elementary</v>
          </cell>
          <cell r="E414">
            <v>86</v>
          </cell>
          <cell r="F414">
            <v>3564</v>
          </cell>
          <cell r="G414">
            <v>1</v>
          </cell>
        </row>
        <row r="415">
          <cell r="A415" t="str">
            <v>24</v>
          </cell>
          <cell r="B415" t="str">
            <v>65862</v>
          </cell>
          <cell r="C415" t="str">
            <v>Merced</v>
          </cell>
          <cell r="D415" t="str">
            <v>Weaver Union</v>
          </cell>
          <cell r="E415">
            <v>2371</v>
          </cell>
          <cell r="F415">
            <v>40309</v>
          </cell>
          <cell r="G415">
            <v>3</v>
          </cell>
        </row>
        <row r="416">
          <cell r="A416" t="str">
            <v>24</v>
          </cell>
          <cell r="B416" t="str">
            <v>65870</v>
          </cell>
          <cell r="C416" t="str">
            <v>Merced</v>
          </cell>
          <cell r="D416" t="str">
            <v>Winton Elementary</v>
          </cell>
          <cell r="E416">
            <v>1794</v>
          </cell>
          <cell r="F416">
            <v>30498</v>
          </cell>
          <cell r="G416">
            <v>4</v>
          </cell>
        </row>
        <row r="417">
          <cell r="A417" t="str">
            <v>24</v>
          </cell>
          <cell r="B417" t="str">
            <v>73619</v>
          </cell>
          <cell r="C417" t="str">
            <v>Merced</v>
          </cell>
          <cell r="D417" t="str">
            <v>Gustine Unified</v>
          </cell>
          <cell r="E417">
            <v>1812</v>
          </cell>
          <cell r="F417">
            <v>36137</v>
          </cell>
          <cell r="G417">
            <v>6</v>
          </cell>
        </row>
        <row r="418">
          <cell r="A418" t="str">
            <v>24</v>
          </cell>
          <cell r="B418" t="str">
            <v>73726</v>
          </cell>
          <cell r="C418" t="str">
            <v>Merced</v>
          </cell>
          <cell r="D418" t="str">
            <v>Merced River Union Elementary</v>
          </cell>
          <cell r="E418">
            <v>187</v>
          </cell>
          <cell r="F418">
            <v>7128</v>
          </cell>
          <cell r="G418">
            <v>2</v>
          </cell>
        </row>
        <row r="419">
          <cell r="A419" t="str">
            <v>24</v>
          </cell>
          <cell r="B419" t="str">
            <v>75317</v>
          </cell>
          <cell r="C419" t="str">
            <v>Merced</v>
          </cell>
          <cell r="D419" t="str">
            <v>Dos Palos Oro Loma Joint Unified</v>
          </cell>
          <cell r="E419">
            <v>2570</v>
          </cell>
          <cell r="F419">
            <v>47011</v>
          </cell>
          <cell r="G419">
            <v>6</v>
          </cell>
        </row>
        <row r="420">
          <cell r="A420" t="str">
            <v>24</v>
          </cell>
          <cell r="B420" t="str">
            <v>75366</v>
          </cell>
          <cell r="C420" t="str">
            <v>Merced</v>
          </cell>
          <cell r="D420" t="str">
            <v>Delhi Unified</v>
          </cell>
          <cell r="E420">
            <v>2644</v>
          </cell>
          <cell r="F420">
            <v>52410</v>
          </cell>
          <cell r="G420">
            <v>7</v>
          </cell>
        </row>
        <row r="421">
          <cell r="A421" t="str">
            <v>25</v>
          </cell>
          <cell r="B421" t="str">
            <v>10256</v>
          </cell>
          <cell r="C421" t="str">
            <v>Modoc</v>
          </cell>
          <cell r="D421" t="str">
            <v>Modoc County Office of Education</v>
          </cell>
          <cell r="E421">
            <v>65</v>
          </cell>
          <cell r="F421">
            <v>11584</v>
          </cell>
          <cell r="G421">
            <v>4</v>
          </cell>
        </row>
        <row r="422">
          <cell r="A422" t="str">
            <v>25</v>
          </cell>
          <cell r="B422" t="str">
            <v>65896</v>
          </cell>
          <cell r="C422" t="str">
            <v>Modoc</v>
          </cell>
          <cell r="D422" t="str">
            <v>Surprise Valley Joint Unified</v>
          </cell>
          <cell r="E422">
            <v>163</v>
          </cell>
          <cell r="F422">
            <v>11584</v>
          </cell>
          <cell r="G422">
            <v>4</v>
          </cell>
        </row>
        <row r="423">
          <cell r="A423" t="str">
            <v>25</v>
          </cell>
          <cell r="B423" t="str">
            <v>73585</v>
          </cell>
          <cell r="C423" t="str">
            <v>Modoc</v>
          </cell>
          <cell r="D423" t="str">
            <v>Modoc Joint Unified</v>
          </cell>
          <cell r="E423">
            <v>914</v>
          </cell>
          <cell r="F423">
            <v>30178</v>
          </cell>
          <cell r="G423">
            <v>9</v>
          </cell>
        </row>
        <row r="424">
          <cell r="A424" t="str">
            <v>25</v>
          </cell>
          <cell r="B424" t="str">
            <v>73593</v>
          </cell>
          <cell r="C424" t="str">
            <v>Modoc</v>
          </cell>
          <cell r="D424" t="str">
            <v>Tulelake Basin Joint Unified</v>
          </cell>
          <cell r="E424">
            <v>535</v>
          </cell>
          <cell r="F424">
            <v>15596</v>
          </cell>
          <cell r="G424">
            <v>5</v>
          </cell>
        </row>
        <row r="425">
          <cell r="A425" t="str">
            <v>26</v>
          </cell>
          <cell r="B425" t="str">
            <v>10264</v>
          </cell>
          <cell r="C425" t="str">
            <v>Mono</v>
          </cell>
          <cell r="D425" t="str">
            <v>Mono County Office of Education</v>
          </cell>
          <cell r="E425">
            <v>41</v>
          </cell>
          <cell r="F425">
            <v>8912</v>
          </cell>
          <cell r="G425">
            <v>4</v>
          </cell>
        </row>
        <row r="426">
          <cell r="A426" t="str">
            <v>26</v>
          </cell>
          <cell r="B426" t="str">
            <v>73668</v>
          </cell>
          <cell r="C426" t="str">
            <v>Mono</v>
          </cell>
          <cell r="D426" t="str">
            <v>Eastern Sierra Unified</v>
          </cell>
          <cell r="E426">
            <v>490</v>
          </cell>
          <cell r="F426">
            <v>33860</v>
          </cell>
          <cell r="G426">
            <v>11</v>
          </cell>
        </row>
        <row r="427">
          <cell r="A427" t="str">
            <v>26</v>
          </cell>
          <cell r="B427" t="str">
            <v>73692</v>
          </cell>
          <cell r="C427" t="str">
            <v>Mono</v>
          </cell>
          <cell r="D427" t="str">
            <v>Mammoth Unified</v>
          </cell>
          <cell r="E427">
            <v>1178</v>
          </cell>
          <cell r="F427">
            <v>26423</v>
          </cell>
          <cell r="G427">
            <v>5</v>
          </cell>
        </row>
        <row r="428">
          <cell r="A428" t="str">
            <v>27</v>
          </cell>
          <cell r="B428" t="str">
            <v>10272</v>
          </cell>
          <cell r="C428" t="str">
            <v>Monterey</v>
          </cell>
          <cell r="D428" t="str">
            <v>Monterey County Office of Education</v>
          </cell>
          <cell r="E428">
            <v>1196</v>
          </cell>
          <cell r="F428">
            <v>23370</v>
          </cell>
          <cell r="G428">
            <v>4</v>
          </cell>
        </row>
        <row r="429">
          <cell r="A429" t="str">
            <v>27</v>
          </cell>
          <cell r="B429" t="str">
            <v>65961</v>
          </cell>
          <cell r="C429" t="str">
            <v>Monterey</v>
          </cell>
          <cell r="D429" t="str">
            <v>Alisal Union</v>
          </cell>
          <cell r="E429">
            <v>7463</v>
          </cell>
          <cell r="F429">
            <v>126874</v>
          </cell>
          <cell r="G429">
            <v>11</v>
          </cell>
        </row>
        <row r="430">
          <cell r="A430" t="str">
            <v>27</v>
          </cell>
          <cell r="B430" t="str">
            <v>65979</v>
          </cell>
          <cell r="C430" t="str">
            <v>Monterey</v>
          </cell>
          <cell r="D430" t="str">
            <v>Bradley Union Elementary</v>
          </cell>
          <cell r="E430">
            <v>42</v>
          </cell>
          <cell r="F430">
            <v>3564</v>
          </cell>
          <cell r="G430">
            <v>1</v>
          </cell>
        </row>
        <row r="431">
          <cell r="A431" t="str">
            <v>27</v>
          </cell>
          <cell r="B431" t="str">
            <v>65987</v>
          </cell>
          <cell r="C431" t="str">
            <v>Monterey</v>
          </cell>
          <cell r="D431" t="str">
            <v>Carmel Unified</v>
          </cell>
          <cell r="E431">
            <v>2152</v>
          </cell>
          <cell r="F431">
            <v>42250</v>
          </cell>
          <cell r="G431">
            <v>6</v>
          </cell>
        </row>
        <row r="432">
          <cell r="A432" t="str">
            <v>27</v>
          </cell>
          <cell r="B432" t="str">
            <v>65995</v>
          </cell>
          <cell r="C432" t="str">
            <v>Monterey</v>
          </cell>
          <cell r="D432" t="str">
            <v>Chualar Union Elementary</v>
          </cell>
          <cell r="E432">
            <v>364</v>
          </cell>
          <cell r="F432">
            <v>6188</v>
          </cell>
          <cell r="G432">
            <v>1</v>
          </cell>
        </row>
        <row r="433">
          <cell r="A433" t="str">
            <v>27</v>
          </cell>
          <cell r="B433" t="str">
            <v>66027</v>
          </cell>
          <cell r="C433" t="str">
            <v>Monterey</v>
          </cell>
          <cell r="D433" t="str">
            <v>Graves Elementary</v>
          </cell>
          <cell r="E433">
            <v>33</v>
          </cell>
          <cell r="F433">
            <v>3564</v>
          </cell>
          <cell r="G433">
            <v>1</v>
          </cell>
        </row>
        <row r="434">
          <cell r="A434" t="str">
            <v>27</v>
          </cell>
          <cell r="B434" t="str">
            <v>66035</v>
          </cell>
          <cell r="C434" t="str">
            <v>Monterey</v>
          </cell>
          <cell r="D434" t="str">
            <v>Greenfield Union Elementary</v>
          </cell>
          <cell r="E434">
            <v>2635</v>
          </cell>
          <cell r="F434">
            <v>44796</v>
          </cell>
          <cell r="G434">
            <v>4</v>
          </cell>
        </row>
        <row r="435">
          <cell r="A435" t="str">
            <v>27</v>
          </cell>
          <cell r="B435" t="str">
            <v>66050</v>
          </cell>
          <cell r="C435" t="str">
            <v>Monterey</v>
          </cell>
          <cell r="D435" t="str">
            <v>King City Union</v>
          </cell>
          <cell r="E435">
            <v>2431</v>
          </cell>
          <cell r="F435">
            <v>41594</v>
          </cell>
          <cell r="G435">
            <v>4</v>
          </cell>
        </row>
        <row r="436">
          <cell r="A436" t="str">
            <v>27</v>
          </cell>
          <cell r="B436" t="str">
            <v>66068</v>
          </cell>
          <cell r="C436" t="str">
            <v>Monterey</v>
          </cell>
          <cell r="D436" t="str">
            <v>King City Joint Union High</v>
          </cell>
          <cell r="E436">
            <v>2134</v>
          </cell>
          <cell r="F436">
            <v>41436</v>
          </cell>
          <cell r="G436">
            <v>4</v>
          </cell>
        </row>
        <row r="437">
          <cell r="A437" t="str">
            <v>27</v>
          </cell>
          <cell r="B437" t="str">
            <v>66076</v>
          </cell>
          <cell r="C437" t="str">
            <v>Monterey</v>
          </cell>
          <cell r="D437" t="str">
            <v>Lagunita Elementary</v>
          </cell>
          <cell r="E437">
            <v>93</v>
          </cell>
          <cell r="F437">
            <v>3564</v>
          </cell>
          <cell r="G437">
            <v>1</v>
          </cell>
        </row>
        <row r="438">
          <cell r="A438" t="str">
            <v>27</v>
          </cell>
          <cell r="B438" t="str">
            <v>66084</v>
          </cell>
          <cell r="C438" t="str">
            <v>Monterey</v>
          </cell>
          <cell r="D438" t="str">
            <v>Mission Union Elementary</v>
          </cell>
          <cell r="E438">
            <v>99</v>
          </cell>
          <cell r="F438">
            <v>3564</v>
          </cell>
          <cell r="G438">
            <v>1</v>
          </cell>
        </row>
        <row r="439">
          <cell r="A439" t="str">
            <v>27</v>
          </cell>
          <cell r="B439" t="str">
            <v>66092</v>
          </cell>
          <cell r="C439" t="str">
            <v>Monterey</v>
          </cell>
          <cell r="D439" t="str">
            <v>Monterey Peninsula Unified</v>
          </cell>
          <cell r="E439">
            <v>11192</v>
          </cell>
          <cell r="F439">
            <v>195329</v>
          </cell>
          <cell r="G439">
            <v>21</v>
          </cell>
        </row>
        <row r="440">
          <cell r="A440" t="str">
            <v>27</v>
          </cell>
          <cell r="B440" t="str">
            <v>66134</v>
          </cell>
          <cell r="C440" t="str">
            <v>Monterey</v>
          </cell>
          <cell r="D440" t="str">
            <v>Pacific Grove Unified</v>
          </cell>
          <cell r="E440">
            <v>1692</v>
          </cell>
          <cell r="F440">
            <v>30720</v>
          </cell>
          <cell r="G440">
            <v>5</v>
          </cell>
        </row>
        <row r="441">
          <cell r="A441" t="str">
            <v>27</v>
          </cell>
          <cell r="B441" t="str">
            <v>66142</v>
          </cell>
          <cell r="C441" t="str">
            <v>Monterey</v>
          </cell>
          <cell r="D441" t="str">
            <v>Salinas City Elementary</v>
          </cell>
          <cell r="E441">
            <v>7866</v>
          </cell>
          <cell r="F441">
            <v>136387</v>
          </cell>
          <cell r="G441">
            <v>13</v>
          </cell>
        </row>
        <row r="442">
          <cell r="A442" t="str">
            <v>27</v>
          </cell>
          <cell r="B442" t="str">
            <v>66159</v>
          </cell>
          <cell r="C442" t="str">
            <v>Monterey</v>
          </cell>
          <cell r="D442" t="str">
            <v>Salinas Union High</v>
          </cell>
          <cell r="E442">
            <v>13455</v>
          </cell>
          <cell r="F442">
            <v>230736</v>
          </cell>
          <cell r="G442">
            <v>10</v>
          </cell>
        </row>
        <row r="443">
          <cell r="A443" t="str">
            <v>27</v>
          </cell>
          <cell r="B443" t="str">
            <v>66167</v>
          </cell>
          <cell r="C443" t="str">
            <v>Monterey</v>
          </cell>
          <cell r="D443" t="str">
            <v>San Antonio Union Elementary</v>
          </cell>
          <cell r="E443">
            <v>190</v>
          </cell>
          <cell r="F443">
            <v>3564</v>
          </cell>
          <cell r="G443">
            <v>1</v>
          </cell>
        </row>
        <row r="444">
          <cell r="A444" t="str">
            <v>27</v>
          </cell>
          <cell r="B444" t="str">
            <v>66175</v>
          </cell>
          <cell r="C444" t="str">
            <v>Monterey</v>
          </cell>
          <cell r="D444" t="str">
            <v>San Ardo Union Elementary</v>
          </cell>
          <cell r="E444">
            <v>119</v>
          </cell>
          <cell r="F444">
            <v>3564</v>
          </cell>
          <cell r="G444">
            <v>1</v>
          </cell>
        </row>
        <row r="445">
          <cell r="A445" t="str">
            <v>27</v>
          </cell>
          <cell r="B445" t="str">
            <v>66183</v>
          </cell>
          <cell r="C445" t="str">
            <v>Monterey</v>
          </cell>
          <cell r="D445" t="str">
            <v>San Lucas Union Elementary</v>
          </cell>
          <cell r="E445">
            <v>64</v>
          </cell>
          <cell r="F445">
            <v>3564</v>
          </cell>
          <cell r="G445">
            <v>1</v>
          </cell>
        </row>
        <row r="446">
          <cell r="A446" t="str">
            <v>27</v>
          </cell>
          <cell r="B446" t="str">
            <v>66191</v>
          </cell>
          <cell r="C446" t="str">
            <v>Monterey</v>
          </cell>
          <cell r="D446" t="str">
            <v>Santa Rita Union Elementary</v>
          </cell>
          <cell r="E446">
            <v>3094</v>
          </cell>
          <cell r="F446">
            <v>52599</v>
          </cell>
          <cell r="G446">
            <v>5</v>
          </cell>
        </row>
        <row r="447">
          <cell r="A447" t="str">
            <v>27</v>
          </cell>
          <cell r="B447" t="str">
            <v>66225</v>
          </cell>
          <cell r="C447" t="str">
            <v>Monterey</v>
          </cell>
          <cell r="D447" t="str">
            <v>Spreckels Union Elementary</v>
          </cell>
          <cell r="E447">
            <v>903</v>
          </cell>
          <cell r="F447">
            <v>15351</v>
          </cell>
          <cell r="G447">
            <v>2</v>
          </cell>
        </row>
        <row r="448">
          <cell r="A448" t="str">
            <v>27</v>
          </cell>
          <cell r="B448" t="str">
            <v>66233</v>
          </cell>
          <cell r="C448" t="str">
            <v>Monterey</v>
          </cell>
          <cell r="D448" t="str">
            <v>Washington Union Elementary</v>
          </cell>
          <cell r="E448">
            <v>949</v>
          </cell>
          <cell r="F448">
            <v>16133</v>
          </cell>
          <cell r="G448">
            <v>3</v>
          </cell>
        </row>
        <row r="449">
          <cell r="A449" t="str">
            <v>27</v>
          </cell>
          <cell r="B449" t="str">
            <v>73825</v>
          </cell>
          <cell r="C449" t="str">
            <v>Monterey</v>
          </cell>
          <cell r="D449" t="str">
            <v>North Monterey County Unified</v>
          </cell>
          <cell r="E449">
            <v>4632</v>
          </cell>
          <cell r="F449">
            <v>81555</v>
          </cell>
          <cell r="G449">
            <v>8</v>
          </cell>
        </row>
        <row r="450">
          <cell r="A450" t="str">
            <v>27</v>
          </cell>
          <cell r="B450" t="str">
            <v>75150</v>
          </cell>
          <cell r="C450" t="str">
            <v>Monterey</v>
          </cell>
          <cell r="D450" t="str">
            <v>Pacific Unified</v>
          </cell>
          <cell r="E450">
            <v>15</v>
          </cell>
          <cell r="F450">
            <v>2228</v>
          </cell>
          <cell r="G450">
            <v>1</v>
          </cell>
        </row>
        <row r="451">
          <cell r="A451" t="str">
            <v>27</v>
          </cell>
          <cell r="B451" t="str">
            <v>75440</v>
          </cell>
          <cell r="C451" t="str">
            <v>Monterey</v>
          </cell>
          <cell r="D451" t="str">
            <v>Soledad Unified</v>
          </cell>
          <cell r="E451">
            <v>4259</v>
          </cell>
          <cell r="F451">
            <v>77016</v>
          </cell>
          <cell r="G451">
            <v>9</v>
          </cell>
        </row>
        <row r="452">
          <cell r="A452" t="str">
            <v>27</v>
          </cell>
          <cell r="B452" t="str">
            <v>75473</v>
          </cell>
          <cell r="C452" t="str">
            <v>Monterey</v>
          </cell>
          <cell r="D452" t="str">
            <v>Gonzales Unified</v>
          </cell>
          <cell r="E452">
            <v>2296</v>
          </cell>
          <cell r="F452">
            <v>41985</v>
          </cell>
          <cell r="G452">
            <v>4</v>
          </cell>
        </row>
        <row r="453">
          <cell r="A453" t="str">
            <v>28</v>
          </cell>
          <cell r="B453" t="str">
            <v>10280</v>
          </cell>
          <cell r="C453" t="str">
            <v>Napa</v>
          </cell>
          <cell r="D453" t="str">
            <v>Napa County Office of Education</v>
          </cell>
          <cell r="E453">
            <v>201</v>
          </cell>
          <cell r="F453">
            <v>11584</v>
          </cell>
          <cell r="G453">
            <v>4</v>
          </cell>
        </row>
        <row r="454">
          <cell r="A454" t="str">
            <v>28</v>
          </cell>
          <cell r="B454" t="str">
            <v>66241</v>
          </cell>
          <cell r="C454" t="str">
            <v>Napa</v>
          </cell>
          <cell r="D454" t="str">
            <v>Calistoga Joint Unified</v>
          </cell>
          <cell r="E454">
            <v>868</v>
          </cell>
          <cell r="F454">
            <v>16814</v>
          </cell>
          <cell r="G454">
            <v>3</v>
          </cell>
        </row>
        <row r="455">
          <cell r="A455" t="str">
            <v>28</v>
          </cell>
          <cell r="B455" t="str">
            <v>66258</v>
          </cell>
          <cell r="C455" t="str">
            <v>Napa</v>
          </cell>
          <cell r="D455" t="str">
            <v>Howell Mountain Elementary</v>
          </cell>
          <cell r="E455">
            <v>109</v>
          </cell>
          <cell r="F455">
            <v>3564</v>
          </cell>
          <cell r="G455">
            <v>1</v>
          </cell>
        </row>
        <row r="456">
          <cell r="A456" t="str">
            <v>28</v>
          </cell>
          <cell r="B456" t="str">
            <v>66266</v>
          </cell>
          <cell r="C456" t="str">
            <v>Napa</v>
          </cell>
          <cell r="D456" t="str">
            <v>Napa Valley Unified</v>
          </cell>
          <cell r="E456">
            <v>17498</v>
          </cell>
          <cell r="F456">
            <v>312695</v>
          </cell>
          <cell r="G456">
            <v>36</v>
          </cell>
        </row>
        <row r="457">
          <cell r="A457" t="str">
            <v>28</v>
          </cell>
          <cell r="B457" t="str">
            <v>66282</v>
          </cell>
          <cell r="C457" t="str">
            <v>Napa</v>
          </cell>
          <cell r="D457" t="str">
            <v>Pope Valley Union Elementary</v>
          </cell>
          <cell r="E457">
            <v>65</v>
          </cell>
          <cell r="F457">
            <v>3564</v>
          </cell>
          <cell r="G457">
            <v>1</v>
          </cell>
        </row>
        <row r="458">
          <cell r="A458" t="str">
            <v>28</v>
          </cell>
          <cell r="B458" t="str">
            <v>66290</v>
          </cell>
          <cell r="C458" t="str">
            <v>Napa</v>
          </cell>
          <cell r="D458" t="str">
            <v>Saint Helena Unified</v>
          </cell>
          <cell r="E458">
            <v>1351</v>
          </cell>
          <cell r="F458">
            <v>22967</v>
          </cell>
          <cell r="G458">
            <v>4</v>
          </cell>
        </row>
        <row r="459">
          <cell r="A459" t="str">
            <v>29</v>
          </cell>
          <cell r="B459" t="str">
            <v>10298</v>
          </cell>
          <cell r="C459" t="str">
            <v>Nevada</v>
          </cell>
          <cell r="D459" t="str">
            <v>Nevada County Office of Education</v>
          </cell>
          <cell r="E459">
            <v>1458</v>
          </cell>
          <cell r="F459">
            <v>39470</v>
          </cell>
          <cell r="G459">
            <v>10</v>
          </cell>
        </row>
        <row r="460">
          <cell r="A460" t="str">
            <v>29</v>
          </cell>
          <cell r="B460" t="str">
            <v>66316</v>
          </cell>
          <cell r="C460" t="str">
            <v>Nevada</v>
          </cell>
          <cell r="D460" t="str">
            <v>Chicago Park Elementary</v>
          </cell>
          <cell r="E460">
            <v>148</v>
          </cell>
          <cell r="F460">
            <v>3564</v>
          </cell>
          <cell r="G460">
            <v>1</v>
          </cell>
        </row>
        <row r="461">
          <cell r="A461" t="str">
            <v>29</v>
          </cell>
          <cell r="B461" t="str">
            <v>66324</v>
          </cell>
          <cell r="C461" t="str">
            <v>Nevada</v>
          </cell>
          <cell r="D461" t="str">
            <v>Clear Creek Elementary</v>
          </cell>
          <cell r="E461">
            <v>130</v>
          </cell>
          <cell r="F461">
            <v>3564</v>
          </cell>
          <cell r="G461">
            <v>1</v>
          </cell>
        </row>
        <row r="462">
          <cell r="A462" t="str">
            <v>29</v>
          </cell>
          <cell r="B462" t="str">
            <v>66332</v>
          </cell>
          <cell r="C462" t="str">
            <v>Nevada</v>
          </cell>
          <cell r="D462" t="str">
            <v>Grass Valley Elementary</v>
          </cell>
          <cell r="E462">
            <v>1676</v>
          </cell>
          <cell r="F462">
            <v>32761</v>
          </cell>
          <cell r="G462">
            <v>6</v>
          </cell>
        </row>
        <row r="463">
          <cell r="A463" t="str">
            <v>29</v>
          </cell>
          <cell r="B463" t="str">
            <v>66340</v>
          </cell>
          <cell r="C463" t="str">
            <v>Nevada</v>
          </cell>
          <cell r="D463" t="str">
            <v>Nevada City Elementary</v>
          </cell>
          <cell r="E463">
            <v>1237</v>
          </cell>
          <cell r="F463">
            <v>27234</v>
          </cell>
          <cell r="G463">
            <v>6</v>
          </cell>
        </row>
        <row r="464">
          <cell r="A464" t="str">
            <v>29</v>
          </cell>
          <cell r="B464" t="str">
            <v>66357</v>
          </cell>
          <cell r="C464" t="str">
            <v>Nevada</v>
          </cell>
          <cell r="D464" t="str">
            <v>Nevada Joint Union High</v>
          </cell>
          <cell r="E464">
            <v>3853</v>
          </cell>
          <cell r="F464">
            <v>76940</v>
          </cell>
          <cell r="G464">
            <v>8</v>
          </cell>
        </row>
        <row r="465">
          <cell r="A465" t="str">
            <v>29</v>
          </cell>
          <cell r="B465" t="str">
            <v>66373</v>
          </cell>
          <cell r="C465" t="str">
            <v>Nevada</v>
          </cell>
          <cell r="D465" t="str">
            <v>Pleasant Ridge Union Elementary</v>
          </cell>
          <cell r="E465">
            <v>1676</v>
          </cell>
          <cell r="F465">
            <v>30652</v>
          </cell>
          <cell r="G465">
            <v>5</v>
          </cell>
        </row>
        <row r="466">
          <cell r="A466" t="str">
            <v>29</v>
          </cell>
          <cell r="B466" t="str">
            <v>66381</v>
          </cell>
          <cell r="C466" t="str">
            <v>Nevada</v>
          </cell>
          <cell r="D466" t="str">
            <v>Pleasant Valley Elementary</v>
          </cell>
          <cell r="E466">
            <v>552</v>
          </cell>
          <cell r="F466">
            <v>11561</v>
          </cell>
          <cell r="G466">
            <v>3</v>
          </cell>
        </row>
        <row r="467">
          <cell r="A467" t="str">
            <v>29</v>
          </cell>
          <cell r="B467" t="str">
            <v>66399</v>
          </cell>
          <cell r="C467" t="str">
            <v>Nevada</v>
          </cell>
          <cell r="D467" t="str">
            <v>Ready Springs Union Elementary</v>
          </cell>
          <cell r="E467">
            <v>299</v>
          </cell>
          <cell r="F467">
            <v>7525</v>
          </cell>
          <cell r="G467">
            <v>2</v>
          </cell>
        </row>
        <row r="468">
          <cell r="A468" t="str">
            <v>29</v>
          </cell>
          <cell r="B468" t="str">
            <v>66407</v>
          </cell>
          <cell r="C468" t="str">
            <v>Nevada</v>
          </cell>
          <cell r="D468" t="str">
            <v>Union Hill Elementary</v>
          </cell>
          <cell r="E468">
            <v>773</v>
          </cell>
          <cell r="F468">
            <v>17845</v>
          </cell>
          <cell r="G468">
            <v>3</v>
          </cell>
        </row>
        <row r="469">
          <cell r="A469" t="str">
            <v>29</v>
          </cell>
          <cell r="B469" t="str">
            <v>66415</v>
          </cell>
          <cell r="C469" t="str">
            <v>Nevada</v>
          </cell>
          <cell r="D469" t="str">
            <v>Twin Ridges Elementary</v>
          </cell>
          <cell r="E469">
            <v>97</v>
          </cell>
          <cell r="F469">
            <v>8020</v>
          </cell>
          <cell r="G469">
            <v>3</v>
          </cell>
        </row>
        <row r="470">
          <cell r="A470" t="str">
            <v>30</v>
          </cell>
          <cell r="B470" t="str">
            <v>10306</v>
          </cell>
          <cell r="C470" t="str">
            <v>Orange</v>
          </cell>
          <cell r="D470" t="str">
            <v>Orange County Department of Education</v>
          </cell>
          <cell r="E470">
            <v>8204</v>
          </cell>
          <cell r="F470">
            <v>139473</v>
          </cell>
          <cell r="G470">
            <v>4</v>
          </cell>
        </row>
        <row r="471">
          <cell r="A471" t="str">
            <v>30</v>
          </cell>
          <cell r="B471" t="str">
            <v>66423</v>
          </cell>
          <cell r="C471" t="str">
            <v>Orange</v>
          </cell>
          <cell r="D471" t="str">
            <v>Anaheim City</v>
          </cell>
          <cell r="E471">
            <v>19263</v>
          </cell>
          <cell r="F471">
            <v>327484</v>
          </cell>
          <cell r="G471">
            <v>24</v>
          </cell>
        </row>
        <row r="472">
          <cell r="A472" t="str">
            <v>30</v>
          </cell>
          <cell r="B472" t="str">
            <v>66431</v>
          </cell>
          <cell r="C472" t="str">
            <v>Orange</v>
          </cell>
          <cell r="D472" t="str">
            <v>Anaheim Union High</v>
          </cell>
          <cell r="E472">
            <v>32926</v>
          </cell>
          <cell r="F472">
            <v>564532</v>
          </cell>
          <cell r="G472">
            <v>22</v>
          </cell>
        </row>
        <row r="473">
          <cell r="A473" t="str">
            <v>30</v>
          </cell>
          <cell r="B473" t="str">
            <v>66449</v>
          </cell>
          <cell r="C473" t="str">
            <v>Orange</v>
          </cell>
          <cell r="D473" t="str">
            <v>Brea-Olinda Unified</v>
          </cell>
          <cell r="E473">
            <v>5936</v>
          </cell>
          <cell r="F473">
            <v>103152</v>
          </cell>
          <cell r="G473">
            <v>9</v>
          </cell>
        </row>
        <row r="474">
          <cell r="A474" t="str">
            <v>30</v>
          </cell>
          <cell r="B474" t="str">
            <v>66456</v>
          </cell>
          <cell r="C474" t="str">
            <v>Orange</v>
          </cell>
          <cell r="D474" t="str">
            <v>Buena Park Elementary</v>
          </cell>
          <cell r="E474">
            <v>5564</v>
          </cell>
          <cell r="F474">
            <v>94590</v>
          </cell>
          <cell r="G474">
            <v>7</v>
          </cell>
        </row>
        <row r="475">
          <cell r="A475" t="str">
            <v>30</v>
          </cell>
          <cell r="B475" t="str">
            <v>66464</v>
          </cell>
          <cell r="C475" t="str">
            <v>Orange</v>
          </cell>
          <cell r="D475" t="str">
            <v>Capistrano Unified</v>
          </cell>
          <cell r="E475">
            <v>51683</v>
          </cell>
          <cell r="F475">
            <v>886442</v>
          </cell>
          <cell r="G475">
            <v>58</v>
          </cell>
        </row>
        <row r="476">
          <cell r="A476" t="str">
            <v>30</v>
          </cell>
          <cell r="B476" t="str">
            <v>66472</v>
          </cell>
          <cell r="C476" t="str">
            <v>Orange</v>
          </cell>
          <cell r="D476" t="str">
            <v>Centralia Elementary</v>
          </cell>
          <cell r="E476">
            <v>4745</v>
          </cell>
          <cell r="F476">
            <v>80665</v>
          </cell>
          <cell r="G476">
            <v>9</v>
          </cell>
        </row>
        <row r="477">
          <cell r="A477" t="str">
            <v>30</v>
          </cell>
          <cell r="B477" t="str">
            <v>66480</v>
          </cell>
          <cell r="C477" t="str">
            <v>Orange</v>
          </cell>
          <cell r="D477" t="str">
            <v>Cypress Elementary</v>
          </cell>
          <cell r="E477">
            <v>4077</v>
          </cell>
          <cell r="F477">
            <v>69309</v>
          </cell>
          <cell r="G477">
            <v>9</v>
          </cell>
        </row>
        <row r="478">
          <cell r="A478" t="str">
            <v>30</v>
          </cell>
          <cell r="B478" t="str">
            <v>66498</v>
          </cell>
          <cell r="C478" t="str">
            <v>Orange</v>
          </cell>
          <cell r="D478" t="str">
            <v>Fountain Valley Elementary</v>
          </cell>
          <cell r="E478">
            <v>6142</v>
          </cell>
          <cell r="F478">
            <v>104416</v>
          </cell>
          <cell r="G478">
            <v>11</v>
          </cell>
        </row>
        <row r="479">
          <cell r="A479" t="str">
            <v>30</v>
          </cell>
          <cell r="B479" t="str">
            <v>66506</v>
          </cell>
          <cell r="C479" t="str">
            <v>Orange</v>
          </cell>
          <cell r="D479" t="str">
            <v>Fullerton Elementary</v>
          </cell>
          <cell r="E479">
            <v>13445</v>
          </cell>
          <cell r="F479">
            <v>228572</v>
          </cell>
          <cell r="G479">
            <v>20</v>
          </cell>
        </row>
        <row r="480">
          <cell r="A480" t="str">
            <v>30</v>
          </cell>
          <cell r="B480" t="str">
            <v>66514</v>
          </cell>
          <cell r="C480" t="str">
            <v>Orange</v>
          </cell>
          <cell r="D480" t="str">
            <v>Fullerton Joint Union High</v>
          </cell>
          <cell r="E480">
            <v>16304</v>
          </cell>
          <cell r="F480">
            <v>277177</v>
          </cell>
          <cell r="G480">
            <v>8</v>
          </cell>
        </row>
        <row r="481">
          <cell r="A481" t="str">
            <v>30</v>
          </cell>
          <cell r="B481" t="str">
            <v>66522</v>
          </cell>
          <cell r="C481" t="str">
            <v>Orange</v>
          </cell>
          <cell r="D481" t="str">
            <v>Garden Grove Unified</v>
          </cell>
          <cell r="E481">
            <v>48420</v>
          </cell>
          <cell r="F481">
            <v>830820</v>
          </cell>
          <cell r="G481">
            <v>67</v>
          </cell>
        </row>
        <row r="482">
          <cell r="A482" t="str">
            <v>30</v>
          </cell>
          <cell r="B482" t="str">
            <v>66530</v>
          </cell>
          <cell r="C482" t="str">
            <v>Orange</v>
          </cell>
          <cell r="D482" t="str">
            <v>Huntington Beach City Elementary</v>
          </cell>
          <cell r="E482">
            <v>6674</v>
          </cell>
          <cell r="F482">
            <v>113461</v>
          </cell>
          <cell r="G482">
            <v>9</v>
          </cell>
        </row>
        <row r="483">
          <cell r="A483" t="str">
            <v>30</v>
          </cell>
          <cell r="B483" t="str">
            <v>66548</v>
          </cell>
          <cell r="C483" t="str">
            <v>Orange</v>
          </cell>
          <cell r="D483" t="str">
            <v>Huntington Beach Union High</v>
          </cell>
          <cell r="E483">
            <v>16097</v>
          </cell>
          <cell r="F483">
            <v>276476</v>
          </cell>
          <cell r="G483">
            <v>9</v>
          </cell>
        </row>
        <row r="484">
          <cell r="A484" t="str">
            <v>30</v>
          </cell>
          <cell r="B484" t="str">
            <v>66555</v>
          </cell>
          <cell r="C484" t="str">
            <v>Orange</v>
          </cell>
          <cell r="D484" t="str">
            <v>Laguna Beach Unified</v>
          </cell>
          <cell r="E484">
            <v>2941</v>
          </cell>
          <cell r="F484">
            <v>49998</v>
          </cell>
          <cell r="G484">
            <v>4</v>
          </cell>
        </row>
        <row r="485">
          <cell r="A485" t="str">
            <v>30</v>
          </cell>
          <cell r="B485" t="str">
            <v>66563</v>
          </cell>
          <cell r="C485" t="str">
            <v>Orange</v>
          </cell>
          <cell r="D485" t="str">
            <v>La Habra City Elementary</v>
          </cell>
          <cell r="E485">
            <v>5625</v>
          </cell>
          <cell r="F485">
            <v>95627</v>
          </cell>
          <cell r="G485">
            <v>9</v>
          </cell>
        </row>
        <row r="486">
          <cell r="A486" t="str">
            <v>30</v>
          </cell>
          <cell r="B486" t="str">
            <v>66589</v>
          </cell>
          <cell r="C486" t="str">
            <v>Orange</v>
          </cell>
          <cell r="D486" t="str">
            <v>Magnolia Elementary</v>
          </cell>
          <cell r="E486">
            <v>6313</v>
          </cell>
          <cell r="F486">
            <v>107324</v>
          </cell>
          <cell r="G486">
            <v>9</v>
          </cell>
        </row>
        <row r="487">
          <cell r="A487" t="str">
            <v>30</v>
          </cell>
          <cell r="B487" t="str">
            <v>66597</v>
          </cell>
          <cell r="C487" t="str">
            <v>Orange</v>
          </cell>
          <cell r="D487" t="str">
            <v>Newport-Mesa Unified</v>
          </cell>
          <cell r="E487">
            <v>21488</v>
          </cell>
          <cell r="F487">
            <v>370180</v>
          </cell>
          <cell r="G487">
            <v>32</v>
          </cell>
        </row>
        <row r="488">
          <cell r="A488" t="str">
            <v>30</v>
          </cell>
          <cell r="B488" t="str">
            <v>66613</v>
          </cell>
          <cell r="C488" t="str">
            <v>Orange</v>
          </cell>
          <cell r="D488" t="str">
            <v>Ocean View</v>
          </cell>
          <cell r="E488">
            <v>9503</v>
          </cell>
          <cell r="F488">
            <v>161556</v>
          </cell>
          <cell r="G488">
            <v>15</v>
          </cell>
        </row>
        <row r="489">
          <cell r="A489" t="str">
            <v>30</v>
          </cell>
          <cell r="B489" t="str">
            <v>66621</v>
          </cell>
          <cell r="C489" t="str">
            <v>Orange</v>
          </cell>
          <cell r="D489" t="str">
            <v>Orange Unified</v>
          </cell>
          <cell r="E489">
            <v>29103</v>
          </cell>
          <cell r="F489">
            <v>504490</v>
          </cell>
          <cell r="G489">
            <v>43</v>
          </cell>
        </row>
        <row r="490">
          <cell r="A490" t="str">
            <v>30</v>
          </cell>
          <cell r="B490" t="str">
            <v>66647</v>
          </cell>
          <cell r="C490" t="str">
            <v>Orange</v>
          </cell>
          <cell r="D490" t="str">
            <v>Placentia-Yorba Linda Unified</v>
          </cell>
          <cell r="E490">
            <v>26100</v>
          </cell>
          <cell r="F490">
            <v>448308</v>
          </cell>
          <cell r="G490">
            <v>33</v>
          </cell>
        </row>
        <row r="491">
          <cell r="A491" t="str">
            <v>30</v>
          </cell>
          <cell r="B491" t="str">
            <v>66670</v>
          </cell>
          <cell r="C491" t="str">
            <v>Orange</v>
          </cell>
          <cell r="D491" t="str">
            <v>Santa Ana Unified</v>
          </cell>
          <cell r="E491">
            <v>54584</v>
          </cell>
          <cell r="F491">
            <v>929591</v>
          </cell>
          <cell r="G491">
            <v>55</v>
          </cell>
        </row>
        <row r="492">
          <cell r="A492" t="str">
            <v>30</v>
          </cell>
          <cell r="B492" t="str">
            <v>66696</v>
          </cell>
          <cell r="C492" t="str">
            <v>Orange</v>
          </cell>
          <cell r="D492" t="str">
            <v>Savanna Elementary</v>
          </cell>
          <cell r="E492">
            <v>2468</v>
          </cell>
          <cell r="F492">
            <v>41956</v>
          </cell>
          <cell r="G492">
            <v>4</v>
          </cell>
        </row>
        <row r="493">
          <cell r="A493" t="str">
            <v>30</v>
          </cell>
          <cell r="B493" t="str">
            <v>66746</v>
          </cell>
          <cell r="C493" t="str">
            <v>Orange</v>
          </cell>
          <cell r="D493" t="str">
            <v>Westminster Elementary</v>
          </cell>
          <cell r="E493">
            <v>9875</v>
          </cell>
          <cell r="F493">
            <v>167879</v>
          </cell>
          <cell r="G493">
            <v>15</v>
          </cell>
        </row>
        <row r="494">
          <cell r="A494" t="str">
            <v>30</v>
          </cell>
          <cell r="B494" t="str">
            <v>73635</v>
          </cell>
          <cell r="C494" t="str">
            <v>Orange</v>
          </cell>
          <cell r="D494" t="str">
            <v>Saddleback Valley Unified</v>
          </cell>
          <cell r="E494">
            <v>32903</v>
          </cell>
          <cell r="F494">
            <v>565873</v>
          </cell>
          <cell r="G494">
            <v>37</v>
          </cell>
        </row>
        <row r="495">
          <cell r="A495" t="str">
            <v>30</v>
          </cell>
          <cell r="B495" t="str">
            <v>73643</v>
          </cell>
          <cell r="C495" t="str">
            <v>Orange</v>
          </cell>
          <cell r="D495" t="str">
            <v>Tustin Unified</v>
          </cell>
          <cell r="E495">
            <v>21668</v>
          </cell>
          <cell r="F495">
            <v>370961</v>
          </cell>
          <cell r="G495">
            <v>28</v>
          </cell>
        </row>
        <row r="496">
          <cell r="A496" t="str">
            <v>30</v>
          </cell>
          <cell r="B496" t="str">
            <v>73650</v>
          </cell>
          <cell r="C496" t="str">
            <v>Orange</v>
          </cell>
          <cell r="D496" t="str">
            <v>Irvine Unified</v>
          </cell>
          <cell r="E496">
            <v>26534</v>
          </cell>
          <cell r="F496">
            <v>457280</v>
          </cell>
          <cell r="G496">
            <v>35</v>
          </cell>
        </row>
        <row r="497">
          <cell r="A497" t="str">
            <v>30</v>
          </cell>
          <cell r="B497" t="str">
            <v>73924</v>
          </cell>
          <cell r="C497" t="str">
            <v>Orange</v>
          </cell>
          <cell r="D497" t="str">
            <v>Los Alamitos Unified</v>
          </cell>
          <cell r="E497">
            <v>9461</v>
          </cell>
          <cell r="F497">
            <v>162416</v>
          </cell>
          <cell r="G497">
            <v>10</v>
          </cell>
        </row>
        <row r="498">
          <cell r="A498" t="str">
            <v>31</v>
          </cell>
          <cell r="B498" t="str">
            <v>10314</v>
          </cell>
          <cell r="C498" t="str">
            <v>Placer</v>
          </cell>
          <cell r="D498" t="str">
            <v>Placer County Office of Education</v>
          </cell>
          <cell r="E498">
            <v>644</v>
          </cell>
          <cell r="F498">
            <v>19016</v>
          </cell>
          <cell r="G498">
            <v>5</v>
          </cell>
        </row>
        <row r="499">
          <cell r="A499" t="str">
            <v>31</v>
          </cell>
          <cell r="B499" t="str">
            <v>66761</v>
          </cell>
          <cell r="C499" t="str">
            <v>Placer</v>
          </cell>
          <cell r="D499" t="str">
            <v>Ackerman Elementary</v>
          </cell>
          <cell r="E499">
            <v>508</v>
          </cell>
          <cell r="F499">
            <v>8636</v>
          </cell>
          <cell r="G499">
            <v>1</v>
          </cell>
        </row>
        <row r="500">
          <cell r="A500" t="str">
            <v>31</v>
          </cell>
          <cell r="B500" t="str">
            <v>66779</v>
          </cell>
          <cell r="C500" t="str">
            <v>Placer</v>
          </cell>
          <cell r="D500" t="str">
            <v>Alta-Dutch Flat Union Elementary</v>
          </cell>
          <cell r="E500">
            <v>118</v>
          </cell>
          <cell r="F500">
            <v>5792</v>
          </cell>
          <cell r="G500">
            <v>2</v>
          </cell>
        </row>
        <row r="501">
          <cell r="A501" t="str">
            <v>31</v>
          </cell>
          <cell r="B501" t="str">
            <v>66787</v>
          </cell>
          <cell r="C501" t="str">
            <v>Placer</v>
          </cell>
          <cell r="D501" t="str">
            <v>Auburn Union Elementary</v>
          </cell>
          <cell r="E501">
            <v>2134</v>
          </cell>
          <cell r="F501">
            <v>36278</v>
          </cell>
          <cell r="G501">
            <v>4</v>
          </cell>
        </row>
        <row r="502">
          <cell r="A502" t="str">
            <v>31</v>
          </cell>
          <cell r="B502" t="str">
            <v>66795</v>
          </cell>
          <cell r="C502" t="str">
            <v>Placer</v>
          </cell>
          <cell r="D502" t="str">
            <v>Colfax Elementary</v>
          </cell>
          <cell r="E502">
            <v>388</v>
          </cell>
          <cell r="F502">
            <v>8790</v>
          </cell>
          <cell r="G502">
            <v>2</v>
          </cell>
        </row>
        <row r="503">
          <cell r="A503" t="str">
            <v>31</v>
          </cell>
          <cell r="B503" t="str">
            <v>66803</v>
          </cell>
          <cell r="C503" t="str">
            <v>Placer</v>
          </cell>
          <cell r="D503" t="str">
            <v>Dry Creek Joint Elementary</v>
          </cell>
          <cell r="E503">
            <v>7276</v>
          </cell>
          <cell r="F503">
            <v>123696</v>
          </cell>
          <cell r="G503">
            <v>10</v>
          </cell>
        </row>
        <row r="504">
          <cell r="A504" t="str">
            <v>31</v>
          </cell>
          <cell r="B504" t="str">
            <v>66829</v>
          </cell>
          <cell r="C504" t="str">
            <v>Placer</v>
          </cell>
          <cell r="D504" t="str">
            <v>Eureka Union</v>
          </cell>
          <cell r="E504">
            <v>3700</v>
          </cell>
          <cell r="F504">
            <v>62900</v>
          </cell>
          <cell r="G504">
            <v>8</v>
          </cell>
        </row>
        <row r="505">
          <cell r="A505" t="str">
            <v>31</v>
          </cell>
          <cell r="B505" t="str">
            <v>66837</v>
          </cell>
          <cell r="C505" t="str">
            <v>Placer</v>
          </cell>
          <cell r="D505" t="str">
            <v>Foresthill Union Elementary</v>
          </cell>
          <cell r="E505">
            <v>522</v>
          </cell>
          <cell r="F505">
            <v>8874</v>
          </cell>
          <cell r="G505">
            <v>2</v>
          </cell>
        </row>
        <row r="506">
          <cell r="A506" t="str">
            <v>31</v>
          </cell>
          <cell r="B506" t="str">
            <v>66845</v>
          </cell>
          <cell r="C506" t="str">
            <v>Placer</v>
          </cell>
          <cell r="D506" t="str">
            <v>Loomis Union Elementary</v>
          </cell>
          <cell r="E506">
            <v>2432</v>
          </cell>
          <cell r="F506">
            <v>42199</v>
          </cell>
          <cell r="G506">
            <v>7</v>
          </cell>
        </row>
        <row r="507">
          <cell r="A507" t="str">
            <v>31</v>
          </cell>
          <cell r="B507" t="str">
            <v>66852</v>
          </cell>
          <cell r="C507" t="str">
            <v>Placer</v>
          </cell>
          <cell r="D507" t="str">
            <v>Newcastle Elementary</v>
          </cell>
          <cell r="E507">
            <v>361</v>
          </cell>
          <cell r="F507">
            <v>7128</v>
          </cell>
          <cell r="G507">
            <v>2</v>
          </cell>
        </row>
        <row r="508">
          <cell r="A508" t="str">
            <v>31</v>
          </cell>
          <cell r="B508" t="str">
            <v>66886</v>
          </cell>
          <cell r="C508" t="str">
            <v>Placer</v>
          </cell>
          <cell r="D508" t="str">
            <v>Placer Hills Union Elementary</v>
          </cell>
          <cell r="E508">
            <v>1133</v>
          </cell>
          <cell r="F508">
            <v>19261</v>
          </cell>
          <cell r="G508">
            <v>2</v>
          </cell>
        </row>
        <row r="509">
          <cell r="A509" t="str">
            <v>31</v>
          </cell>
          <cell r="B509" t="str">
            <v>66894</v>
          </cell>
          <cell r="C509" t="str">
            <v>Placer</v>
          </cell>
          <cell r="D509" t="str">
            <v>Placer Union High</v>
          </cell>
          <cell r="E509">
            <v>4527</v>
          </cell>
          <cell r="F509">
            <v>78514</v>
          </cell>
          <cell r="G509">
            <v>6</v>
          </cell>
        </row>
        <row r="510">
          <cell r="A510" t="str">
            <v>31</v>
          </cell>
          <cell r="B510" t="str">
            <v>66910</v>
          </cell>
          <cell r="C510" t="str">
            <v>Placer</v>
          </cell>
          <cell r="D510" t="str">
            <v>Roseville City Elementary</v>
          </cell>
          <cell r="E510">
            <v>9265</v>
          </cell>
          <cell r="F510">
            <v>157507</v>
          </cell>
          <cell r="G510">
            <v>17</v>
          </cell>
        </row>
        <row r="511">
          <cell r="A511" t="str">
            <v>31</v>
          </cell>
          <cell r="B511" t="str">
            <v>66928</v>
          </cell>
          <cell r="C511" t="str">
            <v>Placer</v>
          </cell>
          <cell r="D511" t="str">
            <v>Roseville Joint Union High</v>
          </cell>
          <cell r="E511">
            <v>9472</v>
          </cell>
          <cell r="F511">
            <v>161244</v>
          </cell>
          <cell r="G511">
            <v>7</v>
          </cell>
        </row>
        <row r="512">
          <cell r="A512" t="str">
            <v>31</v>
          </cell>
          <cell r="B512" t="str">
            <v>66944</v>
          </cell>
          <cell r="C512" t="str">
            <v>Placer</v>
          </cell>
          <cell r="D512" t="str">
            <v>Tahoe-Truckee Joint Unified</v>
          </cell>
          <cell r="E512">
            <v>4114</v>
          </cell>
          <cell r="F512">
            <v>77945</v>
          </cell>
          <cell r="G512">
            <v>11</v>
          </cell>
        </row>
        <row r="513">
          <cell r="A513" t="str">
            <v>31</v>
          </cell>
          <cell r="B513" t="str">
            <v>66951</v>
          </cell>
          <cell r="C513" t="str">
            <v>Placer</v>
          </cell>
          <cell r="D513" t="str">
            <v>Western Placer Unified</v>
          </cell>
          <cell r="E513">
            <v>6383</v>
          </cell>
          <cell r="F513">
            <v>112802</v>
          </cell>
          <cell r="G513">
            <v>11</v>
          </cell>
        </row>
        <row r="514">
          <cell r="A514" t="str">
            <v>31</v>
          </cell>
          <cell r="B514" t="str">
            <v>75085</v>
          </cell>
          <cell r="C514" t="str">
            <v>Placer</v>
          </cell>
          <cell r="D514" t="str">
            <v>Rocklin Unified</v>
          </cell>
          <cell r="E514">
            <v>10356</v>
          </cell>
          <cell r="F514">
            <v>179903</v>
          </cell>
          <cell r="G514">
            <v>16</v>
          </cell>
        </row>
        <row r="515">
          <cell r="A515" t="str">
            <v>32</v>
          </cell>
          <cell r="B515" t="str">
            <v>10322</v>
          </cell>
          <cell r="C515" t="str">
            <v>Plumas</v>
          </cell>
          <cell r="D515" t="str">
            <v>Plumas County Office of Education</v>
          </cell>
          <cell r="E515">
            <v>31</v>
          </cell>
          <cell r="F515">
            <v>6684</v>
          </cell>
          <cell r="G515">
            <v>3</v>
          </cell>
        </row>
        <row r="516">
          <cell r="A516" t="str">
            <v>32</v>
          </cell>
          <cell r="B516" t="str">
            <v>66969</v>
          </cell>
          <cell r="C516" t="str">
            <v>Plumas</v>
          </cell>
          <cell r="D516" t="str">
            <v>Plumas Unified</v>
          </cell>
          <cell r="E516">
            <v>2326</v>
          </cell>
          <cell r="F516">
            <v>49029</v>
          </cell>
          <cell r="G516">
            <v>11</v>
          </cell>
        </row>
        <row r="517">
          <cell r="A517" t="str">
            <v>33</v>
          </cell>
          <cell r="B517" t="str">
            <v>10330</v>
          </cell>
          <cell r="C517" t="str">
            <v>Riverside</v>
          </cell>
          <cell r="D517" t="str">
            <v>Riverside County Office of Education</v>
          </cell>
          <cell r="E517">
            <v>2961</v>
          </cell>
          <cell r="F517">
            <v>50339</v>
          </cell>
          <cell r="G517">
            <v>4</v>
          </cell>
        </row>
        <row r="518">
          <cell r="A518" t="str">
            <v>33</v>
          </cell>
          <cell r="B518" t="str">
            <v>31625</v>
          </cell>
          <cell r="C518" t="str">
            <v>Riverside</v>
          </cell>
          <cell r="D518" t="str">
            <v>California School for the Deaf-Riverside (State Special Schl)</v>
          </cell>
          <cell r="E518">
            <v>413</v>
          </cell>
          <cell r="F518">
            <v>7021</v>
          </cell>
          <cell r="G518">
            <v>1</v>
          </cell>
        </row>
        <row r="519">
          <cell r="A519" t="str">
            <v>33</v>
          </cell>
          <cell r="B519" t="str">
            <v>66977</v>
          </cell>
          <cell r="C519" t="str">
            <v>Riverside</v>
          </cell>
          <cell r="D519" t="str">
            <v>Alvord Unified</v>
          </cell>
          <cell r="E519">
            <v>20010</v>
          </cell>
          <cell r="F519">
            <v>342412</v>
          </cell>
          <cell r="G519">
            <v>22</v>
          </cell>
        </row>
        <row r="520">
          <cell r="A520" t="str">
            <v>33</v>
          </cell>
          <cell r="B520" t="str">
            <v>66985</v>
          </cell>
          <cell r="C520" t="str">
            <v>Riverside</v>
          </cell>
          <cell r="D520" t="str">
            <v>Banning Unified</v>
          </cell>
          <cell r="E520">
            <v>4804</v>
          </cell>
          <cell r="F520">
            <v>85465</v>
          </cell>
          <cell r="G520">
            <v>9</v>
          </cell>
        </row>
        <row r="521">
          <cell r="A521" t="str">
            <v>33</v>
          </cell>
          <cell r="B521" t="str">
            <v>66993</v>
          </cell>
          <cell r="C521" t="str">
            <v>Riverside</v>
          </cell>
          <cell r="D521" t="str">
            <v>Beaumont Unified</v>
          </cell>
          <cell r="E521">
            <v>8047</v>
          </cell>
          <cell r="F521">
            <v>138700</v>
          </cell>
          <cell r="G521">
            <v>10</v>
          </cell>
        </row>
        <row r="522">
          <cell r="A522" t="str">
            <v>33</v>
          </cell>
          <cell r="B522" t="str">
            <v>67033</v>
          </cell>
          <cell r="C522" t="str">
            <v>Riverside</v>
          </cell>
          <cell r="D522" t="str">
            <v>Corona-Norco Unified</v>
          </cell>
          <cell r="E522">
            <v>52095</v>
          </cell>
          <cell r="F522">
            <v>896698</v>
          </cell>
          <cell r="G522">
            <v>50</v>
          </cell>
        </row>
        <row r="523">
          <cell r="A523" t="str">
            <v>33</v>
          </cell>
          <cell r="B523" t="str">
            <v>67041</v>
          </cell>
          <cell r="C523" t="str">
            <v>Riverside</v>
          </cell>
          <cell r="D523" t="str">
            <v>Desert Center Unified</v>
          </cell>
          <cell r="E523">
            <v>14</v>
          </cell>
          <cell r="F523">
            <v>2228</v>
          </cell>
          <cell r="G523">
            <v>1</v>
          </cell>
        </row>
        <row r="524">
          <cell r="A524" t="str">
            <v>33</v>
          </cell>
          <cell r="B524" t="str">
            <v>67058</v>
          </cell>
          <cell r="C524" t="str">
            <v>Riverside</v>
          </cell>
          <cell r="D524" t="str">
            <v>Desert Sands Unified</v>
          </cell>
          <cell r="E524">
            <v>28966</v>
          </cell>
          <cell r="F524">
            <v>492435</v>
          </cell>
          <cell r="G524">
            <v>33</v>
          </cell>
        </row>
        <row r="525">
          <cell r="A525" t="str">
            <v>33</v>
          </cell>
          <cell r="B525" t="str">
            <v>67082</v>
          </cell>
          <cell r="C525" t="str">
            <v>Riverside</v>
          </cell>
          <cell r="D525" t="str">
            <v>Hemet Unified</v>
          </cell>
          <cell r="E525">
            <v>22907</v>
          </cell>
          <cell r="F525">
            <v>392900</v>
          </cell>
          <cell r="G525">
            <v>28</v>
          </cell>
        </row>
        <row r="526">
          <cell r="A526" t="str">
            <v>33</v>
          </cell>
          <cell r="B526" t="str">
            <v>67090</v>
          </cell>
          <cell r="C526" t="str">
            <v>Riverside</v>
          </cell>
          <cell r="D526" t="str">
            <v>Jurupa Unified</v>
          </cell>
          <cell r="E526">
            <v>20430</v>
          </cell>
          <cell r="F526">
            <v>353002</v>
          </cell>
          <cell r="G526">
            <v>25</v>
          </cell>
        </row>
        <row r="527">
          <cell r="A527" t="str">
            <v>33</v>
          </cell>
          <cell r="B527" t="str">
            <v>67116</v>
          </cell>
          <cell r="C527" t="str">
            <v>Riverside</v>
          </cell>
          <cell r="D527" t="str">
            <v>Menifee Union Elementary</v>
          </cell>
          <cell r="E527">
            <v>8698</v>
          </cell>
          <cell r="F527">
            <v>147871</v>
          </cell>
          <cell r="G527">
            <v>10</v>
          </cell>
        </row>
        <row r="528">
          <cell r="A528" t="str">
            <v>33</v>
          </cell>
          <cell r="B528" t="str">
            <v>67124</v>
          </cell>
          <cell r="C528" t="str">
            <v>Riverside</v>
          </cell>
          <cell r="D528" t="str">
            <v>Moreno Valley Unified</v>
          </cell>
          <cell r="E528">
            <v>35992</v>
          </cell>
          <cell r="F528">
            <v>618117</v>
          </cell>
          <cell r="G528">
            <v>38</v>
          </cell>
        </row>
        <row r="529">
          <cell r="A529" t="str">
            <v>33</v>
          </cell>
          <cell r="B529" t="str">
            <v>67157</v>
          </cell>
          <cell r="C529" t="str">
            <v>Riverside</v>
          </cell>
          <cell r="D529" t="str">
            <v>Nuview Union</v>
          </cell>
          <cell r="E529">
            <v>1916</v>
          </cell>
          <cell r="F529">
            <v>32572</v>
          </cell>
          <cell r="G529">
            <v>4</v>
          </cell>
        </row>
        <row r="530">
          <cell r="A530" t="str">
            <v>33</v>
          </cell>
          <cell r="B530" t="str">
            <v>67173</v>
          </cell>
          <cell r="C530" t="str">
            <v>Riverside</v>
          </cell>
          <cell r="D530" t="str">
            <v>Palm Springs Unified</v>
          </cell>
          <cell r="E530">
            <v>24360</v>
          </cell>
          <cell r="F530">
            <v>417990</v>
          </cell>
          <cell r="G530">
            <v>25</v>
          </cell>
        </row>
        <row r="531">
          <cell r="A531" t="str">
            <v>33</v>
          </cell>
          <cell r="B531" t="str">
            <v>67181</v>
          </cell>
          <cell r="C531" t="str">
            <v>Riverside</v>
          </cell>
          <cell r="D531" t="str">
            <v>Palo Verde Unified</v>
          </cell>
          <cell r="E531">
            <v>3610</v>
          </cell>
          <cell r="F531">
            <v>65583</v>
          </cell>
          <cell r="G531">
            <v>7</v>
          </cell>
        </row>
        <row r="532">
          <cell r="A532" t="str">
            <v>33</v>
          </cell>
          <cell r="B532" t="str">
            <v>67199</v>
          </cell>
          <cell r="C532" t="str">
            <v>Riverside</v>
          </cell>
          <cell r="D532" t="str">
            <v>Perris Elementary</v>
          </cell>
          <cell r="E532">
            <v>5700</v>
          </cell>
          <cell r="F532">
            <v>96904</v>
          </cell>
          <cell r="G532">
            <v>8</v>
          </cell>
        </row>
        <row r="533">
          <cell r="A533" t="str">
            <v>33</v>
          </cell>
          <cell r="B533" t="str">
            <v>67207</v>
          </cell>
          <cell r="C533" t="str">
            <v>Riverside</v>
          </cell>
          <cell r="D533" t="str">
            <v>Perris Union High</v>
          </cell>
          <cell r="E533">
            <v>10088</v>
          </cell>
          <cell r="F533">
            <v>172312</v>
          </cell>
          <cell r="G533">
            <v>8</v>
          </cell>
        </row>
        <row r="534">
          <cell r="A534" t="str">
            <v>33</v>
          </cell>
          <cell r="B534" t="str">
            <v>67215</v>
          </cell>
          <cell r="C534" t="str">
            <v>Riverside</v>
          </cell>
          <cell r="D534" t="str">
            <v>Riverside Unified</v>
          </cell>
          <cell r="E534">
            <v>43007</v>
          </cell>
          <cell r="F534">
            <v>736304</v>
          </cell>
          <cell r="G534">
            <v>47</v>
          </cell>
        </row>
        <row r="535">
          <cell r="A535" t="str">
            <v>33</v>
          </cell>
          <cell r="B535" t="str">
            <v>67231</v>
          </cell>
          <cell r="C535" t="str">
            <v>Riverside</v>
          </cell>
          <cell r="D535" t="str">
            <v>Romoland Elementary</v>
          </cell>
          <cell r="E535">
            <v>2754</v>
          </cell>
          <cell r="F535">
            <v>46820</v>
          </cell>
          <cell r="G535">
            <v>4</v>
          </cell>
        </row>
        <row r="536">
          <cell r="A536" t="str">
            <v>33</v>
          </cell>
          <cell r="B536" t="str">
            <v>67249</v>
          </cell>
          <cell r="C536" t="str">
            <v>Riverside</v>
          </cell>
          <cell r="D536" t="str">
            <v>San Jacinto Unified</v>
          </cell>
          <cell r="E536">
            <v>8816</v>
          </cell>
          <cell r="F536">
            <v>152416</v>
          </cell>
          <cell r="G536">
            <v>11</v>
          </cell>
        </row>
        <row r="537">
          <cell r="A537" t="str">
            <v>33</v>
          </cell>
          <cell r="B537" t="str">
            <v>73676</v>
          </cell>
          <cell r="C537" t="str">
            <v>Riverside</v>
          </cell>
          <cell r="D537" t="str">
            <v>Coachella Valley Unified</v>
          </cell>
          <cell r="E537">
            <v>18256</v>
          </cell>
          <cell r="F537">
            <v>311599</v>
          </cell>
          <cell r="G537">
            <v>21</v>
          </cell>
        </row>
        <row r="538">
          <cell r="A538" t="str">
            <v>33</v>
          </cell>
          <cell r="B538" t="str">
            <v>75176</v>
          </cell>
          <cell r="C538" t="str">
            <v>Riverside</v>
          </cell>
          <cell r="D538" t="str">
            <v>Lake Elsinore Unified</v>
          </cell>
          <cell r="E538">
            <v>21726</v>
          </cell>
          <cell r="F538">
            <v>375467</v>
          </cell>
          <cell r="G538">
            <v>26</v>
          </cell>
        </row>
        <row r="539">
          <cell r="A539" t="str">
            <v>33</v>
          </cell>
          <cell r="B539" t="str">
            <v>75192</v>
          </cell>
          <cell r="C539" t="str">
            <v>Riverside</v>
          </cell>
          <cell r="D539" t="str">
            <v>Temecula Valley Unified</v>
          </cell>
          <cell r="E539">
            <v>28488</v>
          </cell>
          <cell r="F539">
            <v>485016</v>
          </cell>
          <cell r="G539">
            <v>29</v>
          </cell>
        </row>
        <row r="540">
          <cell r="A540" t="str">
            <v>33</v>
          </cell>
          <cell r="B540" t="str">
            <v>75200</v>
          </cell>
          <cell r="C540" t="str">
            <v>Riverside</v>
          </cell>
          <cell r="D540" t="str">
            <v>Murrieta Valley Unified</v>
          </cell>
          <cell r="E540">
            <v>21403</v>
          </cell>
          <cell r="F540">
            <v>366137</v>
          </cell>
          <cell r="G540">
            <v>18</v>
          </cell>
        </row>
        <row r="541">
          <cell r="A541" t="str">
            <v>33</v>
          </cell>
          <cell r="B541" t="str">
            <v>75242</v>
          </cell>
          <cell r="C541" t="str">
            <v>Riverside</v>
          </cell>
          <cell r="D541" t="str">
            <v>Val Verde Unified</v>
          </cell>
          <cell r="E541">
            <v>19188</v>
          </cell>
          <cell r="F541">
            <v>326204</v>
          </cell>
          <cell r="G541">
            <v>22</v>
          </cell>
        </row>
        <row r="542">
          <cell r="A542" t="str">
            <v>34</v>
          </cell>
          <cell r="B542" t="str">
            <v>10348</v>
          </cell>
          <cell r="C542" t="str">
            <v>Sacramento</v>
          </cell>
          <cell r="D542" t="str">
            <v>Sacramento County Office of Education</v>
          </cell>
          <cell r="E542">
            <v>1090</v>
          </cell>
          <cell r="F542">
            <v>36536</v>
          </cell>
          <cell r="G542">
            <v>10</v>
          </cell>
        </row>
        <row r="543">
          <cell r="A543" t="str">
            <v>34</v>
          </cell>
          <cell r="B543" t="str">
            <v>67280</v>
          </cell>
          <cell r="C543" t="str">
            <v>Sacramento</v>
          </cell>
          <cell r="D543" t="str">
            <v>Arcohe Union Elementary</v>
          </cell>
          <cell r="E543">
            <v>478</v>
          </cell>
          <cell r="F543">
            <v>8126</v>
          </cell>
          <cell r="G543">
            <v>1</v>
          </cell>
        </row>
        <row r="544">
          <cell r="A544" t="str">
            <v>34</v>
          </cell>
          <cell r="B544" t="str">
            <v>67314</v>
          </cell>
          <cell r="C544" t="str">
            <v>Sacramento</v>
          </cell>
          <cell r="D544" t="str">
            <v>Elk Grove Unified</v>
          </cell>
          <cell r="E544">
            <v>61579</v>
          </cell>
          <cell r="F544">
            <v>1051595</v>
          </cell>
          <cell r="G544">
            <v>65</v>
          </cell>
        </row>
        <row r="545">
          <cell r="A545" t="str">
            <v>34</v>
          </cell>
          <cell r="B545" t="str">
            <v>67322</v>
          </cell>
          <cell r="C545" t="str">
            <v>Sacramento</v>
          </cell>
          <cell r="D545" t="str">
            <v>Elverta Joint Elementary</v>
          </cell>
          <cell r="E545">
            <v>291</v>
          </cell>
          <cell r="F545">
            <v>7128</v>
          </cell>
          <cell r="G545">
            <v>2</v>
          </cell>
        </row>
        <row r="546">
          <cell r="A546" t="str">
            <v>34</v>
          </cell>
          <cell r="B546" t="str">
            <v>67330</v>
          </cell>
          <cell r="C546" t="str">
            <v>Sacramento</v>
          </cell>
          <cell r="D546" t="str">
            <v>Folsom-Cordova Unified</v>
          </cell>
          <cell r="E546">
            <v>19066</v>
          </cell>
          <cell r="F546">
            <v>332368</v>
          </cell>
          <cell r="G546">
            <v>34</v>
          </cell>
        </row>
        <row r="547">
          <cell r="A547" t="str">
            <v>34</v>
          </cell>
          <cell r="B547" t="str">
            <v>67348</v>
          </cell>
          <cell r="C547" t="str">
            <v>Sacramento</v>
          </cell>
          <cell r="D547" t="str">
            <v>Galt Joint Union Elementary</v>
          </cell>
          <cell r="E547">
            <v>4186</v>
          </cell>
          <cell r="F547">
            <v>71163</v>
          </cell>
          <cell r="G547">
            <v>6</v>
          </cell>
        </row>
        <row r="548">
          <cell r="A548" t="str">
            <v>34</v>
          </cell>
          <cell r="B548" t="str">
            <v>67355</v>
          </cell>
          <cell r="C548" t="str">
            <v>Sacramento</v>
          </cell>
          <cell r="D548" t="str">
            <v>Galt Joint Union High</v>
          </cell>
          <cell r="E548">
            <v>2399</v>
          </cell>
          <cell r="F548">
            <v>40863</v>
          </cell>
          <cell r="G548">
            <v>2</v>
          </cell>
        </row>
        <row r="549">
          <cell r="A549" t="str">
            <v>34</v>
          </cell>
          <cell r="B549" t="str">
            <v>67413</v>
          </cell>
          <cell r="C549" t="str">
            <v>Sacramento</v>
          </cell>
          <cell r="D549" t="str">
            <v>River Delta Joint Unified</v>
          </cell>
          <cell r="E549">
            <v>2098</v>
          </cell>
          <cell r="F549">
            <v>44716</v>
          </cell>
          <cell r="G549">
            <v>11</v>
          </cell>
        </row>
        <row r="550">
          <cell r="A550" t="str">
            <v>34</v>
          </cell>
          <cell r="B550" t="str">
            <v>67421</v>
          </cell>
          <cell r="C550" t="str">
            <v>Sacramento</v>
          </cell>
          <cell r="D550" t="str">
            <v>Robla Elementary</v>
          </cell>
          <cell r="E550">
            <v>1944</v>
          </cell>
          <cell r="F550">
            <v>33048</v>
          </cell>
          <cell r="G550">
            <v>5</v>
          </cell>
        </row>
        <row r="551">
          <cell r="A551" t="str">
            <v>34</v>
          </cell>
          <cell r="B551" t="str">
            <v>67439</v>
          </cell>
          <cell r="C551" t="str">
            <v>Sacramento</v>
          </cell>
          <cell r="D551" t="str">
            <v>Sacramento City Unified</v>
          </cell>
          <cell r="E551">
            <v>45620</v>
          </cell>
          <cell r="F551">
            <v>779239</v>
          </cell>
          <cell r="G551">
            <v>82</v>
          </cell>
        </row>
        <row r="552">
          <cell r="A552" t="str">
            <v>34</v>
          </cell>
          <cell r="B552" t="str">
            <v>67447</v>
          </cell>
          <cell r="C552" t="str">
            <v>Sacramento</v>
          </cell>
          <cell r="D552" t="str">
            <v>San Juan Unified</v>
          </cell>
          <cell r="E552">
            <v>44994</v>
          </cell>
          <cell r="F552">
            <v>781011</v>
          </cell>
          <cell r="G552">
            <v>73</v>
          </cell>
        </row>
        <row r="553">
          <cell r="A553" t="str">
            <v>34</v>
          </cell>
          <cell r="B553" t="str">
            <v>73973</v>
          </cell>
          <cell r="C553" t="str">
            <v>Sacramento</v>
          </cell>
          <cell r="D553" t="str">
            <v>Center Joint Unified</v>
          </cell>
          <cell r="E553">
            <v>5320</v>
          </cell>
          <cell r="F553">
            <v>95201</v>
          </cell>
          <cell r="G553">
            <v>9</v>
          </cell>
        </row>
        <row r="554">
          <cell r="A554" t="str">
            <v>34</v>
          </cell>
          <cell r="B554" t="str">
            <v>75283</v>
          </cell>
          <cell r="C554" t="str">
            <v>Sacramento</v>
          </cell>
          <cell r="D554" t="str">
            <v>Natomas Unified</v>
          </cell>
          <cell r="E554">
            <v>12162</v>
          </cell>
          <cell r="F554">
            <v>207963</v>
          </cell>
          <cell r="G554">
            <v>16</v>
          </cell>
        </row>
        <row r="555">
          <cell r="A555" t="str">
            <v>34</v>
          </cell>
          <cell r="B555" t="str">
            <v>76505</v>
          </cell>
          <cell r="C555" t="str">
            <v>Sacramento</v>
          </cell>
          <cell r="D555" t="str">
            <v>Twin Rivers Unified</v>
          </cell>
          <cell r="E555">
            <v>27345</v>
          </cell>
          <cell r="F555">
            <v>478069</v>
          </cell>
          <cell r="G555">
            <v>52</v>
          </cell>
        </row>
        <row r="556">
          <cell r="A556" t="str">
            <v>35</v>
          </cell>
          <cell r="B556" t="str">
            <v>10355</v>
          </cell>
          <cell r="C556" t="str">
            <v>San Benito</v>
          </cell>
          <cell r="D556" t="str">
            <v>San Benito County Office of Education</v>
          </cell>
          <cell r="E556">
            <v>119</v>
          </cell>
          <cell r="F556">
            <v>7128</v>
          </cell>
          <cell r="G556">
            <v>2</v>
          </cell>
        </row>
        <row r="557">
          <cell r="A557" t="str">
            <v>35</v>
          </cell>
          <cell r="B557" t="str">
            <v>67454</v>
          </cell>
          <cell r="C557" t="str">
            <v>San Benito</v>
          </cell>
          <cell r="D557" t="str">
            <v>Bitterwater-Tully Union Elementary</v>
          </cell>
          <cell r="E557">
            <v>29</v>
          </cell>
          <cell r="F557">
            <v>3564</v>
          </cell>
          <cell r="G557">
            <v>1</v>
          </cell>
        </row>
        <row r="558">
          <cell r="A558" t="str">
            <v>35</v>
          </cell>
          <cell r="B558" t="str">
            <v>67462</v>
          </cell>
          <cell r="C558" t="str">
            <v>San Benito</v>
          </cell>
          <cell r="D558" t="str">
            <v>Cienega Union Elementary</v>
          </cell>
          <cell r="E558">
            <v>27</v>
          </cell>
          <cell r="F558">
            <v>3564</v>
          </cell>
          <cell r="G558">
            <v>1</v>
          </cell>
        </row>
        <row r="559">
          <cell r="A559" t="str">
            <v>35</v>
          </cell>
          <cell r="B559" t="str">
            <v>67470</v>
          </cell>
          <cell r="C559" t="str">
            <v>San Benito</v>
          </cell>
          <cell r="D559" t="str">
            <v>Hollister</v>
          </cell>
          <cell r="E559">
            <v>5740</v>
          </cell>
          <cell r="F559">
            <v>99106</v>
          </cell>
          <cell r="G559">
            <v>9</v>
          </cell>
        </row>
        <row r="560">
          <cell r="A560" t="str">
            <v>35</v>
          </cell>
          <cell r="B560" t="str">
            <v>67488</v>
          </cell>
          <cell r="C560" t="str">
            <v>San Benito</v>
          </cell>
          <cell r="D560" t="str">
            <v>Jefferson Elementary</v>
          </cell>
          <cell r="E560">
            <v>22</v>
          </cell>
          <cell r="F560">
            <v>3564</v>
          </cell>
          <cell r="G560">
            <v>1</v>
          </cell>
        </row>
        <row r="561">
          <cell r="A561" t="str">
            <v>35</v>
          </cell>
          <cell r="B561" t="str">
            <v>67504</v>
          </cell>
          <cell r="C561" t="str">
            <v>San Benito</v>
          </cell>
          <cell r="D561" t="str">
            <v>North County Joint Union Elementary</v>
          </cell>
          <cell r="E561">
            <v>674</v>
          </cell>
          <cell r="F561">
            <v>11458</v>
          </cell>
          <cell r="G561">
            <v>1</v>
          </cell>
        </row>
        <row r="562">
          <cell r="A562" t="str">
            <v>35</v>
          </cell>
          <cell r="B562" t="str">
            <v>67520</v>
          </cell>
          <cell r="C562" t="str">
            <v>San Benito</v>
          </cell>
          <cell r="D562" t="str">
            <v>Panoche Elementary</v>
          </cell>
          <cell r="E562">
            <v>10</v>
          </cell>
          <cell r="F562">
            <v>2228</v>
          </cell>
          <cell r="G562">
            <v>1</v>
          </cell>
        </row>
        <row r="563">
          <cell r="A563" t="str">
            <v>35</v>
          </cell>
          <cell r="B563" t="str">
            <v>67538</v>
          </cell>
          <cell r="C563" t="str">
            <v>San Benito</v>
          </cell>
          <cell r="D563" t="str">
            <v>San Benito High</v>
          </cell>
          <cell r="E563">
            <v>3098</v>
          </cell>
          <cell r="F563">
            <v>53206</v>
          </cell>
          <cell r="G563">
            <v>2</v>
          </cell>
        </row>
        <row r="564">
          <cell r="A564" t="str">
            <v>35</v>
          </cell>
          <cell r="B564" t="str">
            <v>67553</v>
          </cell>
          <cell r="C564" t="str">
            <v>San Benito</v>
          </cell>
          <cell r="D564" t="str">
            <v>Southside Elementary</v>
          </cell>
          <cell r="E564">
            <v>249</v>
          </cell>
          <cell r="F564">
            <v>4233</v>
          </cell>
          <cell r="G564">
            <v>1</v>
          </cell>
        </row>
        <row r="565">
          <cell r="A565" t="str">
            <v>35</v>
          </cell>
          <cell r="B565" t="str">
            <v>67561</v>
          </cell>
          <cell r="C565" t="str">
            <v>San Benito</v>
          </cell>
          <cell r="D565" t="str">
            <v>Tres Pinos Union Elementary</v>
          </cell>
          <cell r="E565">
            <v>136</v>
          </cell>
          <cell r="F565">
            <v>3564</v>
          </cell>
          <cell r="G565">
            <v>1</v>
          </cell>
        </row>
        <row r="566">
          <cell r="A566" t="str">
            <v>35</v>
          </cell>
          <cell r="B566" t="str">
            <v>67579</v>
          </cell>
          <cell r="C566" t="str">
            <v>San Benito</v>
          </cell>
          <cell r="D566" t="str">
            <v>Willow Grove Union Elementary</v>
          </cell>
          <cell r="E566">
            <v>24</v>
          </cell>
          <cell r="F566">
            <v>3564</v>
          </cell>
          <cell r="G566">
            <v>1</v>
          </cell>
        </row>
        <row r="567">
          <cell r="A567" t="str">
            <v>35</v>
          </cell>
          <cell r="B567" t="str">
            <v>75259</v>
          </cell>
          <cell r="C567" t="str">
            <v>San Benito</v>
          </cell>
          <cell r="D567" t="str">
            <v>Aromas/San Juan Unified</v>
          </cell>
          <cell r="E567">
            <v>1255</v>
          </cell>
          <cell r="F567">
            <v>21335</v>
          </cell>
          <cell r="G567">
            <v>3</v>
          </cell>
        </row>
        <row r="568">
          <cell r="A568" t="str">
            <v>36</v>
          </cell>
          <cell r="B568" t="str">
            <v>10363</v>
          </cell>
          <cell r="C568" t="str">
            <v>San Bernardino</v>
          </cell>
          <cell r="D568" t="str">
            <v>San Bernardino County Office of Education</v>
          </cell>
          <cell r="E568">
            <v>3736</v>
          </cell>
          <cell r="F568">
            <v>63524</v>
          </cell>
          <cell r="G568">
            <v>6</v>
          </cell>
        </row>
        <row r="569">
          <cell r="A569" t="str">
            <v>36</v>
          </cell>
          <cell r="B569" t="str">
            <v>67587</v>
          </cell>
          <cell r="C569" t="str">
            <v>San Bernardino</v>
          </cell>
          <cell r="D569" t="str">
            <v>Adelanto Elementary</v>
          </cell>
          <cell r="E569">
            <v>8227</v>
          </cell>
          <cell r="F569">
            <v>139861</v>
          </cell>
          <cell r="G569">
            <v>12</v>
          </cell>
        </row>
        <row r="570">
          <cell r="A570" t="str">
            <v>36</v>
          </cell>
          <cell r="B570" t="str">
            <v>67595</v>
          </cell>
          <cell r="C570" t="str">
            <v>San Bernardino</v>
          </cell>
          <cell r="D570" t="str">
            <v>Alta Loma Elementary</v>
          </cell>
          <cell r="E570">
            <v>6557</v>
          </cell>
          <cell r="F570">
            <v>111472</v>
          </cell>
          <cell r="G570">
            <v>10</v>
          </cell>
        </row>
        <row r="571">
          <cell r="A571" t="str">
            <v>36</v>
          </cell>
          <cell r="B571" t="str">
            <v>67611</v>
          </cell>
          <cell r="C571" t="str">
            <v>San Bernardino</v>
          </cell>
          <cell r="D571" t="str">
            <v>Barstow Unified</v>
          </cell>
          <cell r="E571">
            <v>6777</v>
          </cell>
          <cell r="F571">
            <v>117389</v>
          </cell>
          <cell r="G571">
            <v>13</v>
          </cell>
        </row>
        <row r="572">
          <cell r="A572" t="str">
            <v>36</v>
          </cell>
          <cell r="B572" t="str">
            <v>67637</v>
          </cell>
          <cell r="C572" t="str">
            <v>San Bernardino</v>
          </cell>
          <cell r="D572" t="str">
            <v>Bear Valley Unified</v>
          </cell>
          <cell r="E572">
            <v>3090</v>
          </cell>
          <cell r="F572">
            <v>57245</v>
          </cell>
          <cell r="G572">
            <v>7</v>
          </cell>
        </row>
        <row r="573">
          <cell r="A573" t="str">
            <v>36</v>
          </cell>
          <cell r="B573" t="str">
            <v>67645</v>
          </cell>
          <cell r="C573" t="str">
            <v>San Bernardino</v>
          </cell>
          <cell r="D573" t="str">
            <v>Central Elementary</v>
          </cell>
          <cell r="E573">
            <v>4812</v>
          </cell>
          <cell r="F573">
            <v>81806</v>
          </cell>
          <cell r="G573">
            <v>7</v>
          </cell>
        </row>
        <row r="574">
          <cell r="A574" t="str">
            <v>36</v>
          </cell>
          <cell r="B574" t="str">
            <v>67652</v>
          </cell>
          <cell r="C574" t="str">
            <v>San Bernardino</v>
          </cell>
          <cell r="D574" t="str">
            <v>Chaffey Joint Union High</v>
          </cell>
          <cell r="E574">
            <v>25330</v>
          </cell>
          <cell r="F574">
            <v>433545</v>
          </cell>
          <cell r="G574">
            <v>11</v>
          </cell>
        </row>
        <row r="575">
          <cell r="A575" t="str">
            <v>36</v>
          </cell>
          <cell r="B575" t="str">
            <v>67678</v>
          </cell>
          <cell r="C575" t="str">
            <v>San Bernardino</v>
          </cell>
          <cell r="D575" t="str">
            <v>Chino Valley Unified</v>
          </cell>
          <cell r="E575">
            <v>32430</v>
          </cell>
          <cell r="F575">
            <v>554214</v>
          </cell>
          <cell r="G575">
            <v>36</v>
          </cell>
        </row>
        <row r="576">
          <cell r="A576" t="str">
            <v>36</v>
          </cell>
          <cell r="B576" t="str">
            <v>67686</v>
          </cell>
          <cell r="C576" t="str">
            <v>San Bernardino</v>
          </cell>
          <cell r="D576" t="str">
            <v>Colton Joint Unified</v>
          </cell>
          <cell r="E576">
            <v>24239</v>
          </cell>
          <cell r="F576">
            <v>414136</v>
          </cell>
          <cell r="G576">
            <v>27</v>
          </cell>
        </row>
        <row r="577">
          <cell r="A577" t="str">
            <v>36</v>
          </cell>
          <cell r="B577" t="str">
            <v>67694</v>
          </cell>
          <cell r="C577" t="str">
            <v>San Bernardino</v>
          </cell>
          <cell r="D577" t="str">
            <v>Cucamonga Elementary</v>
          </cell>
          <cell r="E577">
            <v>2785</v>
          </cell>
          <cell r="F577">
            <v>47346</v>
          </cell>
          <cell r="G577">
            <v>4</v>
          </cell>
        </row>
        <row r="578">
          <cell r="A578" t="str">
            <v>36</v>
          </cell>
          <cell r="B578" t="str">
            <v>67702</v>
          </cell>
          <cell r="C578" t="str">
            <v>San Bernardino</v>
          </cell>
          <cell r="D578" t="str">
            <v>Etiwanda Elementary</v>
          </cell>
          <cell r="E578">
            <v>12476</v>
          </cell>
          <cell r="F578">
            <v>214208</v>
          </cell>
          <cell r="G578">
            <v>17</v>
          </cell>
        </row>
        <row r="579">
          <cell r="A579" t="str">
            <v>36</v>
          </cell>
          <cell r="B579" t="str">
            <v>67710</v>
          </cell>
          <cell r="C579" t="str">
            <v>San Bernardino</v>
          </cell>
          <cell r="D579" t="str">
            <v>Fontana Unified</v>
          </cell>
          <cell r="E579">
            <v>41073</v>
          </cell>
          <cell r="F579">
            <v>701694</v>
          </cell>
          <cell r="G579">
            <v>44</v>
          </cell>
        </row>
        <row r="580">
          <cell r="A580" t="str">
            <v>36</v>
          </cell>
          <cell r="B580" t="str">
            <v>67736</v>
          </cell>
          <cell r="C580" t="str">
            <v>San Bernardino</v>
          </cell>
          <cell r="D580" t="str">
            <v>Helendale Elementary</v>
          </cell>
          <cell r="E580">
            <v>639</v>
          </cell>
          <cell r="F580">
            <v>13010</v>
          </cell>
          <cell r="G580">
            <v>3</v>
          </cell>
        </row>
        <row r="581">
          <cell r="A581" t="str">
            <v>36</v>
          </cell>
          <cell r="B581" t="str">
            <v>67777</v>
          </cell>
          <cell r="C581" t="str">
            <v>San Bernardino</v>
          </cell>
          <cell r="D581" t="str">
            <v>Morongo Unified</v>
          </cell>
          <cell r="E581">
            <v>9705</v>
          </cell>
          <cell r="F581">
            <v>168319</v>
          </cell>
          <cell r="G581">
            <v>17</v>
          </cell>
        </row>
        <row r="582">
          <cell r="A582" t="str">
            <v>36</v>
          </cell>
          <cell r="B582" t="str">
            <v>67785</v>
          </cell>
          <cell r="C582" t="str">
            <v>San Bernardino</v>
          </cell>
          <cell r="D582" t="str">
            <v>Mountain View Elementary</v>
          </cell>
          <cell r="E582">
            <v>2931</v>
          </cell>
          <cell r="F582">
            <v>49828</v>
          </cell>
          <cell r="G582">
            <v>4</v>
          </cell>
        </row>
        <row r="583">
          <cell r="A583" t="str">
            <v>36</v>
          </cell>
          <cell r="B583" t="str">
            <v>67793</v>
          </cell>
          <cell r="C583" t="str">
            <v>San Bernardino</v>
          </cell>
          <cell r="D583" t="str">
            <v>Mt. Baldy Joint Elementary</v>
          </cell>
          <cell r="E583">
            <v>105</v>
          </cell>
          <cell r="F583">
            <v>3564</v>
          </cell>
          <cell r="G583">
            <v>1</v>
          </cell>
        </row>
        <row r="584">
          <cell r="A584" t="str">
            <v>36</v>
          </cell>
          <cell r="B584" t="str">
            <v>67801</v>
          </cell>
          <cell r="C584" t="str">
            <v>San Bernardino</v>
          </cell>
          <cell r="D584" t="str">
            <v>Needles Unified</v>
          </cell>
          <cell r="E584">
            <v>1026</v>
          </cell>
          <cell r="F584">
            <v>25415</v>
          </cell>
          <cell r="G584">
            <v>7</v>
          </cell>
        </row>
        <row r="585">
          <cell r="A585" t="str">
            <v>36</v>
          </cell>
          <cell r="B585" t="str">
            <v>67819</v>
          </cell>
          <cell r="C585" t="str">
            <v>San Bernardino</v>
          </cell>
          <cell r="D585" t="str">
            <v>Ontario-Montclair Elementary</v>
          </cell>
          <cell r="E585">
            <v>22919</v>
          </cell>
          <cell r="F585">
            <v>391691</v>
          </cell>
          <cell r="G585">
            <v>33</v>
          </cell>
        </row>
        <row r="586">
          <cell r="A586" t="str">
            <v>36</v>
          </cell>
          <cell r="B586" t="str">
            <v>67827</v>
          </cell>
          <cell r="C586" t="str">
            <v>San Bernardino</v>
          </cell>
          <cell r="D586" t="str">
            <v>Oro Grande Elementary</v>
          </cell>
          <cell r="E586">
            <v>1549</v>
          </cell>
          <cell r="F586">
            <v>27858</v>
          </cell>
          <cell r="G586">
            <v>4</v>
          </cell>
        </row>
        <row r="587">
          <cell r="A587" t="str">
            <v>36</v>
          </cell>
          <cell r="B587" t="str">
            <v>67843</v>
          </cell>
          <cell r="C587" t="str">
            <v>San Bernardino</v>
          </cell>
          <cell r="D587" t="str">
            <v>Redlands Unified</v>
          </cell>
          <cell r="E587">
            <v>21183</v>
          </cell>
          <cell r="F587">
            <v>360120</v>
          </cell>
          <cell r="G587">
            <v>22</v>
          </cell>
        </row>
        <row r="588">
          <cell r="A588" t="str">
            <v>36</v>
          </cell>
          <cell r="B588" t="str">
            <v>67850</v>
          </cell>
          <cell r="C588" t="str">
            <v>San Bernardino</v>
          </cell>
          <cell r="D588" t="str">
            <v>Rialto Unified</v>
          </cell>
          <cell r="E588">
            <v>27490</v>
          </cell>
          <cell r="F588">
            <v>469519</v>
          </cell>
          <cell r="G588">
            <v>29</v>
          </cell>
        </row>
        <row r="589">
          <cell r="A589" t="str">
            <v>36</v>
          </cell>
          <cell r="B589" t="str">
            <v>67868</v>
          </cell>
          <cell r="C589" t="str">
            <v>San Bernardino</v>
          </cell>
          <cell r="D589" t="str">
            <v>Rim of the World Unified</v>
          </cell>
          <cell r="E589">
            <v>4886</v>
          </cell>
          <cell r="F589">
            <v>86894</v>
          </cell>
          <cell r="G589">
            <v>9</v>
          </cell>
        </row>
        <row r="590">
          <cell r="A590" t="str">
            <v>36</v>
          </cell>
          <cell r="B590" t="str">
            <v>67876</v>
          </cell>
          <cell r="C590" t="str">
            <v>San Bernardino</v>
          </cell>
          <cell r="D590" t="str">
            <v>San Bernardino City Unified</v>
          </cell>
          <cell r="E590">
            <v>53309</v>
          </cell>
          <cell r="F590">
            <v>918890</v>
          </cell>
          <cell r="G590">
            <v>68</v>
          </cell>
        </row>
        <row r="591">
          <cell r="A591" t="str">
            <v>36</v>
          </cell>
          <cell r="B591" t="str">
            <v>67892</v>
          </cell>
          <cell r="C591" t="str">
            <v>San Bernardino</v>
          </cell>
          <cell r="D591" t="str">
            <v>Trona Joint Unified</v>
          </cell>
          <cell r="E591">
            <v>340</v>
          </cell>
          <cell r="F591">
            <v>9356</v>
          </cell>
          <cell r="G591">
            <v>3</v>
          </cell>
        </row>
        <row r="592">
          <cell r="A592" t="str">
            <v>36</v>
          </cell>
          <cell r="B592" t="str">
            <v>67918</v>
          </cell>
          <cell r="C592" t="str">
            <v>San Bernardino</v>
          </cell>
          <cell r="D592" t="str">
            <v>Victor Elementary</v>
          </cell>
          <cell r="E592">
            <v>11522</v>
          </cell>
          <cell r="F592">
            <v>197806</v>
          </cell>
          <cell r="G592">
            <v>18</v>
          </cell>
        </row>
        <row r="593">
          <cell r="A593" t="str">
            <v>36</v>
          </cell>
          <cell r="B593" t="str">
            <v>67934</v>
          </cell>
          <cell r="C593" t="str">
            <v>San Bernardino</v>
          </cell>
          <cell r="D593" t="str">
            <v>Victor Valley Union High</v>
          </cell>
          <cell r="E593">
            <v>10625</v>
          </cell>
          <cell r="F593">
            <v>182258</v>
          </cell>
          <cell r="G593">
            <v>9</v>
          </cell>
        </row>
        <row r="594">
          <cell r="A594" t="str">
            <v>36</v>
          </cell>
          <cell r="B594" t="str">
            <v>67959</v>
          </cell>
          <cell r="C594" t="str">
            <v>San Bernardino</v>
          </cell>
          <cell r="D594" t="str">
            <v>Yucaipa-Calimesa Joint Unified</v>
          </cell>
          <cell r="E594">
            <v>9607</v>
          </cell>
          <cell r="F594">
            <v>168591</v>
          </cell>
          <cell r="G594">
            <v>15</v>
          </cell>
        </row>
        <row r="595">
          <cell r="A595" t="str">
            <v>36</v>
          </cell>
          <cell r="B595" t="str">
            <v>73858</v>
          </cell>
          <cell r="C595" t="str">
            <v>San Bernardino</v>
          </cell>
          <cell r="D595" t="str">
            <v>Baker Valley Unified</v>
          </cell>
          <cell r="E595">
            <v>203</v>
          </cell>
          <cell r="F595">
            <v>10692</v>
          </cell>
          <cell r="G595">
            <v>3</v>
          </cell>
        </row>
        <row r="596">
          <cell r="A596" t="str">
            <v>36</v>
          </cell>
          <cell r="B596" t="str">
            <v>73890</v>
          </cell>
          <cell r="C596" t="str">
            <v>San Bernardino</v>
          </cell>
          <cell r="D596" t="str">
            <v>Silver Valley Unified</v>
          </cell>
          <cell r="E596">
            <v>2605</v>
          </cell>
          <cell r="F596">
            <v>52836</v>
          </cell>
          <cell r="G596">
            <v>9</v>
          </cell>
        </row>
        <row r="597">
          <cell r="A597" t="str">
            <v>36</v>
          </cell>
          <cell r="B597" t="str">
            <v>73957</v>
          </cell>
          <cell r="C597" t="str">
            <v>San Bernardino</v>
          </cell>
          <cell r="D597" t="str">
            <v>Snowline Joint Unified</v>
          </cell>
          <cell r="E597">
            <v>8774</v>
          </cell>
          <cell r="F597">
            <v>153759</v>
          </cell>
          <cell r="G597">
            <v>12</v>
          </cell>
        </row>
        <row r="598">
          <cell r="A598" t="str">
            <v>36</v>
          </cell>
          <cell r="B598" t="str">
            <v>75044</v>
          </cell>
          <cell r="C598" t="str">
            <v>San Bernardino</v>
          </cell>
          <cell r="D598" t="str">
            <v>Hesperia Unified</v>
          </cell>
          <cell r="E598">
            <v>21217</v>
          </cell>
          <cell r="F598">
            <v>365565</v>
          </cell>
          <cell r="G598">
            <v>25</v>
          </cell>
        </row>
        <row r="599">
          <cell r="A599" t="str">
            <v>36</v>
          </cell>
          <cell r="B599" t="str">
            <v>75051</v>
          </cell>
          <cell r="C599" t="str">
            <v>San Bernardino</v>
          </cell>
          <cell r="D599" t="str">
            <v>Lucerne Valley Unified</v>
          </cell>
          <cell r="E599">
            <v>1062</v>
          </cell>
          <cell r="F599">
            <v>24834</v>
          </cell>
          <cell r="G599">
            <v>6</v>
          </cell>
        </row>
        <row r="600">
          <cell r="A600" t="str">
            <v>36</v>
          </cell>
          <cell r="B600" t="str">
            <v>75069</v>
          </cell>
          <cell r="C600" t="str">
            <v>San Bernardino</v>
          </cell>
          <cell r="D600" t="str">
            <v>Upland Unified</v>
          </cell>
          <cell r="E600">
            <v>12121</v>
          </cell>
          <cell r="F600">
            <v>206062</v>
          </cell>
          <cell r="G600">
            <v>14</v>
          </cell>
        </row>
        <row r="601">
          <cell r="A601" t="str">
            <v>36</v>
          </cell>
          <cell r="B601" t="str">
            <v>75077</v>
          </cell>
          <cell r="C601" t="str">
            <v>San Bernardino</v>
          </cell>
          <cell r="D601" t="str">
            <v>Apple Valley Unified</v>
          </cell>
          <cell r="E601">
            <v>14118</v>
          </cell>
          <cell r="F601">
            <v>241417</v>
          </cell>
          <cell r="G601">
            <v>17</v>
          </cell>
        </row>
        <row r="602">
          <cell r="A602" t="str">
            <v>37</v>
          </cell>
          <cell r="B602" t="str">
            <v>10371</v>
          </cell>
          <cell r="C602" t="str">
            <v>San Diego</v>
          </cell>
          <cell r="D602" t="str">
            <v>San Diego County Office of Education</v>
          </cell>
          <cell r="E602">
            <v>2833</v>
          </cell>
          <cell r="F602">
            <v>77312</v>
          </cell>
          <cell r="G602">
            <v>18</v>
          </cell>
        </row>
        <row r="603">
          <cell r="A603" t="str">
            <v>37</v>
          </cell>
          <cell r="B603" t="str">
            <v>67967</v>
          </cell>
          <cell r="C603" t="str">
            <v>San Diego</v>
          </cell>
          <cell r="D603" t="str">
            <v>Alpine Union Elementary</v>
          </cell>
          <cell r="E603">
            <v>2045</v>
          </cell>
          <cell r="F603">
            <v>40263</v>
          </cell>
          <cell r="G603">
            <v>7</v>
          </cell>
        </row>
        <row r="604">
          <cell r="A604" t="str">
            <v>37</v>
          </cell>
          <cell r="B604" t="str">
            <v>67975</v>
          </cell>
          <cell r="C604" t="str">
            <v>San Diego</v>
          </cell>
          <cell r="D604" t="str">
            <v>Bonsall Union Elementary</v>
          </cell>
          <cell r="E604">
            <v>1881</v>
          </cell>
          <cell r="F604">
            <v>33502</v>
          </cell>
          <cell r="G604">
            <v>4</v>
          </cell>
        </row>
        <row r="605">
          <cell r="A605" t="str">
            <v>37</v>
          </cell>
          <cell r="B605" t="str">
            <v>67983</v>
          </cell>
          <cell r="C605" t="str">
            <v>San Diego</v>
          </cell>
          <cell r="D605" t="str">
            <v>Borrego Springs Unified</v>
          </cell>
          <cell r="E605">
            <v>452</v>
          </cell>
          <cell r="F605">
            <v>15148</v>
          </cell>
          <cell r="G605">
            <v>5</v>
          </cell>
        </row>
        <row r="606">
          <cell r="A606" t="str">
            <v>37</v>
          </cell>
          <cell r="B606" t="str">
            <v>67991</v>
          </cell>
          <cell r="C606" t="str">
            <v>San Diego</v>
          </cell>
          <cell r="D606" t="str">
            <v>Cajon Valley Union Elementary</v>
          </cell>
          <cell r="E606">
            <v>15767</v>
          </cell>
          <cell r="F606">
            <v>275753</v>
          </cell>
          <cell r="G606">
            <v>29</v>
          </cell>
        </row>
        <row r="607">
          <cell r="A607" t="str">
            <v>37</v>
          </cell>
          <cell r="B607" t="str">
            <v>68007</v>
          </cell>
          <cell r="C607" t="str">
            <v>San Diego</v>
          </cell>
          <cell r="D607" t="str">
            <v>Cardiff Elementary</v>
          </cell>
          <cell r="E607">
            <v>739</v>
          </cell>
          <cell r="F607">
            <v>12563</v>
          </cell>
          <cell r="G607">
            <v>2</v>
          </cell>
        </row>
        <row r="608">
          <cell r="A608" t="str">
            <v>37</v>
          </cell>
          <cell r="B608" t="str">
            <v>68023</v>
          </cell>
          <cell r="C608" t="str">
            <v>San Diego</v>
          </cell>
          <cell r="D608" t="str">
            <v>Chula Vista Elementary</v>
          </cell>
          <cell r="E608">
            <v>22402</v>
          </cell>
          <cell r="F608">
            <v>380839</v>
          </cell>
          <cell r="G608">
            <v>38</v>
          </cell>
        </row>
        <row r="609">
          <cell r="A609" t="str">
            <v>37</v>
          </cell>
          <cell r="B609" t="str">
            <v>68031</v>
          </cell>
          <cell r="C609" t="str">
            <v>San Diego</v>
          </cell>
          <cell r="D609" t="str">
            <v>Coronado Unified</v>
          </cell>
          <cell r="E609">
            <v>3035</v>
          </cell>
          <cell r="F609">
            <v>53689</v>
          </cell>
          <cell r="G609">
            <v>5</v>
          </cell>
        </row>
        <row r="610">
          <cell r="A610" t="str">
            <v>37</v>
          </cell>
          <cell r="B610" t="str">
            <v>68049</v>
          </cell>
          <cell r="C610" t="str">
            <v>San Diego</v>
          </cell>
          <cell r="D610" t="str">
            <v>Dehesa Elementary</v>
          </cell>
          <cell r="E610">
            <v>159</v>
          </cell>
          <cell r="F610">
            <v>3564</v>
          </cell>
          <cell r="G610">
            <v>1</v>
          </cell>
        </row>
        <row r="611">
          <cell r="A611" t="str">
            <v>37</v>
          </cell>
          <cell r="B611" t="str">
            <v>68056</v>
          </cell>
          <cell r="C611" t="str">
            <v>San Diego</v>
          </cell>
          <cell r="D611" t="str">
            <v>Del Mar Union Elementary</v>
          </cell>
          <cell r="E611">
            <v>4169</v>
          </cell>
          <cell r="F611">
            <v>70873</v>
          </cell>
          <cell r="G611">
            <v>8</v>
          </cell>
        </row>
        <row r="612">
          <cell r="A612" t="str">
            <v>37</v>
          </cell>
          <cell r="B612" t="str">
            <v>68080</v>
          </cell>
          <cell r="C612" t="str">
            <v>San Diego</v>
          </cell>
          <cell r="D612" t="str">
            <v>Encinitas Union Elementary</v>
          </cell>
          <cell r="E612">
            <v>5561</v>
          </cell>
          <cell r="F612">
            <v>94538</v>
          </cell>
          <cell r="G612">
            <v>9</v>
          </cell>
        </row>
        <row r="613">
          <cell r="A613" t="str">
            <v>37</v>
          </cell>
          <cell r="B613" t="str">
            <v>68098</v>
          </cell>
          <cell r="C613" t="str">
            <v>San Diego</v>
          </cell>
          <cell r="D613" t="str">
            <v>Escondido Union</v>
          </cell>
          <cell r="E613">
            <v>18050</v>
          </cell>
          <cell r="F613">
            <v>309694</v>
          </cell>
          <cell r="G613">
            <v>23</v>
          </cell>
        </row>
        <row r="614">
          <cell r="A614" t="str">
            <v>37</v>
          </cell>
          <cell r="B614" t="str">
            <v>68106</v>
          </cell>
          <cell r="C614" t="str">
            <v>San Diego</v>
          </cell>
          <cell r="D614" t="str">
            <v>Escondido Union High</v>
          </cell>
          <cell r="E614">
            <v>8251</v>
          </cell>
          <cell r="F614">
            <v>141406</v>
          </cell>
          <cell r="G614">
            <v>5</v>
          </cell>
        </row>
        <row r="615">
          <cell r="A615" t="str">
            <v>37</v>
          </cell>
          <cell r="B615" t="str">
            <v>68114</v>
          </cell>
          <cell r="C615" t="str">
            <v>San Diego</v>
          </cell>
          <cell r="D615" t="str">
            <v>Fallbrook Union Elementary</v>
          </cell>
          <cell r="E615">
            <v>5617</v>
          </cell>
          <cell r="F615">
            <v>97567</v>
          </cell>
          <cell r="G615">
            <v>10</v>
          </cell>
        </row>
        <row r="616">
          <cell r="A616" t="str">
            <v>37</v>
          </cell>
          <cell r="B616" t="str">
            <v>68122</v>
          </cell>
          <cell r="C616" t="str">
            <v>San Diego</v>
          </cell>
          <cell r="D616" t="str">
            <v>Fallbrook Union High</v>
          </cell>
          <cell r="E616">
            <v>3114</v>
          </cell>
          <cell r="F616">
            <v>57127</v>
          </cell>
          <cell r="G616">
            <v>3</v>
          </cell>
        </row>
        <row r="617">
          <cell r="A617" t="str">
            <v>37</v>
          </cell>
          <cell r="B617" t="str">
            <v>68130</v>
          </cell>
          <cell r="C617" t="str">
            <v>San Diego</v>
          </cell>
          <cell r="D617" t="str">
            <v>Grossmont Union High</v>
          </cell>
          <cell r="E617">
            <v>20153</v>
          </cell>
          <cell r="F617">
            <v>357247</v>
          </cell>
          <cell r="G617">
            <v>17</v>
          </cell>
        </row>
        <row r="618">
          <cell r="A618" t="str">
            <v>37</v>
          </cell>
          <cell r="B618" t="str">
            <v>68155</v>
          </cell>
          <cell r="C618" t="str">
            <v>San Diego</v>
          </cell>
          <cell r="D618" t="str">
            <v>Jamul-Dulzura Union Elementary</v>
          </cell>
          <cell r="E618">
            <v>919</v>
          </cell>
          <cell r="F618">
            <v>15702</v>
          </cell>
          <cell r="G618">
            <v>3</v>
          </cell>
        </row>
        <row r="619">
          <cell r="A619" t="str">
            <v>37</v>
          </cell>
          <cell r="B619" t="str">
            <v>68163</v>
          </cell>
          <cell r="C619" t="str">
            <v>San Diego</v>
          </cell>
          <cell r="D619" t="str">
            <v>Julian Union Elementary</v>
          </cell>
          <cell r="E619">
            <v>361</v>
          </cell>
          <cell r="F619">
            <v>8256</v>
          </cell>
          <cell r="G619">
            <v>2</v>
          </cell>
        </row>
        <row r="620">
          <cell r="A620" t="str">
            <v>37</v>
          </cell>
          <cell r="B620" t="str">
            <v>68171</v>
          </cell>
          <cell r="C620" t="str">
            <v>San Diego</v>
          </cell>
          <cell r="D620" t="str">
            <v>Julian Union High</v>
          </cell>
          <cell r="E620">
            <v>182</v>
          </cell>
          <cell r="F620">
            <v>5792</v>
          </cell>
          <cell r="G620">
            <v>2</v>
          </cell>
        </row>
        <row r="621">
          <cell r="A621" t="str">
            <v>37</v>
          </cell>
          <cell r="B621" t="str">
            <v>68189</v>
          </cell>
          <cell r="C621" t="str">
            <v>San Diego</v>
          </cell>
          <cell r="D621" t="str">
            <v>Lakeside Union Elementary</v>
          </cell>
          <cell r="E621">
            <v>4230</v>
          </cell>
          <cell r="F621">
            <v>75666</v>
          </cell>
          <cell r="G621">
            <v>10</v>
          </cell>
        </row>
        <row r="622">
          <cell r="A622" t="str">
            <v>37</v>
          </cell>
          <cell r="B622" t="str">
            <v>68197</v>
          </cell>
          <cell r="C622" t="str">
            <v>San Diego</v>
          </cell>
          <cell r="D622" t="str">
            <v>La Mesa-Spring Valley</v>
          </cell>
          <cell r="E622">
            <v>12740</v>
          </cell>
          <cell r="F622">
            <v>218591</v>
          </cell>
          <cell r="G622">
            <v>22</v>
          </cell>
        </row>
        <row r="623">
          <cell r="A623" t="str">
            <v>37</v>
          </cell>
          <cell r="B623" t="str">
            <v>68205</v>
          </cell>
          <cell r="C623" t="str">
            <v>San Diego</v>
          </cell>
          <cell r="D623" t="str">
            <v>Lemon Grove</v>
          </cell>
          <cell r="E623">
            <v>3901</v>
          </cell>
          <cell r="F623">
            <v>66317</v>
          </cell>
          <cell r="G623">
            <v>8</v>
          </cell>
        </row>
        <row r="624">
          <cell r="A624" t="str">
            <v>37</v>
          </cell>
          <cell r="B624" t="str">
            <v>68213</v>
          </cell>
          <cell r="C624" t="str">
            <v>San Diego</v>
          </cell>
          <cell r="D624" t="str">
            <v>Mountain Empire Unified</v>
          </cell>
          <cell r="E624">
            <v>1637</v>
          </cell>
          <cell r="F624">
            <v>47118</v>
          </cell>
          <cell r="G624">
            <v>12</v>
          </cell>
        </row>
        <row r="625">
          <cell r="A625" t="str">
            <v>37</v>
          </cell>
          <cell r="B625" t="str">
            <v>68221</v>
          </cell>
          <cell r="C625" t="str">
            <v>San Diego</v>
          </cell>
          <cell r="D625" t="str">
            <v>National Elementary</v>
          </cell>
          <cell r="E625">
            <v>5613</v>
          </cell>
          <cell r="F625">
            <v>95421</v>
          </cell>
          <cell r="G625">
            <v>10</v>
          </cell>
        </row>
        <row r="626">
          <cell r="A626" t="str">
            <v>37</v>
          </cell>
          <cell r="B626" t="str">
            <v>68296</v>
          </cell>
          <cell r="C626" t="str">
            <v>San Diego</v>
          </cell>
          <cell r="D626" t="str">
            <v>Poway Unified</v>
          </cell>
          <cell r="E626">
            <v>33305</v>
          </cell>
          <cell r="F626">
            <v>566656</v>
          </cell>
          <cell r="G626">
            <v>36</v>
          </cell>
        </row>
        <row r="627">
          <cell r="A627" t="str">
            <v>37</v>
          </cell>
          <cell r="B627" t="str">
            <v>68304</v>
          </cell>
          <cell r="C627" t="str">
            <v>San Diego</v>
          </cell>
          <cell r="D627" t="str">
            <v>Ramona City Unified</v>
          </cell>
          <cell r="E627">
            <v>6575</v>
          </cell>
          <cell r="F627">
            <v>114978</v>
          </cell>
          <cell r="G627">
            <v>10</v>
          </cell>
        </row>
        <row r="628">
          <cell r="A628" t="str">
            <v>37</v>
          </cell>
          <cell r="B628" t="str">
            <v>68312</v>
          </cell>
          <cell r="C628" t="str">
            <v>San Diego</v>
          </cell>
          <cell r="D628" t="str">
            <v>Rancho Santa Fe Elementary</v>
          </cell>
          <cell r="E628">
            <v>753</v>
          </cell>
          <cell r="F628">
            <v>13271</v>
          </cell>
          <cell r="G628">
            <v>2</v>
          </cell>
        </row>
        <row r="629">
          <cell r="A629" t="str">
            <v>37</v>
          </cell>
          <cell r="B629" t="str">
            <v>68338</v>
          </cell>
          <cell r="C629" t="str">
            <v>San Diego</v>
          </cell>
          <cell r="D629" t="str">
            <v>San Diego Unified</v>
          </cell>
          <cell r="E629">
            <v>117644</v>
          </cell>
          <cell r="F629">
            <v>2010388</v>
          </cell>
          <cell r="G629">
            <v>181</v>
          </cell>
        </row>
        <row r="630">
          <cell r="A630" t="str">
            <v>37</v>
          </cell>
          <cell r="B630" t="str">
            <v>68346</v>
          </cell>
          <cell r="C630" t="str">
            <v>San Diego</v>
          </cell>
          <cell r="D630" t="str">
            <v>San Dieguito Union High</v>
          </cell>
          <cell r="E630">
            <v>12575</v>
          </cell>
          <cell r="F630">
            <v>217410</v>
          </cell>
          <cell r="G630">
            <v>10</v>
          </cell>
        </row>
        <row r="631">
          <cell r="A631" t="str">
            <v>37</v>
          </cell>
          <cell r="B631" t="str">
            <v>68353</v>
          </cell>
          <cell r="C631" t="str">
            <v>San Diego</v>
          </cell>
          <cell r="D631" t="str">
            <v>San Pasqual Union Elementary</v>
          </cell>
          <cell r="E631">
            <v>559</v>
          </cell>
          <cell r="F631">
            <v>9503</v>
          </cell>
          <cell r="G631">
            <v>1</v>
          </cell>
        </row>
        <row r="632">
          <cell r="A632" t="str">
            <v>37</v>
          </cell>
          <cell r="B632" t="str">
            <v>68361</v>
          </cell>
          <cell r="C632" t="str">
            <v>San Diego</v>
          </cell>
          <cell r="D632" t="str">
            <v>Santee Elementary</v>
          </cell>
          <cell r="E632">
            <v>6277</v>
          </cell>
          <cell r="F632">
            <v>111706</v>
          </cell>
          <cell r="G632">
            <v>11</v>
          </cell>
        </row>
        <row r="633">
          <cell r="A633" t="str">
            <v>37</v>
          </cell>
          <cell r="B633" t="str">
            <v>68379</v>
          </cell>
          <cell r="C633" t="str">
            <v>San Diego</v>
          </cell>
          <cell r="D633" t="str">
            <v>San Ysidro Elementary</v>
          </cell>
          <cell r="E633">
            <v>4851</v>
          </cell>
          <cell r="F633">
            <v>84444</v>
          </cell>
          <cell r="G633">
            <v>7</v>
          </cell>
        </row>
        <row r="634">
          <cell r="A634" t="str">
            <v>37</v>
          </cell>
          <cell r="B634" t="str">
            <v>68387</v>
          </cell>
          <cell r="C634" t="str">
            <v>San Diego</v>
          </cell>
          <cell r="D634" t="str">
            <v>Solana Beach Elementary</v>
          </cell>
          <cell r="E634">
            <v>2770</v>
          </cell>
          <cell r="F634">
            <v>47090</v>
          </cell>
          <cell r="G634">
            <v>6</v>
          </cell>
        </row>
        <row r="635">
          <cell r="A635" t="str">
            <v>37</v>
          </cell>
          <cell r="B635" t="str">
            <v>68395</v>
          </cell>
          <cell r="C635" t="str">
            <v>San Diego</v>
          </cell>
          <cell r="D635" t="str">
            <v>South Bay Union Elementary</v>
          </cell>
          <cell r="E635">
            <v>8005</v>
          </cell>
          <cell r="F635">
            <v>136088</v>
          </cell>
          <cell r="G635">
            <v>12</v>
          </cell>
        </row>
        <row r="636">
          <cell r="A636" t="str">
            <v>37</v>
          </cell>
          <cell r="B636" t="str">
            <v>68403</v>
          </cell>
          <cell r="C636" t="str">
            <v>San Diego</v>
          </cell>
          <cell r="D636" t="str">
            <v>Spencer Valley Elementary</v>
          </cell>
          <cell r="E636">
            <v>36</v>
          </cell>
          <cell r="F636">
            <v>3564</v>
          </cell>
          <cell r="G636">
            <v>1</v>
          </cell>
        </row>
        <row r="637">
          <cell r="A637" t="str">
            <v>37</v>
          </cell>
          <cell r="B637" t="str">
            <v>68411</v>
          </cell>
          <cell r="C637" t="str">
            <v>San Diego</v>
          </cell>
          <cell r="D637" t="str">
            <v>Sweetwater Union High</v>
          </cell>
          <cell r="E637">
            <v>42768</v>
          </cell>
          <cell r="F637">
            <v>737865</v>
          </cell>
          <cell r="G637">
            <v>31</v>
          </cell>
        </row>
        <row r="638">
          <cell r="A638" t="str">
            <v>37</v>
          </cell>
          <cell r="B638" t="str">
            <v>68437</v>
          </cell>
          <cell r="C638" t="str">
            <v>San Diego</v>
          </cell>
          <cell r="D638" t="str">
            <v>Vallecitos Elementary</v>
          </cell>
          <cell r="E638">
            <v>219</v>
          </cell>
          <cell r="F638">
            <v>3723</v>
          </cell>
          <cell r="G638">
            <v>1</v>
          </cell>
        </row>
        <row r="639">
          <cell r="A639" t="str">
            <v>37</v>
          </cell>
          <cell r="B639" t="str">
            <v>68452</v>
          </cell>
          <cell r="C639" t="str">
            <v>San Diego</v>
          </cell>
          <cell r="D639" t="str">
            <v>Vista Unified</v>
          </cell>
          <cell r="E639">
            <v>23092</v>
          </cell>
          <cell r="F639">
            <v>403509</v>
          </cell>
          <cell r="G639">
            <v>31</v>
          </cell>
        </row>
        <row r="640">
          <cell r="A640" t="str">
            <v>37</v>
          </cell>
          <cell r="B640" t="str">
            <v>73551</v>
          </cell>
          <cell r="C640" t="str">
            <v>San Diego</v>
          </cell>
          <cell r="D640" t="str">
            <v>Carlsbad Unified</v>
          </cell>
          <cell r="E640">
            <v>10678</v>
          </cell>
          <cell r="F640">
            <v>184631</v>
          </cell>
          <cell r="G640">
            <v>15</v>
          </cell>
        </row>
        <row r="641">
          <cell r="A641" t="str">
            <v>37</v>
          </cell>
          <cell r="B641" t="str">
            <v>73569</v>
          </cell>
          <cell r="C641" t="str">
            <v>San Diego</v>
          </cell>
          <cell r="D641" t="str">
            <v>Oceanside Unified</v>
          </cell>
          <cell r="E641">
            <v>20533</v>
          </cell>
          <cell r="F641">
            <v>351264</v>
          </cell>
          <cell r="G641">
            <v>24</v>
          </cell>
        </row>
        <row r="642">
          <cell r="A642" t="str">
            <v>37</v>
          </cell>
          <cell r="B642" t="str">
            <v>73791</v>
          </cell>
          <cell r="C642" t="str">
            <v>San Diego</v>
          </cell>
          <cell r="D642" t="str">
            <v>San Marcos Unified</v>
          </cell>
          <cell r="E642">
            <v>17654</v>
          </cell>
          <cell r="F642">
            <v>302058</v>
          </cell>
          <cell r="G642">
            <v>18</v>
          </cell>
        </row>
        <row r="643">
          <cell r="A643" t="str">
            <v>37</v>
          </cell>
          <cell r="B643" t="str">
            <v>75416</v>
          </cell>
          <cell r="C643" t="str">
            <v>San Diego</v>
          </cell>
          <cell r="D643" t="str">
            <v>Warner Unified</v>
          </cell>
          <cell r="E643">
            <v>214</v>
          </cell>
          <cell r="F643">
            <v>9356</v>
          </cell>
          <cell r="G643">
            <v>3</v>
          </cell>
        </row>
        <row r="644">
          <cell r="A644" t="str">
            <v>37</v>
          </cell>
          <cell r="B644" t="str">
            <v>75614</v>
          </cell>
          <cell r="C644" t="str">
            <v>San Diego</v>
          </cell>
          <cell r="D644" t="str">
            <v>Valley Center-Pauma Unified</v>
          </cell>
          <cell r="E644">
            <v>4364</v>
          </cell>
          <cell r="F644">
            <v>79329</v>
          </cell>
          <cell r="G644">
            <v>8</v>
          </cell>
        </row>
        <row r="645">
          <cell r="A645" t="str">
            <v>37</v>
          </cell>
          <cell r="B645" t="str">
            <v>76471</v>
          </cell>
          <cell r="C645" t="str">
            <v>San Diego</v>
          </cell>
          <cell r="D645" t="str">
            <v>SBC - High Tech High</v>
          </cell>
          <cell r="E645">
            <v>580</v>
          </cell>
          <cell r="F645">
            <v>9860</v>
          </cell>
          <cell r="G645">
            <v>2</v>
          </cell>
        </row>
        <row r="646">
          <cell r="A646" t="str">
            <v>38</v>
          </cell>
          <cell r="B646" t="str">
            <v>10389</v>
          </cell>
          <cell r="C646" t="str">
            <v>San Francisco</v>
          </cell>
          <cell r="D646" t="str">
            <v>San Francisco County Office of Education</v>
          </cell>
          <cell r="E646">
            <v>611</v>
          </cell>
          <cell r="F646">
            <v>14738</v>
          </cell>
          <cell r="G646">
            <v>4</v>
          </cell>
        </row>
        <row r="647">
          <cell r="A647" t="str">
            <v>38</v>
          </cell>
          <cell r="B647" t="str">
            <v>68478</v>
          </cell>
          <cell r="C647" t="str">
            <v>San Francisco</v>
          </cell>
          <cell r="D647" t="str">
            <v>San Francisco Unified</v>
          </cell>
          <cell r="E647">
            <v>52568</v>
          </cell>
          <cell r="F647">
            <v>903694</v>
          </cell>
          <cell r="G647">
            <v>102</v>
          </cell>
        </row>
        <row r="648">
          <cell r="A648" t="str">
            <v>39</v>
          </cell>
          <cell r="B648" t="str">
            <v>10397</v>
          </cell>
          <cell r="C648" t="str">
            <v>San Joaquin</v>
          </cell>
          <cell r="D648" t="str">
            <v>San Joaquin County Office of Education</v>
          </cell>
          <cell r="E648">
            <v>1857</v>
          </cell>
          <cell r="F648">
            <v>31570</v>
          </cell>
          <cell r="G648">
            <v>3</v>
          </cell>
        </row>
        <row r="649">
          <cell r="A649" t="str">
            <v>39</v>
          </cell>
          <cell r="B649" t="str">
            <v>68486</v>
          </cell>
          <cell r="C649" t="str">
            <v>San Joaquin</v>
          </cell>
          <cell r="D649" t="str">
            <v>Banta Elementary</v>
          </cell>
          <cell r="E649">
            <v>297</v>
          </cell>
          <cell r="F649">
            <v>5049</v>
          </cell>
          <cell r="G649">
            <v>1</v>
          </cell>
        </row>
        <row r="650">
          <cell r="A650" t="str">
            <v>39</v>
          </cell>
          <cell r="B650" t="str">
            <v>68502</v>
          </cell>
          <cell r="C650" t="str">
            <v>San Joaquin</v>
          </cell>
          <cell r="D650" t="str">
            <v>Escalon Unified</v>
          </cell>
          <cell r="E650">
            <v>3057</v>
          </cell>
          <cell r="F650">
            <v>57778</v>
          </cell>
          <cell r="G650">
            <v>7</v>
          </cell>
        </row>
        <row r="651">
          <cell r="A651" t="str">
            <v>39</v>
          </cell>
          <cell r="B651" t="str">
            <v>68544</v>
          </cell>
          <cell r="C651" t="str">
            <v>San Joaquin</v>
          </cell>
          <cell r="D651" t="str">
            <v>Jefferson Elementary</v>
          </cell>
          <cell r="E651">
            <v>2416</v>
          </cell>
          <cell r="F651">
            <v>41074</v>
          </cell>
          <cell r="G651">
            <v>4</v>
          </cell>
        </row>
        <row r="652">
          <cell r="A652" t="str">
            <v>39</v>
          </cell>
          <cell r="B652" t="str">
            <v>68551</v>
          </cell>
          <cell r="C652" t="str">
            <v>San Joaquin</v>
          </cell>
          <cell r="D652" t="str">
            <v>Lammersville Elementary</v>
          </cell>
          <cell r="E652">
            <v>1741</v>
          </cell>
          <cell r="F652">
            <v>29598</v>
          </cell>
          <cell r="G652">
            <v>3</v>
          </cell>
        </row>
        <row r="653">
          <cell r="A653" t="str">
            <v>39</v>
          </cell>
          <cell r="B653" t="str">
            <v>68569</v>
          </cell>
          <cell r="C653" t="str">
            <v>San Joaquin</v>
          </cell>
          <cell r="D653" t="str">
            <v>Lincoln Unified</v>
          </cell>
          <cell r="E653">
            <v>8605</v>
          </cell>
          <cell r="F653">
            <v>146469</v>
          </cell>
          <cell r="G653">
            <v>11</v>
          </cell>
        </row>
        <row r="654">
          <cell r="A654" t="str">
            <v>39</v>
          </cell>
          <cell r="B654" t="str">
            <v>68577</v>
          </cell>
          <cell r="C654" t="str">
            <v>San Joaquin</v>
          </cell>
          <cell r="D654" t="str">
            <v>Linden Unified</v>
          </cell>
          <cell r="E654">
            <v>2502</v>
          </cell>
          <cell r="F654">
            <v>49127</v>
          </cell>
          <cell r="G654">
            <v>8</v>
          </cell>
        </row>
        <row r="655">
          <cell r="A655" t="str">
            <v>39</v>
          </cell>
          <cell r="B655" t="str">
            <v>68585</v>
          </cell>
          <cell r="C655" t="str">
            <v>San Joaquin</v>
          </cell>
          <cell r="D655" t="str">
            <v>Lodi Unified</v>
          </cell>
          <cell r="E655">
            <v>29938</v>
          </cell>
          <cell r="F655">
            <v>523493</v>
          </cell>
          <cell r="G655">
            <v>52</v>
          </cell>
        </row>
        <row r="656">
          <cell r="A656" t="str">
            <v>39</v>
          </cell>
          <cell r="B656" t="str">
            <v>68593</v>
          </cell>
          <cell r="C656" t="str">
            <v>San Joaquin</v>
          </cell>
          <cell r="D656" t="str">
            <v>Manteca Unified</v>
          </cell>
          <cell r="E656">
            <v>23077</v>
          </cell>
          <cell r="F656">
            <v>397618</v>
          </cell>
          <cell r="G656">
            <v>29</v>
          </cell>
        </row>
        <row r="657">
          <cell r="A657" t="str">
            <v>39</v>
          </cell>
          <cell r="B657" t="str">
            <v>68619</v>
          </cell>
          <cell r="C657" t="str">
            <v>San Joaquin</v>
          </cell>
          <cell r="D657" t="str">
            <v>New Hope Elementary</v>
          </cell>
          <cell r="E657">
            <v>203</v>
          </cell>
          <cell r="F657">
            <v>3564</v>
          </cell>
          <cell r="G657">
            <v>1</v>
          </cell>
        </row>
        <row r="658">
          <cell r="A658" t="str">
            <v>39</v>
          </cell>
          <cell r="B658" t="str">
            <v>68627</v>
          </cell>
          <cell r="C658" t="str">
            <v>San Joaquin</v>
          </cell>
          <cell r="D658" t="str">
            <v>New Jerusalem Elementary</v>
          </cell>
          <cell r="E658">
            <v>28</v>
          </cell>
          <cell r="F658">
            <v>3564</v>
          </cell>
          <cell r="G658">
            <v>1</v>
          </cell>
        </row>
        <row r="659">
          <cell r="A659" t="str">
            <v>39</v>
          </cell>
          <cell r="B659" t="str">
            <v>68635</v>
          </cell>
          <cell r="C659" t="str">
            <v>San Joaquin</v>
          </cell>
          <cell r="D659" t="str">
            <v>Oak View Union Elementary</v>
          </cell>
          <cell r="E659">
            <v>394</v>
          </cell>
          <cell r="F659">
            <v>6698</v>
          </cell>
          <cell r="G659">
            <v>1</v>
          </cell>
        </row>
        <row r="660">
          <cell r="A660" t="str">
            <v>39</v>
          </cell>
          <cell r="B660" t="str">
            <v>68650</v>
          </cell>
          <cell r="C660" t="str">
            <v>San Joaquin</v>
          </cell>
          <cell r="D660" t="str">
            <v>Ripon Unified</v>
          </cell>
          <cell r="E660">
            <v>3051</v>
          </cell>
          <cell r="F660">
            <v>51868</v>
          </cell>
          <cell r="G660">
            <v>6</v>
          </cell>
        </row>
        <row r="661">
          <cell r="A661" t="str">
            <v>39</v>
          </cell>
          <cell r="B661" t="str">
            <v>68676</v>
          </cell>
          <cell r="C661" t="str">
            <v>San Joaquin</v>
          </cell>
          <cell r="D661" t="str">
            <v>Stockton Unified</v>
          </cell>
          <cell r="E661">
            <v>36784</v>
          </cell>
          <cell r="F661">
            <v>635271</v>
          </cell>
          <cell r="G661">
            <v>53</v>
          </cell>
        </row>
        <row r="662">
          <cell r="A662" t="str">
            <v>39</v>
          </cell>
          <cell r="B662" t="str">
            <v>75499</v>
          </cell>
          <cell r="C662" t="str">
            <v>San Joaquin</v>
          </cell>
          <cell r="D662" t="str">
            <v>Tracy Joint Unified</v>
          </cell>
          <cell r="E662">
            <v>16305</v>
          </cell>
          <cell r="F662">
            <v>288987</v>
          </cell>
          <cell r="G662">
            <v>21</v>
          </cell>
        </row>
        <row r="663">
          <cell r="A663" t="str">
            <v>40</v>
          </cell>
          <cell r="B663" t="str">
            <v>10405</v>
          </cell>
          <cell r="C663" t="str">
            <v>San Luis Obispo</v>
          </cell>
          <cell r="D663" t="str">
            <v>San Luis Obispo County Office of Education</v>
          </cell>
          <cell r="E663">
            <v>697</v>
          </cell>
          <cell r="F663">
            <v>15407</v>
          </cell>
          <cell r="G663">
            <v>4</v>
          </cell>
        </row>
        <row r="664">
          <cell r="A664" t="str">
            <v>40</v>
          </cell>
          <cell r="B664" t="str">
            <v>68700</v>
          </cell>
          <cell r="C664" t="str">
            <v>San Luis Obispo</v>
          </cell>
          <cell r="D664" t="str">
            <v>Atascadero Unified</v>
          </cell>
          <cell r="E664">
            <v>4945</v>
          </cell>
          <cell r="F664">
            <v>93018</v>
          </cell>
          <cell r="G664">
            <v>12</v>
          </cell>
        </row>
        <row r="665">
          <cell r="A665" t="str">
            <v>40</v>
          </cell>
          <cell r="B665" t="str">
            <v>68726</v>
          </cell>
          <cell r="C665" t="str">
            <v>San Luis Obispo</v>
          </cell>
          <cell r="D665" t="str">
            <v>Cayucos Elementary</v>
          </cell>
          <cell r="E665">
            <v>187</v>
          </cell>
          <cell r="F665">
            <v>3564</v>
          </cell>
          <cell r="G665">
            <v>1</v>
          </cell>
        </row>
        <row r="666">
          <cell r="A666" t="str">
            <v>40</v>
          </cell>
          <cell r="B666" t="str">
            <v>68759</v>
          </cell>
          <cell r="C666" t="str">
            <v>San Luis Obispo</v>
          </cell>
          <cell r="D666" t="str">
            <v>Lucia Mar Unified</v>
          </cell>
          <cell r="E666">
            <v>10772</v>
          </cell>
          <cell r="F666">
            <v>184225</v>
          </cell>
          <cell r="G666">
            <v>17</v>
          </cell>
        </row>
        <row r="667">
          <cell r="A667" t="str">
            <v>40</v>
          </cell>
          <cell r="B667" t="str">
            <v>68791</v>
          </cell>
          <cell r="C667" t="str">
            <v>San Luis Obispo</v>
          </cell>
          <cell r="D667" t="str">
            <v>Pleasant Valley Joint Union Elementary</v>
          </cell>
          <cell r="E667">
            <v>134</v>
          </cell>
          <cell r="F667">
            <v>3564</v>
          </cell>
          <cell r="G667">
            <v>1</v>
          </cell>
        </row>
        <row r="668">
          <cell r="A668" t="str">
            <v>40</v>
          </cell>
          <cell r="B668" t="str">
            <v>68809</v>
          </cell>
          <cell r="C668" t="str">
            <v>San Luis Obispo</v>
          </cell>
          <cell r="D668" t="str">
            <v>San Luis Coastal Unified</v>
          </cell>
          <cell r="E668">
            <v>6989</v>
          </cell>
          <cell r="F668">
            <v>123699</v>
          </cell>
          <cell r="G668">
            <v>15</v>
          </cell>
        </row>
        <row r="669">
          <cell r="A669" t="str">
            <v>40</v>
          </cell>
          <cell r="B669" t="str">
            <v>68825</v>
          </cell>
          <cell r="C669" t="str">
            <v>San Luis Obispo</v>
          </cell>
          <cell r="D669" t="str">
            <v>San Miguel Joint Union</v>
          </cell>
          <cell r="E669">
            <v>553</v>
          </cell>
          <cell r="F669">
            <v>12915</v>
          </cell>
          <cell r="G669">
            <v>3</v>
          </cell>
        </row>
        <row r="670">
          <cell r="A670" t="str">
            <v>40</v>
          </cell>
          <cell r="B670" t="str">
            <v>68833</v>
          </cell>
          <cell r="C670" t="str">
            <v>San Luis Obispo</v>
          </cell>
          <cell r="D670" t="str">
            <v>Shandon Joint Unified</v>
          </cell>
          <cell r="E670">
            <v>322</v>
          </cell>
          <cell r="F670">
            <v>11584</v>
          </cell>
          <cell r="G670">
            <v>4</v>
          </cell>
        </row>
        <row r="671">
          <cell r="A671" t="str">
            <v>40</v>
          </cell>
          <cell r="B671" t="str">
            <v>68841</v>
          </cell>
          <cell r="C671" t="str">
            <v>San Luis Obispo</v>
          </cell>
          <cell r="D671" t="str">
            <v>Templeton Unified</v>
          </cell>
          <cell r="E671">
            <v>2371</v>
          </cell>
          <cell r="F671">
            <v>46553</v>
          </cell>
          <cell r="G671">
            <v>7</v>
          </cell>
        </row>
        <row r="672">
          <cell r="A672" t="str">
            <v>40</v>
          </cell>
          <cell r="B672" t="str">
            <v>75457</v>
          </cell>
          <cell r="C672" t="str">
            <v>San Luis Obispo</v>
          </cell>
          <cell r="D672" t="str">
            <v>Paso Robles Joint Unified</v>
          </cell>
          <cell r="E672">
            <v>6875</v>
          </cell>
          <cell r="F672">
            <v>121183</v>
          </cell>
          <cell r="G672">
            <v>12</v>
          </cell>
        </row>
        <row r="673">
          <cell r="A673" t="str">
            <v>40</v>
          </cell>
          <cell r="B673" t="str">
            <v>75465</v>
          </cell>
          <cell r="C673" t="str">
            <v>San Luis Obispo</v>
          </cell>
          <cell r="D673" t="str">
            <v>Coast Unified</v>
          </cell>
          <cell r="E673">
            <v>763</v>
          </cell>
          <cell r="F673">
            <v>19080</v>
          </cell>
          <cell r="G673">
            <v>5</v>
          </cell>
        </row>
        <row r="674">
          <cell r="A674" t="str">
            <v>41</v>
          </cell>
          <cell r="B674" t="str">
            <v>10413</v>
          </cell>
          <cell r="C674" t="str">
            <v>San Mateo</v>
          </cell>
          <cell r="D674" t="str">
            <v>San Mateo County Office of Education</v>
          </cell>
          <cell r="E674">
            <v>581</v>
          </cell>
          <cell r="F674">
            <v>35897</v>
          </cell>
          <cell r="G674">
            <v>12</v>
          </cell>
        </row>
        <row r="675">
          <cell r="A675" t="str">
            <v>41</v>
          </cell>
          <cell r="B675" t="str">
            <v>68858</v>
          </cell>
          <cell r="C675" t="str">
            <v>San Mateo</v>
          </cell>
          <cell r="D675" t="str">
            <v>Bayshore Elementary</v>
          </cell>
          <cell r="E675">
            <v>429</v>
          </cell>
          <cell r="F675">
            <v>7542</v>
          </cell>
          <cell r="G675">
            <v>2</v>
          </cell>
        </row>
        <row r="676">
          <cell r="A676" t="str">
            <v>41</v>
          </cell>
          <cell r="B676" t="str">
            <v>68866</v>
          </cell>
          <cell r="C676" t="str">
            <v>San Mateo</v>
          </cell>
          <cell r="D676" t="str">
            <v>Belmont-Redwood Shores Elementary</v>
          </cell>
          <cell r="E676">
            <v>2749</v>
          </cell>
          <cell r="F676">
            <v>46734</v>
          </cell>
          <cell r="G676">
            <v>6</v>
          </cell>
        </row>
        <row r="677">
          <cell r="A677" t="str">
            <v>41</v>
          </cell>
          <cell r="B677" t="str">
            <v>68874</v>
          </cell>
          <cell r="C677" t="str">
            <v>San Mateo</v>
          </cell>
          <cell r="D677" t="str">
            <v>Brisbane Elementary</v>
          </cell>
          <cell r="E677">
            <v>589</v>
          </cell>
          <cell r="F677">
            <v>10766</v>
          </cell>
          <cell r="G677">
            <v>3</v>
          </cell>
        </row>
        <row r="678">
          <cell r="A678" t="str">
            <v>41</v>
          </cell>
          <cell r="B678" t="str">
            <v>68882</v>
          </cell>
          <cell r="C678" t="str">
            <v>San Mateo</v>
          </cell>
          <cell r="D678" t="str">
            <v>Burlingame Elementary</v>
          </cell>
          <cell r="E678">
            <v>2529</v>
          </cell>
          <cell r="F678">
            <v>42994</v>
          </cell>
          <cell r="G678">
            <v>6</v>
          </cell>
        </row>
        <row r="679">
          <cell r="A679" t="str">
            <v>41</v>
          </cell>
          <cell r="B679" t="str">
            <v>68890</v>
          </cell>
          <cell r="C679" t="str">
            <v>San Mateo</v>
          </cell>
          <cell r="D679" t="str">
            <v>Cabrillo Unified</v>
          </cell>
          <cell r="E679">
            <v>3386</v>
          </cell>
          <cell r="F679">
            <v>62634</v>
          </cell>
          <cell r="G679">
            <v>7</v>
          </cell>
        </row>
        <row r="680">
          <cell r="A680" t="str">
            <v>41</v>
          </cell>
          <cell r="B680" t="str">
            <v>68908</v>
          </cell>
          <cell r="C680" t="str">
            <v>San Mateo</v>
          </cell>
          <cell r="D680" t="str">
            <v>Hillsborough City Elementary</v>
          </cell>
          <cell r="E680">
            <v>1462</v>
          </cell>
          <cell r="F680">
            <v>24854</v>
          </cell>
          <cell r="G680">
            <v>4</v>
          </cell>
        </row>
        <row r="681">
          <cell r="A681" t="str">
            <v>41</v>
          </cell>
          <cell r="B681" t="str">
            <v>68916</v>
          </cell>
          <cell r="C681" t="str">
            <v>San Mateo</v>
          </cell>
          <cell r="D681" t="str">
            <v>Jefferson Elementary</v>
          </cell>
          <cell r="E681">
            <v>5993</v>
          </cell>
          <cell r="F681">
            <v>101881</v>
          </cell>
          <cell r="G681">
            <v>14</v>
          </cell>
        </row>
        <row r="682">
          <cell r="A682" t="str">
            <v>41</v>
          </cell>
          <cell r="B682" t="str">
            <v>68924</v>
          </cell>
          <cell r="C682" t="str">
            <v>San Mateo</v>
          </cell>
          <cell r="D682" t="str">
            <v>Jefferson Union High</v>
          </cell>
          <cell r="E682">
            <v>5150</v>
          </cell>
          <cell r="F682">
            <v>87938</v>
          </cell>
          <cell r="G682">
            <v>5</v>
          </cell>
        </row>
        <row r="683">
          <cell r="A683" t="str">
            <v>41</v>
          </cell>
          <cell r="B683" t="str">
            <v>68932</v>
          </cell>
          <cell r="C683" t="str">
            <v>San Mateo</v>
          </cell>
          <cell r="D683" t="str">
            <v>Pacifica</v>
          </cell>
          <cell r="E683">
            <v>3103</v>
          </cell>
          <cell r="F683">
            <v>55652</v>
          </cell>
          <cell r="G683">
            <v>7</v>
          </cell>
        </row>
        <row r="684">
          <cell r="A684" t="str">
            <v>41</v>
          </cell>
          <cell r="B684" t="str">
            <v>68940</v>
          </cell>
          <cell r="C684" t="str">
            <v>San Mateo</v>
          </cell>
          <cell r="D684" t="str">
            <v>La Honda-Pescadero Unified</v>
          </cell>
          <cell r="E684">
            <v>371</v>
          </cell>
          <cell r="F684">
            <v>10692</v>
          </cell>
          <cell r="G684">
            <v>3</v>
          </cell>
        </row>
        <row r="685">
          <cell r="A685" t="str">
            <v>41</v>
          </cell>
          <cell r="B685" t="str">
            <v>68957</v>
          </cell>
          <cell r="C685" t="str">
            <v>San Mateo</v>
          </cell>
          <cell r="D685" t="str">
            <v>Las Lomitas Elementary</v>
          </cell>
          <cell r="E685">
            <v>1191</v>
          </cell>
          <cell r="F685">
            <v>20247</v>
          </cell>
          <cell r="G685">
            <v>2</v>
          </cell>
        </row>
        <row r="686">
          <cell r="A686" t="str">
            <v>41</v>
          </cell>
          <cell r="B686" t="str">
            <v>68965</v>
          </cell>
          <cell r="C686" t="str">
            <v>San Mateo</v>
          </cell>
          <cell r="D686" t="str">
            <v>Menlo Park City Elementary</v>
          </cell>
          <cell r="E686">
            <v>2407</v>
          </cell>
          <cell r="F686">
            <v>40919</v>
          </cell>
          <cell r="G686">
            <v>4</v>
          </cell>
        </row>
        <row r="687">
          <cell r="A687" t="str">
            <v>41</v>
          </cell>
          <cell r="B687" t="str">
            <v>68973</v>
          </cell>
          <cell r="C687" t="str">
            <v>San Mateo</v>
          </cell>
          <cell r="D687" t="str">
            <v>Millbrae Elementary</v>
          </cell>
          <cell r="E687">
            <v>2135</v>
          </cell>
          <cell r="F687">
            <v>36296</v>
          </cell>
          <cell r="G687">
            <v>5</v>
          </cell>
        </row>
        <row r="688">
          <cell r="A688" t="str">
            <v>41</v>
          </cell>
          <cell r="B688" t="str">
            <v>68981</v>
          </cell>
          <cell r="C688" t="str">
            <v>San Mateo</v>
          </cell>
          <cell r="D688" t="str">
            <v>Portola Valley Elementary</v>
          </cell>
          <cell r="E688">
            <v>737</v>
          </cell>
          <cell r="F688">
            <v>12529</v>
          </cell>
          <cell r="G688">
            <v>2</v>
          </cell>
        </row>
        <row r="689">
          <cell r="A689" t="str">
            <v>41</v>
          </cell>
          <cell r="B689" t="str">
            <v>68999</v>
          </cell>
          <cell r="C689" t="str">
            <v>San Mateo</v>
          </cell>
          <cell r="D689" t="str">
            <v>Ravenswood City Elementary</v>
          </cell>
          <cell r="E689">
            <v>3594</v>
          </cell>
          <cell r="F689">
            <v>61098</v>
          </cell>
          <cell r="G689">
            <v>8</v>
          </cell>
        </row>
        <row r="690">
          <cell r="A690" t="str">
            <v>41</v>
          </cell>
          <cell r="B690" t="str">
            <v>69005</v>
          </cell>
          <cell r="C690" t="str">
            <v>San Mateo</v>
          </cell>
          <cell r="D690" t="str">
            <v>Redwood City Elementary</v>
          </cell>
          <cell r="E690">
            <v>8180</v>
          </cell>
          <cell r="F690">
            <v>141618</v>
          </cell>
          <cell r="G690">
            <v>16</v>
          </cell>
        </row>
        <row r="691">
          <cell r="A691" t="str">
            <v>41</v>
          </cell>
          <cell r="B691" t="str">
            <v>69013</v>
          </cell>
          <cell r="C691" t="str">
            <v>San Mateo</v>
          </cell>
          <cell r="D691" t="str">
            <v>San Bruno Park Elementary</v>
          </cell>
          <cell r="E691">
            <v>2619</v>
          </cell>
          <cell r="F691">
            <v>44523</v>
          </cell>
          <cell r="G691">
            <v>8</v>
          </cell>
        </row>
        <row r="692">
          <cell r="A692" t="str">
            <v>41</v>
          </cell>
          <cell r="B692" t="str">
            <v>69021</v>
          </cell>
          <cell r="C692" t="str">
            <v>San Mateo</v>
          </cell>
          <cell r="D692" t="str">
            <v>San Carlos Elementary</v>
          </cell>
          <cell r="E692">
            <v>2686</v>
          </cell>
          <cell r="F692">
            <v>45662</v>
          </cell>
          <cell r="G692">
            <v>6</v>
          </cell>
        </row>
        <row r="693">
          <cell r="A693" t="str">
            <v>41</v>
          </cell>
          <cell r="B693" t="str">
            <v>69039</v>
          </cell>
          <cell r="C693" t="str">
            <v>San Mateo</v>
          </cell>
          <cell r="D693" t="str">
            <v>San Mateo-Foster City Elementary</v>
          </cell>
          <cell r="E693">
            <v>10329</v>
          </cell>
          <cell r="F693">
            <v>175596</v>
          </cell>
          <cell r="G693">
            <v>20</v>
          </cell>
        </row>
        <row r="694">
          <cell r="A694" t="str">
            <v>41</v>
          </cell>
          <cell r="B694" t="str">
            <v>69047</v>
          </cell>
          <cell r="C694" t="str">
            <v>San Mateo</v>
          </cell>
          <cell r="D694" t="str">
            <v>San Mateo Union High</v>
          </cell>
          <cell r="E694">
            <v>8549</v>
          </cell>
          <cell r="F694">
            <v>145339</v>
          </cell>
          <cell r="G694">
            <v>7</v>
          </cell>
        </row>
        <row r="695">
          <cell r="A695" t="str">
            <v>41</v>
          </cell>
          <cell r="B695" t="str">
            <v>69062</v>
          </cell>
          <cell r="C695" t="str">
            <v>San Mateo</v>
          </cell>
          <cell r="D695" t="str">
            <v>Sequoia Union High</v>
          </cell>
          <cell r="E695">
            <v>8252</v>
          </cell>
          <cell r="F695">
            <v>140288</v>
          </cell>
          <cell r="G695">
            <v>5</v>
          </cell>
        </row>
        <row r="696">
          <cell r="A696" t="str">
            <v>41</v>
          </cell>
          <cell r="B696" t="str">
            <v>69070</v>
          </cell>
          <cell r="C696" t="str">
            <v>San Mateo</v>
          </cell>
          <cell r="D696" t="str">
            <v>South San Francisco Unified</v>
          </cell>
          <cell r="E696">
            <v>9349</v>
          </cell>
          <cell r="F696">
            <v>160290</v>
          </cell>
          <cell r="G696">
            <v>15</v>
          </cell>
        </row>
        <row r="697">
          <cell r="A697" t="str">
            <v>41</v>
          </cell>
          <cell r="B697" t="str">
            <v>69088</v>
          </cell>
          <cell r="C697" t="str">
            <v>San Mateo</v>
          </cell>
          <cell r="D697" t="str">
            <v>Woodside Elementary</v>
          </cell>
          <cell r="E697">
            <v>458</v>
          </cell>
          <cell r="F697">
            <v>7786</v>
          </cell>
          <cell r="G697">
            <v>1</v>
          </cell>
        </row>
        <row r="698">
          <cell r="A698" t="str">
            <v>42</v>
          </cell>
          <cell r="B698" t="str">
            <v>10421</v>
          </cell>
          <cell r="C698" t="str">
            <v>Santa Barbara</v>
          </cell>
          <cell r="D698" t="str">
            <v>Santa Barbara County Office of Education</v>
          </cell>
          <cell r="E698">
            <v>837</v>
          </cell>
          <cell r="F698">
            <v>18866</v>
          </cell>
          <cell r="G698">
            <v>5</v>
          </cell>
        </row>
        <row r="699">
          <cell r="A699" t="str">
            <v>42</v>
          </cell>
          <cell r="B699" t="str">
            <v>69104</v>
          </cell>
          <cell r="C699" t="str">
            <v>Santa Barbara</v>
          </cell>
          <cell r="D699" t="str">
            <v>Ballard Elementary</v>
          </cell>
          <cell r="E699">
            <v>108</v>
          </cell>
          <cell r="F699">
            <v>3564</v>
          </cell>
          <cell r="G699">
            <v>1</v>
          </cell>
        </row>
        <row r="700">
          <cell r="A700" t="str">
            <v>42</v>
          </cell>
          <cell r="B700" t="str">
            <v>69112</v>
          </cell>
          <cell r="C700" t="str">
            <v>Santa Barbara</v>
          </cell>
          <cell r="D700" t="str">
            <v>Blochman Union Elementary</v>
          </cell>
          <cell r="E700">
            <v>475</v>
          </cell>
          <cell r="F700">
            <v>10075</v>
          </cell>
          <cell r="G700">
            <v>2</v>
          </cell>
        </row>
        <row r="701">
          <cell r="A701" t="str">
            <v>42</v>
          </cell>
          <cell r="B701" t="str">
            <v>69120</v>
          </cell>
          <cell r="C701" t="str">
            <v>Santa Barbara</v>
          </cell>
          <cell r="D701" t="str">
            <v>Santa Maria-Bonita</v>
          </cell>
          <cell r="E701">
            <v>13226</v>
          </cell>
          <cell r="F701">
            <v>224850</v>
          </cell>
          <cell r="G701">
            <v>19</v>
          </cell>
        </row>
        <row r="702">
          <cell r="A702" t="str">
            <v>42</v>
          </cell>
          <cell r="B702" t="str">
            <v>69138</v>
          </cell>
          <cell r="C702" t="str">
            <v>Santa Barbara</v>
          </cell>
          <cell r="D702" t="str">
            <v>Buellton Union Elementary</v>
          </cell>
          <cell r="E702">
            <v>693</v>
          </cell>
          <cell r="F702">
            <v>11781</v>
          </cell>
          <cell r="G702">
            <v>2</v>
          </cell>
        </row>
        <row r="703">
          <cell r="A703" t="str">
            <v>42</v>
          </cell>
          <cell r="B703" t="str">
            <v>69146</v>
          </cell>
          <cell r="C703" t="str">
            <v>Santa Barbara</v>
          </cell>
          <cell r="D703" t="str">
            <v>Carpinteria Unified</v>
          </cell>
          <cell r="E703">
            <v>2463</v>
          </cell>
          <cell r="F703">
            <v>52524</v>
          </cell>
          <cell r="G703">
            <v>8</v>
          </cell>
        </row>
        <row r="704">
          <cell r="A704" t="str">
            <v>42</v>
          </cell>
          <cell r="B704" t="str">
            <v>69161</v>
          </cell>
          <cell r="C704" t="str">
            <v>Santa Barbara</v>
          </cell>
          <cell r="D704" t="str">
            <v>Cold Spring Elementary</v>
          </cell>
          <cell r="E704">
            <v>198</v>
          </cell>
          <cell r="F704">
            <v>3564</v>
          </cell>
          <cell r="G704">
            <v>1</v>
          </cell>
        </row>
        <row r="705">
          <cell r="A705" t="str">
            <v>42</v>
          </cell>
          <cell r="B705" t="str">
            <v>69179</v>
          </cell>
          <cell r="C705" t="str">
            <v>Santa Barbara</v>
          </cell>
          <cell r="D705" t="str">
            <v>College Elementary</v>
          </cell>
          <cell r="E705">
            <v>208</v>
          </cell>
          <cell r="F705">
            <v>7128</v>
          </cell>
          <cell r="G705">
            <v>2</v>
          </cell>
        </row>
        <row r="706">
          <cell r="A706" t="str">
            <v>42</v>
          </cell>
          <cell r="B706" t="str">
            <v>69195</v>
          </cell>
          <cell r="C706" t="str">
            <v>Santa Barbara</v>
          </cell>
          <cell r="D706" t="str">
            <v>Goleta Union Elementary</v>
          </cell>
          <cell r="E706">
            <v>3608</v>
          </cell>
          <cell r="F706">
            <v>61336</v>
          </cell>
          <cell r="G706">
            <v>9</v>
          </cell>
        </row>
        <row r="707">
          <cell r="A707" t="str">
            <v>42</v>
          </cell>
          <cell r="B707" t="str">
            <v>69203</v>
          </cell>
          <cell r="C707" t="str">
            <v>Santa Barbara</v>
          </cell>
          <cell r="D707" t="str">
            <v>Guadalupe Union Elementary</v>
          </cell>
          <cell r="E707">
            <v>1127</v>
          </cell>
          <cell r="F707">
            <v>19160</v>
          </cell>
          <cell r="G707">
            <v>2</v>
          </cell>
        </row>
        <row r="708">
          <cell r="A708" t="str">
            <v>42</v>
          </cell>
          <cell r="B708" t="str">
            <v>69211</v>
          </cell>
          <cell r="C708" t="str">
            <v>Santa Barbara</v>
          </cell>
          <cell r="D708" t="str">
            <v>Hope Elementary</v>
          </cell>
          <cell r="E708">
            <v>980</v>
          </cell>
          <cell r="F708">
            <v>16660</v>
          </cell>
          <cell r="G708">
            <v>3</v>
          </cell>
        </row>
        <row r="709">
          <cell r="A709" t="str">
            <v>42</v>
          </cell>
          <cell r="B709" t="str">
            <v>69229</v>
          </cell>
          <cell r="C709" t="str">
            <v>Santa Barbara</v>
          </cell>
          <cell r="D709" t="str">
            <v>Lompoc Unified</v>
          </cell>
          <cell r="E709">
            <v>10083</v>
          </cell>
          <cell r="F709">
            <v>177943</v>
          </cell>
          <cell r="G709">
            <v>16</v>
          </cell>
        </row>
        <row r="710">
          <cell r="A710" t="str">
            <v>42</v>
          </cell>
          <cell r="B710" t="str">
            <v>69237</v>
          </cell>
          <cell r="C710" t="str">
            <v>Santa Barbara</v>
          </cell>
          <cell r="D710" t="str">
            <v>Los Alamos Elementary</v>
          </cell>
          <cell r="E710">
            <v>221</v>
          </cell>
          <cell r="F710">
            <v>3757</v>
          </cell>
          <cell r="G710">
            <v>1</v>
          </cell>
        </row>
        <row r="711">
          <cell r="A711" t="str">
            <v>42</v>
          </cell>
          <cell r="B711" t="str">
            <v>69245</v>
          </cell>
          <cell r="C711" t="str">
            <v>Santa Barbara</v>
          </cell>
          <cell r="D711" t="str">
            <v>Los Olivos Elementary</v>
          </cell>
          <cell r="E711">
            <v>670</v>
          </cell>
          <cell r="F711">
            <v>11390</v>
          </cell>
          <cell r="G711">
            <v>2</v>
          </cell>
        </row>
        <row r="712">
          <cell r="A712" t="str">
            <v>42</v>
          </cell>
          <cell r="B712" t="str">
            <v>69252</v>
          </cell>
          <cell r="C712" t="str">
            <v>Santa Barbara</v>
          </cell>
          <cell r="D712" t="str">
            <v>Montecito Union Elementary</v>
          </cell>
          <cell r="E712">
            <v>399</v>
          </cell>
          <cell r="F712">
            <v>6783</v>
          </cell>
          <cell r="G712">
            <v>1</v>
          </cell>
        </row>
        <row r="713">
          <cell r="A713" t="str">
            <v>42</v>
          </cell>
          <cell r="B713" t="str">
            <v>69260</v>
          </cell>
          <cell r="C713" t="str">
            <v>Santa Barbara</v>
          </cell>
          <cell r="D713" t="str">
            <v>Orcutt Union Elementary</v>
          </cell>
          <cell r="E713">
            <v>4655</v>
          </cell>
          <cell r="F713">
            <v>79135</v>
          </cell>
          <cell r="G713">
            <v>9</v>
          </cell>
        </row>
        <row r="714">
          <cell r="A714" t="str">
            <v>42</v>
          </cell>
          <cell r="B714" t="str">
            <v>69278</v>
          </cell>
          <cell r="C714" t="str">
            <v>Santa Barbara</v>
          </cell>
          <cell r="D714" t="str">
            <v>Santa Barbara Elementary</v>
          </cell>
          <cell r="E714">
            <v>5045</v>
          </cell>
          <cell r="F714">
            <v>88643</v>
          </cell>
          <cell r="G714">
            <v>13</v>
          </cell>
        </row>
        <row r="715">
          <cell r="A715" t="str">
            <v>42</v>
          </cell>
          <cell r="B715" t="str">
            <v>69286</v>
          </cell>
          <cell r="C715" t="str">
            <v>Santa Barbara</v>
          </cell>
          <cell r="D715" t="str">
            <v>Santa Barbara High</v>
          </cell>
          <cell r="E715">
            <v>9905</v>
          </cell>
          <cell r="F715">
            <v>183434</v>
          </cell>
          <cell r="G715">
            <v>13</v>
          </cell>
        </row>
        <row r="716">
          <cell r="A716" t="str">
            <v>42</v>
          </cell>
          <cell r="B716" t="str">
            <v>69310</v>
          </cell>
          <cell r="C716" t="str">
            <v>Santa Barbara</v>
          </cell>
          <cell r="D716" t="str">
            <v>Santa Maria Joint Union High</v>
          </cell>
          <cell r="E716">
            <v>7752</v>
          </cell>
          <cell r="F716">
            <v>131790</v>
          </cell>
          <cell r="G716">
            <v>4</v>
          </cell>
        </row>
        <row r="717">
          <cell r="A717" t="str">
            <v>42</v>
          </cell>
          <cell r="B717" t="str">
            <v>69328</v>
          </cell>
          <cell r="C717" t="str">
            <v>Santa Barbara</v>
          </cell>
          <cell r="D717" t="str">
            <v>Santa Ynez Valley Union High</v>
          </cell>
          <cell r="E717">
            <v>1162</v>
          </cell>
          <cell r="F717">
            <v>22605</v>
          </cell>
          <cell r="G717">
            <v>2</v>
          </cell>
        </row>
        <row r="718">
          <cell r="A718" t="str">
            <v>42</v>
          </cell>
          <cell r="B718" t="str">
            <v>69336</v>
          </cell>
          <cell r="C718" t="str">
            <v>Santa Barbara</v>
          </cell>
          <cell r="D718" t="str">
            <v>Solvang Elementary</v>
          </cell>
          <cell r="E718">
            <v>597</v>
          </cell>
          <cell r="F718">
            <v>10149</v>
          </cell>
          <cell r="G718">
            <v>1</v>
          </cell>
        </row>
        <row r="719">
          <cell r="A719" t="str">
            <v>42</v>
          </cell>
          <cell r="B719" t="str">
            <v>69344</v>
          </cell>
          <cell r="C719" t="str">
            <v>Santa Barbara</v>
          </cell>
          <cell r="D719" t="str">
            <v>Vista del Mar Union</v>
          </cell>
          <cell r="E719">
            <v>89</v>
          </cell>
          <cell r="F719">
            <v>3564</v>
          </cell>
          <cell r="G719">
            <v>1</v>
          </cell>
        </row>
        <row r="720">
          <cell r="A720" t="str">
            <v>42</v>
          </cell>
          <cell r="B720" t="str">
            <v>75010</v>
          </cell>
          <cell r="C720" t="str">
            <v>Santa Barbara</v>
          </cell>
          <cell r="D720" t="str">
            <v>Cuyama Joint Unified</v>
          </cell>
          <cell r="E720">
            <v>275</v>
          </cell>
          <cell r="F720">
            <v>9356</v>
          </cell>
          <cell r="G720">
            <v>3</v>
          </cell>
        </row>
        <row r="721">
          <cell r="A721" t="str">
            <v>43</v>
          </cell>
          <cell r="B721" t="str">
            <v>10439</v>
          </cell>
          <cell r="C721" t="str">
            <v>Santa Clara</v>
          </cell>
          <cell r="D721" t="str">
            <v>Santa Clara County Office of Education</v>
          </cell>
          <cell r="E721">
            <v>2252</v>
          </cell>
          <cell r="F721">
            <v>46529</v>
          </cell>
          <cell r="G721">
            <v>6</v>
          </cell>
        </row>
        <row r="722">
          <cell r="A722" t="str">
            <v>43</v>
          </cell>
          <cell r="B722" t="str">
            <v>69369</v>
          </cell>
          <cell r="C722" t="str">
            <v>Santa Clara</v>
          </cell>
          <cell r="D722" t="str">
            <v>Alum Rock Union Elementary</v>
          </cell>
          <cell r="E722">
            <v>13454</v>
          </cell>
          <cell r="F722">
            <v>228718</v>
          </cell>
          <cell r="G722">
            <v>27</v>
          </cell>
        </row>
        <row r="723">
          <cell r="A723" t="str">
            <v>43</v>
          </cell>
          <cell r="B723" t="str">
            <v>69377</v>
          </cell>
          <cell r="C723" t="str">
            <v>Santa Clara</v>
          </cell>
          <cell r="D723" t="str">
            <v>Berryessa Union Elementary</v>
          </cell>
          <cell r="E723">
            <v>8342</v>
          </cell>
          <cell r="F723">
            <v>143943</v>
          </cell>
          <cell r="G723">
            <v>14</v>
          </cell>
        </row>
        <row r="724">
          <cell r="A724" t="str">
            <v>43</v>
          </cell>
          <cell r="B724" t="str">
            <v>69385</v>
          </cell>
          <cell r="C724" t="str">
            <v>Santa Clara</v>
          </cell>
          <cell r="D724" t="str">
            <v>Cambrian</v>
          </cell>
          <cell r="E724">
            <v>3139</v>
          </cell>
          <cell r="F724">
            <v>55388</v>
          </cell>
          <cell r="G724">
            <v>6</v>
          </cell>
        </row>
        <row r="725">
          <cell r="A725" t="str">
            <v>43</v>
          </cell>
          <cell r="B725" t="str">
            <v>69393</v>
          </cell>
          <cell r="C725" t="str">
            <v>Santa Clara</v>
          </cell>
          <cell r="D725" t="str">
            <v>Campbell Union Elementary</v>
          </cell>
          <cell r="E725">
            <v>7269</v>
          </cell>
          <cell r="F725">
            <v>125701</v>
          </cell>
          <cell r="G725">
            <v>13</v>
          </cell>
        </row>
        <row r="726">
          <cell r="A726" t="str">
            <v>43</v>
          </cell>
          <cell r="B726" t="str">
            <v>69401</v>
          </cell>
          <cell r="C726" t="str">
            <v>Santa Clara</v>
          </cell>
          <cell r="D726" t="str">
            <v>Campbell Union High</v>
          </cell>
          <cell r="E726">
            <v>7763</v>
          </cell>
          <cell r="F726">
            <v>134928</v>
          </cell>
          <cell r="G726">
            <v>7</v>
          </cell>
        </row>
        <row r="727">
          <cell r="A727" t="str">
            <v>43</v>
          </cell>
          <cell r="B727" t="str">
            <v>69419</v>
          </cell>
          <cell r="C727" t="str">
            <v>Santa Clara</v>
          </cell>
          <cell r="D727" t="str">
            <v>Cupertino Union</v>
          </cell>
          <cell r="E727">
            <v>17574</v>
          </cell>
          <cell r="F727">
            <v>298764</v>
          </cell>
          <cell r="G727">
            <v>25</v>
          </cell>
        </row>
        <row r="728">
          <cell r="A728" t="str">
            <v>43</v>
          </cell>
          <cell r="B728" t="str">
            <v>69427</v>
          </cell>
          <cell r="C728" t="str">
            <v>Santa Clara</v>
          </cell>
          <cell r="D728" t="str">
            <v>East Side Union High</v>
          </cell>
          <cell r="E728">
            <v>25052</v>
          </cell>
          <cell r="F728">
            <v>435022</v>
          </cell>
          <cell r="G728">
            <v>16</v>
          </cell>
        </row>
        <row r="729">
          <cell r="A729" t="str">
            <v>43</v>
          </cell>
          <cell r="B729" t="str">
            <v>69435</v>
          </cell>
          <cell r="C729" t="str">
            <v>Santa Clara</v>
          </cell>
          <cell r="D729" t="str">
            <v>Evergreen Elementary</v>
          </cell>
          <cell r="E729">
            <v>13375</v>
          </cell>
          <cell r="F729">
            <v>227383</v>
          </cell>
          <cell r="G729">
            <v>18</v>
          </cell>
        </row>
        <row r="730">
          <cell r="A730" t="str">
            <v>43</v>
          </cell>
          <cell r="B730" t="str">
            <v>69450</v>
          </cell>
          <cell r="C730" t="str">
            <v>Santa Clara</v>
          </cell>
          <cell r="D730" t="str">
            <v>Franklin-McKinley Elementary</v>
          </cell>
          <cell r="E730">
            <v>9899</v>
          </cell>
          <cell r="F730">
            <v>168285</v>
          </cell>
          <cell r="G730">
            <v>16</v>
          </cell>
        </row>
        <row r="731">
          <cell r="A731" t="str">
            <v>43</v>
          </cell>
          <cell r="B731" t="str">
            <v>69468</v>
          </cell>
          <cell r="C731" t="str">
            <v>Santa Clara</v>
          </cell>
          <cell r="D731" t="str">
            <v>Fremont Union High</v>
          </cell>
          <cell r="E731">
            <v>10318</v>
          </cell>
          <cell r="F731">
            <v>177453</v>
          </cell>
          <cell r="G731">
            <v>6</v>
          </cell>
        </row>
        <row r="732">
          <cell r="A732" t="str">
            <v>43</v>
          </cell>
          <cell r="B732" t="str">
            <v>69484</v>
          </cell>
          <cell r="C732" t="str">
            <v>Santa Clara</v>
          </cell>
          <cell r="D732" t="str">
            <v>Gilroy Unified</v>
          </cell>
          <cell r="E732">
            <v>10564</v>
          </cell>
          <cell r="F732">
            <v>182947</v>
          </cell>
          <cell r="G732">
            <v>15</v>
          </cell>
        </row>
        <row r="733">
          <cell r="A733" t="str">
            <v>43</v>
          </cell>
          <cell r="B733" t="str">
            <v>69492</v>
          </cell>
          <cell r="C733" t="str">
            <v>Santa Clara</v>
          </cell>
          <cell r="D733" t="str">
            <v>Lakeside Joint</v>
          </cell>
          <cell r="E733">
            <v>82</v>
          </cell>
          <cell r="F733">
            <v>3564</v>
          </cell>
          <cell r="G733">
            <v>1</v>
          </cell>
        </row>
        <row r="734">
          <cell r="A734" t="str">
            <v>43</v>
          </cell>
          <cell r="B734" t="str">
            <v>69500</v>
          </cell>
          <cell r="C734" t="str">
            <v>Santa Clara</v>
          </cell>
          <cell r="D734" t="str">
            <v>Loma Prieta Joint Union Elementary</v>
          </cell>
          <cell r="E734">
            <v>405</v>
          </cell>
          <cell r="F734">
            <v>7848</v>
          </cell>
          <cell r="G734">
            <v>2</v>
          </cell>
        </row>
        <row r="735">
          <cell r="A735" t="str">
            <v>43</v>
          </cell>
          <cell r="B735" t="str">
            <v>69518</v>
          </cell>
          <cell r="C735" t="str">
            <v>Santa Clara</v>
          </cell>
          <cell r="D735" t="str">
            <v>Los Altos Elementary</v>
          </cell>
          <cell r="E735">
            <v>4245</v>
          </cell>
          <cell r="F735">
            <v>72295</v>
          </cell>
          <cell r="G735">
            <v>9</v>
          </cell>
        </row>
        <row r="736">
          <cell r="A736" t="str">
            <v>43</v>
          </cell>
          <cell r="B736" t="str">
            <v>69526</v>
          </cell>
          <cell r="C736" t="str">
            <v>Santa Clara</v>
          </cell>
          <cell r="D736" t="str">
            <v>Los Gatos Union Elementary</v>
          </cell>
          <cell r="E736">
            <v>2822</v>
          </cell>
          <cell r="F736">
            <v>48683</v>
          </cell>
          <cell r="G736">
            <v>5</v>
          </cell>
        </row>
        <row r="737">
          <cell r="A737" t="str">
            <v>43</v>
          </cell>
          <cell r="B737" t="str">
            <v>69534</v>
          </cell>
          <cell r="C737" t="str">
            <v>Santa Clara</v>
          </cell>
          <cell r="D737" t="str">
            <v>Los Gatos-Saratoga Joint Union High</v>
          </cell>
          <cell r="E737">
            <v>3182</v>
          </cell>
          <cell r="F737">
            <v>54096</v>
          </cell>
          <cell r="G737">
            <v>2</v>
          </cell>
        </row>
        <row r="738">
          <cell r="A738" t="str">
            <v>43</v>
          </cell>
          <cell r="B738" t="str">
            <v>69542</v>
          </cell>
          <cell r="C738" t="str">
            <v>Santa Clara</v>
          </cell>
          <cell r="D738" t="str">
            <v>Luther Burbank</v>
          </cell>
          <cell r="E738">
            <v>576</v>
          </cell>
          <cell r="F738">
            <v>9792</v>
          </cell>
          <cell r="G738">
            <v>1</v>
          </cell>
        </row>
        <row r="739">
          <cell r="A739" t="str">
            <v>43</v>
          </cell>
          <cell r="B739" t="str">
            <v>69567</v>
          </cell>
          <cell r="C739" t="str">
            <v>Santa Clara</v>
          </cell>
          <cell r="D739" t="str">
            <v>Montebello Elementary</v>
          </cell>
          <cell r="E739">
            <v>10</v>
          </cell>
          <cell r="F739">
            <v>2228</v>
          </cell>
          <cell r="G739">
            <v>1</v>
          </cell>
        </row>
        <row r="740">
          <cell r="A740" t="str">
            <v>43</v>
          </cell>
          <cell r="B740" t="str">
            <v>69575</v>
          </cell>
          <cell r="C740" t="str">
            <v>Santa Clara</v>
          </cell>
          <cell r="D740" t="str">
            <v>Moreland Elementary</v>
          </cell>
          <cell r="E740">
            <v>4001</v>
          </cell>
          <cell r="F740">
            <v>68018</v>
          </cell>
          <cell r="G740">
            <v>6</v>
          </cell>
        </row>
        <row r="741">
          <cell r="A741" t="str">
            <v>43</v>
          </cell>
          <cell r="B741" t="str">
            <v>69583</v>
          </cell>
          <cell r="C741" t="str">
            <v>Santa Clara</v>
          </cell>
          <cell r="D741" t="str">
            <v>Morgan Hill Unified</v>
          </cell>
          <cell r="E741">
            <v>9198</v>
          </cell>
          <cell r="F741">
            <v>157195</v>
          </cell>
          <cell r="G741">
            <v>14</v>
          </cell>
        </row>
        <row r="742">
          <cell r="A742" t="str">
            <v>43</v>
          </cell>
          <cell r="B742" t="str">
            <v>69591</v>
          </cell>
          <cell r="C742" t="str">
            <v>Santa Clara</v>
          </cell>
          <cell r="D742" t="str">
            <v>Mountain View Whisman</v>
          </cell>
          <cell r="E742">
            <v>4458</v>
          </cell>
          <cell r="F742">
            <v>75786</v>
          </cell>
          <cell r="G742">
            <v>8</v>
          </cell>
        </row>
        <row r="743">
          <cell r="A743" t="str">
            <v>43</v>
          </cell>
          <cell r="B743" t="str">
            <v>69609</v>
          </cell>
          <cell r="C743" t="str">
            <v>Santa Clara</v>
          </cell>
          <cell r="D743" t="str">
            <v>Mountain View-Los Altos Union High</v>
          </cell>
          <cell r="E743">
            <v>3656</v>
          </cell>
          <cell r="F743">
            <v>63049</v>
          </cell>
          <cell r="G743">
            <v>3</v>
          </cell>
        </row>
        <row r="744">
          <cell r="A744" t="str">
            <v>43</v>
          </cell>
          <cell r="B744" t="str">
            <v>69617</v>
          </cell>
          <cell r="C744" t="str">
            <v>Santa Clara</v>
          </cell>
          <cell r="D744" t="str">
            <v>Mt. Pleasant Elementary</v>
          </cell>
          <cell r="E744">
            <v>2963</v>
          </cell>
          <cell r="F744">
            <v>50372</v>
          </cell>
          <cell r="G744">
            <v>5</v>
          </cell>
        </row>
        <row r="745">
          <cell r="A745" t="str">
            <v>43</v>
          </cell>
          <cell r="B745" t="str">
            <v>69625</v>
          </cell>
          <cell r="C745" t="str">
            <v>Santa Clara</v>
          </cell>
          <cell r="D745" t="str">
            <v>Oak Grove Elementary</v>
          </cell>
          <cell r="E745">
            <v>11748</v>
          </cell>
          <cell r="F745">
            <v>201692</v>
          </cell>
          <cell r="G745">
            <v>20</v>
          </cell>
        </row>
        <row r="746">
          <cell r="A746" t="str">
            <v>43</v>
          </cell>
          <cell r="B746" t="str">
            <v>69633</v>
          </cell>
          <cell r="C746" t="str">
            <v>Santa Clara</v>
          </cell>
          <cell r="D746" t="str">
            <v>Orchard Elementary</v>
          </cell>
          <cell r="E746">
            <v>832</v>
          </cell>
          <cell r="F746">
            <v>14145</v>
          </cell>
          <cell r="G746">
            <v>1</v>
          </cell>
        </row>
        <row r="747">
          <cell r="A747" t="str">
            <v>43</v>
          </cell>
          <cell r="B747" t="str">
            <v>69641</v>
          </cell>
          <cell r="C747" t="str">
            <v>Santa Clara</v>
          </cell>
          <cell r="D747" t="str">
            <v>Palo Alto Unified</v>
          </cell>
          <cell r="E747">
            <v>11382</v>
          </cell>
          <cell r="F747">
            <v>199385</v>
          </cell>
          <cell r="G747">
            <v>19</v>
          </cell>
        </row>
        <row r="748">
          <cell r="A748" t="str">
            <v>43</v>
          </cell>
          <cell r="B748" t="str">
            <v>69666</v>
          </cell>
          <cell r="C748" t="str">
            <v>Santa Clara</v>
          </cell>
          <cell r="D748" t="str">
            <v>San Jose Unified</v>
          </cell>
          <cell r="E748">
            <v>31459</v>
          </cell>
          <cell r="F748">
            <v>562238</v>
          </cell>
          <cell r="G748">
            <v>51</v>
          </cell>
        </row>
        <row r="749">
          <cell r="A749" t="str">
            <v>43</v>
          </cell>
          <cell r="B749" t="str">
            <v>69674</v>
          </cell>
          <cell r="C749" t="str">
            <v>Santa Clara</v>
          </cell>
          <cell r="D749" t="str">
            <v>Santa Clara Unified</v>
          </cell>
          <cell r="E749">
            <v>14637</v>
          </cell>
          <cell r="F749">
            <v>249729</v>
          </cell>
          <cell r="G749">
            <v>24</v>
          </cell>
        </row>
        <row r="750">
          <cell r="A750" t="str">
            <v>43</v>
          </cell>
          <cell r="B750" t="str">
            <v>69682</v>
          </cell>
          <cell r="C750" t="str">
            <v>Santa Clara</v>
          </cell>
          <cell r="D750" t="str">
            <v>Saratoga Union Elementary</v>
          </cell>
          <cell r="E750">
            <v>2261</v>
          </cell>
          <cell r="F750">
            <v>38438</v>
          </cell>
          <cell r="G750">
            <v>4</v>
          </cell>
        </row>
        <row r="751">
          <cell r="A751" t="str">
            <v>43</v>
          </cell>
          <cell r="B751" t="str">
            <v>69690</v>
          </cell>
          <cell r="C751" t="str">
            <v>Santa Clara</v>
          </cell>
          <cell r="D751" t="str">
            <v>Sunnyvale</v>
          </cell>
          <cell r="E751">
            <v>6170</v>
          </cell>
          <cell r="F751">
            <v>107035</v>
          </cell>
          <cell r="G751">
            <v>11</v>
          </cell>
        </row>
        <row r="752">
          <cell r="A752" t="str">
            <v>43</v>
          </cell>
          <cell r="B752" t="str">
            <v>69708</v>
          </cell>
          <cell r="C752" t="str">
            <v>Santa Clara</v>
          </cell>
          <cell r="D752" t="str">
            <v>Union Elementary</v>
          </cell>
          <cell r="E752">
            <v>4564</v>
          </cell>
          <cell r="F752">
            <v>77590</v>
          </cell>
          <cell r="G752">
            <v>8</v>
          </cell>
        </row>
        <row r="753">
          <cell r="A753" t="str">
            <v>43</v>
          </cell>
          <cell r="B753" t="str">
            <v>73387</v>
          </cell>
          <cell r="C753" t="str">
            <v>Santa Clara</v>
          </cell>
          <cell r="D753" t="str">
            <v>Milpitas Unified</v>
          </cell>
          <cell r="E753">
            <v>9649</v>
          </cell>
          <cell r="F753">
            <v>167662</v>
          </cell>
          <cell r="G753">
            <v>14</v>
          </cell>
        </row>
        <row r="754">
          <cell r="A754" t="str">
            <v>44</v>
          </cell>
          <cell r="B754" t="str">
            <v>10447</v>
          </cell>
          <cell r="C754" t="str">
            <v>Santa Cruz</v>
          </cell>
          <cell r="D754" t="str">
            <v>Santa Cruz County Office of Education</v>
          </cell>
          <cell r="E754">
            <v>810</v>
          </cell>
          <cell r="F754">
            <v>17158</v>
          </cell>
          <cell r="G754">
            <v>3</v>
          </cell>
        </row>
        <row r="755">
          <cell r="A755" t="str">
            <v>44</v>
          </cell>
          <cell r="B755" t="str">
            <v>69732</v>
          </cell>
          <cell r="C755" t="str">
            <v>Santa Cruz</v>
          </cell>
          <cell r="D755" t="str">
            <v>Bonny Doon Union Elementary</v>
          </cell>
          <cell r="E755">
            <v>125</v>
          </cell>
          <cell r="F755">
            <v>3564</v>
          </cell>
          <cell r="G755">
            <v>1</v>
          </cell>
        </row>
        <row r="756">
          <cell r="A756" t="str">
            <v>44</v>
          </cell>
          <cell r="B756" t="str">
            <v>69757</v>
          </cell>
          <cell r="C756" t="str">
            <v>Santa Cruz</v>
          </cell>
          <cell r="D756" t="str">
            <v>Happy Valley Elementary</v>
          </cell>
          <cell r="E756">
            <v>129</v>
          </cell>
          <cell r="F756">
            <v>3564</v>
          </cell>
          <cell r="G756">
            <v>1</v>
          </cell>
        </row>
        <row r="757">
          <cell r="A757" t="str">
            <v>44</v>
          </cell>
          <cell r="B757" t="str">
            <v>69765</v>
          </cell>
          <cell r="C757" t="str">
            <v>Santa Cruz</v>
          </cell>
          <cell r="D757" t="str">
            <v>Live Oak Elementary</v>
          </cell>
          <cell r="E757">
            <v>2161</v>
          </cell>
          <cell r="F757">
            <v>41717</v>
          </cell>
          <cell r="G757">
            <v>7</v>
          </cell>
        </row>
        <row r="758">
          <cell r="A758" t="str">
            <v>44</v>
          </cell>
          <cell r="B758" t="str">
            <v>69773</v>
          </cell>
          <cell r="C758" t="str">
            <v>Santa Cruz</v>
          </cell>
          <cell r="D758" t="str">
            <v>Mountain Elementary</v>
          </cell>
          <cell r="E758">
            <v>159</v>
          </cell>
          <cell r="F758">
            <v>3564</v>
          </cell>
          <cell r="G758">
            <v>1</v>
          </cell>
        </row>
        <row r="759">
          <cell r="A759" t="str">
            <v>44</v>
          </cell>
          <cell r="B759" t="str">
            <v>69781</v>
          </cell>
          <cell r="C759" t="str">
            <v>Santa Cruz</v>
          </cell>
          <cell r="D759" t="str">
            <v>Pacific Elementary</v>
          </cell>
          <cell r="E759">
            <v>106</v>
          </cell>
          <cell r="F759">
            <v>3564</v>
          </cell>
          <cell r="G759">
            <v>1</v>
          </cell>
        </row>
        <row r="760">
          <cell r="A760" t="str">
            <v>44</v>
          </cell>
          <cell r="B760" t="str">
            <v>69799</v>
          </cell>
          <cell r="C760" t="str">
            <v>Santa Cruz</v>
          </cell>
          <cell r="D760" t="str">
            <v>Pajaro Valley Unified</v>
          </cell>
          <cell r="E760">
            <v>19334</v>
          </cell>
          <cell r="F760">
            <v>333797</v>
          </cell>
          <cell r="G760">
            <v>32</v>
          </cell>
        </row>
        <row r="761">
          <cell r="A761" t="str">
            <v>44</v>
          </cell>
          <cell r="B761" t="str">
            <v>69807</v>
          </cell>
          <cell r="C761" t="str">
            <v>Santa Cruz</v>
          </cell>
          <cell r="D761" t="str">
            <v>San Lorenzo Valley Unified</v>
          </cell>
          <cell r="E761">
            <v>2725</v>
          </cell>
          <cell r="F761">
            <v>49516</v>
          </cell>
          <cell r="G761">
            <v>6</v>
          </cell>
        </row>
        <row r="762">
          <cell r="A762" t="str">
            <v>44</v>
          </cell>
          <cell r="B762" t="str">
            <v>69815</v>
          </cell>
          <cell r="C762" t="str">
            <v>Santa Cruz</v>
          </cell>
          <cell r="D762" t="str">
            <v>Santa Cruz City Elementary</v>
          </cell>
          <cell r="E762">
            <v>2165</v>
          </cell>
          <cell r="F762">
            <v>38890</v>
          </cell>
          <cell r="G762">
            <v>5</v>
          </cell>
        </row>
        <row r="763">
          <cell r="A763" t="str">
            <v>44</v>
          </cell>
          <cell r="B763" t="str">
            <v>69823</v>
          </cell>
          <cell r="C763" t="str">
            <v>Santa Cruz</v>
          </cell>
          <cell r="D763" t="str">
            <v>Santa Cruz City High</v>
          </cell>
          <cell r="E763">
            <v>4759</v>
          </cell>
          <cell r="F763">
            <v>86866</v>
          </cell>
          <cell r="G763">
            <v>9</v>
          </cell>
        </row>
        <row r="764">
          <cell r="A764" t="str">
            <v>44</v>
          </cell>
          <cell r="B764" t="str">
            <v>69849</v>
          </cell>
          <cell r="C764" t="str">
            <v>Santa Cruz</v>
          </cell>
          <cell r="D764" t="str">
            <v>Soquel Union Elementary</v>
          </cell>
          <cell r="E764">
            <v>1773</v>
          </cell>
          <cell r="F764">
            <v>30141</v>
          </cell>
          <cell r="G764">
            <v>4</v>
          </cell>
        </row>
        <row r="765">
          <cell r="A765" t="str">
            <v>44</v>
          </cell>
          <cell r="B765" t="str">
            <v>75432</v>
          </cell>
          <cell r="C765" t="str">
            <v>Santa Cruz</v>
          </cell>
          <cell r="D765" t="str">
            <v>Scotts Valley Unified</v>
          </cell>
          <cell r="E765">
            <v>2591</v>
          </cell>
          <cell r="F765">
            <v>44048</v>
          </cell>
          <cell r="G765">
            <v>4</v>
          </cell>
        </row>
        <row r="766">
          <cell r="A766" t="str">
            <v>45</v>
          </cell>
          <cell r="B766" t="str">
            <v>10454</v>
          </cell>
          <cell r="C766" t="str">
            <v>Shasta</v>
          </cell>
          <cell r="D766" t="str">
            <v>Shasta County Office of Education</v>
          </cell>
          <cell r="E766">
            <v>798</v>
          </cell>
          <cell r="F766">
            <v>20712</v>
          </cell>
          <cell r="G766">
            <v>4</v>
          </cell>
        </row>
        <row r="767">
          <cell r="A767" t="str">
            <v>45</v>
          </cell>
          <cell r="B767" t="str">
            <v>69856</v>
          </cell>
          <cell r="C767" t="str">
            <v>Shasta</v>
          </cell>
          <cell r="D767" t="str">
            <v>Anderson Union High</v>
          </cell>
          <cell r="E767">
            <v>2164</v>
          </cell>
          <cell r="F767">
            <v>43812</v>
          </cell>
          <cell r="G767">
            <v>7</v>
          </cell>
        </row>
        <row r="768">
          <cell r="A768" t="str">
            <v>45</v>
          </cell>
          <cell r="B768" t="str">
            <v>69872</v>
          </cell>
          <cell r="C768" t="str">
            <v>Shasta</v>
          </cell>
          <cell r="D768" t="str">
            <v>Bella Vista Elementary</v>
          </cell>
          <cell r="E768">
            <v>428</v>
          </cell>
          <cell r="F768">
            <v>7276</v>
          </cell>
          <cell r="G768">
            <v>1</v>
          </cell>
        </row>
        <row r="769">
          <cell r="A769" t="str">
            <v>45</v>
          </cell>
          <cell r="B769" t="str">
            <v>69880</v>
          </cell>
          <cell r="C769" t="str">
            <v>Shasta</v>
          </cell>
          <cell r="D769" t="str">
            <v>Black Butte Union Elementary</v>
          </cell>
          <cell r="E769">
            <v>255</v>
          </cell>
          <cell r="F769">
            <v>11584</v>
          </cell>
          <cell r="G769">
            <v>4</v>
          </cell>
        </row>
        <row r="770">
          <cell r="A770" t="str">
            <v>45</v>
          </cell>
          <cell r="B770" t="str">
            <v>69914</v>
          </cell>
          <cell r="C770" t="str">
            <v>Shasta</v>
          </cell>
          <cell r="D770" t="str">
            <v>Cascade Union Elementary</v>
          </cell>
          <cell r="E770">
            <v>1526</v>
          </cell>
          <cell r="F770">
            <v>33027</v>
          </cell>
          <cell r="G770">
            <v>7</v>
          </cell>
        </row>
        <row r="771">
          <cell r="A771" t="str">
            <v>45</v>
          </cell>
          <cell r="B771" t="str">
            <v>69922</v>
          </cell>
          <cell r="C771" t="str">
            <v>Shasta</v>
          </cell>
          <cell r="D771" t="str">
            <v>Castle Rock Union Elementary</v>
          </cell>
          <cell r="E771">
            <v>75</v>
          </cell>
          <cell r="F771">
            <v>3564</v>
          </cell>
          <cell r="G771">
            <v>1</v>
          </cell>
        </row>
        <row r="772">
          <cell r="A772" t="str">
            <v>45</v>
          </cell>
          <cell r="B772" t="str">
            <v>69948</v>
          </cell>
          <cell r="C772" t="str">
            <v>Shasta</v>
          </cell>
          <cell r="D772" t="str">
            <v>Columbia Elementary</v>
          </cell>
          <cell r="E772">
            <v>1023</v>
          </cell>
          <cell r="F772">
            <v>21677</v>
          </cell>
          <cell r="G772">
            <v>4</v>
          </cell>
        </row>
        <row r="773">
          <cell r="A773" t="str">
            <v>45</v>
          </cell>
          <cell r="B773" t="str">
            <v>69955</v>
          </cell>
          <cell r="C773" t="str">
            <v>Shasta</v>
          </cell>
          <cell r="D773" t="str">
            <v>Cottonwood Union Elementary</v>
          </cell>
          <cell r="E773">
            <v>1147</v>
          </cell>
          <cell r="F773">
            <v>21574</v>
          </cell>
          <cell r="G773">
            <v>4</v>
          </cell>
        </row>
        <row r="774">
          <cell r="A774" t="str">
            <v>45</v>
          </cell>
          <cell r="B774" t="str">
            <v>69971</v>
          </cell>
          <cell r="C774" t="str">
            <v>Shasta</v>
          </cell>
          <cell r="D774" t="str">
            <v>Enterprise Elementary</v>
          </cell>
          <cell r="E774">
            <v>3396</v>
          </cell>
          <cell r="F774">
            <v>60888</v>
          </cell>
          <cell r="G774">
            <v>8</v>
          </cell>
        </row>
        <row r="775">
          <cell r="A775" t="str">
            <v>45</v>
          </cell>
          <cell r="B775" t="str">
            <v>69989</v>
          </cell>
          <cell r="C775" t="str">
            <v>Shasta</v>
          </cell>
          <cell r="D775" t="str">
            <v>Fall River Joint Unified</v>
          </cell>
          <cell r="E775">
            <v>1211</v>
          </cell>
          <cell r="F775">
            <v>35265</v>
          </cell>
          <cell r="G775">
            <v>11</v>
          </cell>
        </row>
        <row r="776">
          <cell r="A776" t="str">
            <v>45</v>
          </cell>
          <cell r="B776" t="str">
            <v>69997</v>
          </cell>
          <cell r="C776" t="str">
            <v>Shasta</v>
          </cell>
          <cell r="D776" t="str">
            <v>French Gulch-Whiskeytown Elementary</v>
          </cell>
          <cell r="E776">
            <v>21</v>
          </cell>
          <cell r="F776">
            <v>3564</v>
          </cell>
          <cell r="G776">
            <v>1</v>
          </cell>
        </row>
        <row r="777">
          <cell r="A777" t="str">
            <v>45</v>
          </cell>
          <cell r="B777" t="str">
            <v>70003</v>
          </cell>
          <cell r="C777" t="str">
            <v>Shasta</v>
          </cell>
          <cell r="D777" t="str">
            <v>Grant Elementary</v>
          </cell>
          <cell r="E777">
            <v>612</v>
          </cell>
          <cell r="F777">
            <v>10404</v>
          </cell>
          <cell r="G777">
            <v>1</v>
          </cell>
        </row>
        <row r="778">
          <cell r="A778" t="str">
            <v>45</v>
          </cell>
          <cell r="B778" t="str">
            <v>70011</v>
          </cell>
          <cell r="C778" t="str">
            <v>Shasta</v>
          </cell>
          <cell r="D778" t="str">
            <v>Happy Valley Union Elementary</v>
          </cell>
          <cell r="E778">
            <v>569</v>
          </cell>
          <cell r="F778">
            <v>11748</v>
          </cell>
          <cell r="G778">
            <v>3</v>
          </cell>
        </row>
        <row r="779">
          <cell r="A779" t="str">
            <v>45</v>
          </cell>
          <cell r="B779" t="str">
            <v>70029</v>
          </cell>
          <cell r="C779" t="str">
            <v>Shasta</v>
          </cell>
          <cell r="D779" t="str">
            <v>Igo, Ono, Platina Union Elementary</v>
          </cell>
          <cell r="E779">
            <v>89</v>
          </cell>
          <cell r="F779">
            <v>5792</v>
          </cell>
          <cell r="G779">
            <v>2</v>
          </cell>
        </row>
        <row r="780">
          <cell r="A780" t="str">
            <v>45</v>
          </cell>
          <cell r="B780" t="str">
            <v>70037</v>
          </cell>
          <cell r="C780" t="str">
            <v>Shasta</v>
          </cell>
          <cell r="D780" t="str">
            <v>Indian Springs Elementary</v>
          </cell>
          <cell r="E780">
            <v>14</v>
          </cell>
          <cell r="F780">
            <v>2228</v>
          </cell>
          <cell r="G780">
            <v>1</v>
          </cell>
        </row>
        <row r="781">
          <cell r="A781" t="str">
            <v>45</v>
          </cell>
          <cell r="B781" t="str">
            <v>70045</v>
          </cell>
          <cell r="C781" t="str">
            <v>Shasta</v>
          </cell>
          <cell r="D781" t="str">
            <v>Junction Elementary</v>
          </cell>
          <cell r="E781">
            <v>331</v>
          </cell>
          <cell r="F781">
            <v>7128</v>
          </cell>
          <cell r="G781">
            <v>2</v>
          </cell>
        </row>
        <row r="782">
          <cell r="A782" t="str">
            <v>45</v>
          </cell>
          <cell r="B782" t="str">
            <v>70052</v>
          </cell>
          <cell r="C782" t="str">
            <v>Shasta</v>
          </cell>
          <cell r="D782" t="str">
            <v>Millville Elementary</v>
          </cell>
          <cell r="E782">
            <v>231</v>
          </cell>
          <cell r="F782">
            <v>3927</v>
          </cell>
          <cell r="G782">
            <v>1</v>
          </cell>
        </row>
        <row r="783">
          <cell r="A783" t="str">
            <v>45</v>
          </cell>
          <cell r="B783" t="str">
            <v>70078</v>
          </cell>
          <cell r="C783" t="str">
            <v>Shasta</v>
          </cell>
          <cell r="D783" t="str">
            <v>North Cow Creek Elementary</v>
          </cell>
          <cell r="E783">
            <v>305</v>
          </cell>
          <cell r="F783">
            <v>5185</v>
          </cell>
          <cell r="G783">
            <v>1</v>
          </cell>
        </row>
        <row r="784">
          <cell r="A784" t="str">
            <v>45</v>
          </cell>
          <cell r="B784" t="str">
            <v>70086</v>
          </cell>
          <cell r="C784" t="str">
            <v>Shasta</v>
          </cell>
          <cell r="D784" t="str">
            <v>Oak Run Elementary</v>
          </cell>
          <cell r="E784">
            <v>41</v>
          </cell>
          <cell r="F784">
            <v>3564</v>
          </cell>
          <cell r="G784">
            <v>1</v>
          </cell>
        </row>
        <row r="785">
          <cell r="A785" t="str">
            <v>45</v>
          </cell>
          <cell r="B785" t="str">
            <v>70094</v>
          </cell>
          <cell r="C785" t="str">
            <v>Shasta</v>
          </cell>
          <cell r="D785" t="str">
            <v>Pacheco Union Elementary</v>
          </cell>
          <cell r="E785">
            <v>624</v>
          </cell>
          <cell r="F785">
            <v>12683</v>
          </cell>
          <cell r="G785">
            <v>3</v>
          </cell>
        </row>
        <row r="786">
          <cell r="A786" t="str">
            <v>45</v>
          </cell>
          <cell r="B786" t="str">
            <v>70110</v>
          </cell>
          <cell r="C786" t="str">
            <v>Shasta</v>
          </cell>
          <cell r="D786" t="str">
            <v>Redding Elementary</v>
          </cell>
          <cell r="E786">
            <v>3427</v>
          </cell>
          <cell r="F786">
            <v>64114</v>
          </cell>
          <cell r="G786">
            <v>10</v>
          </cell>
        </row>
        <row r="787">
          <cell r="A787" t="str">
            <v>45</v>
          </cell>
          <cell r="B787" t="str">
            <v>70128</v>
          </cell>
          <cell r="C787" t="str">
            <v>Shasta</v>
          </cell>
          <cell r="D787" t="str">
            <v>Shasta Union Elementary</v>
          </cell>
          <cell r="E787">
            <v>116</v>
          </cell>
          <cell r="F787">
            <v>3564</v>
          </cell>
          <cell r="G787">
            <v>1</v>
          </cell>
        </row>
        <row r="788">
          <cell r="A788" t="str">
            <v>45</v>
          </cell>
          <cell r="B788" t="str">
            <v>70136</v>
          </cell>
          <cell r="C788" t="str">
            <v>Shasta</v>
          </cell>
          <cell r="D788" t="str">
            <v>Shasta Union High</v>
          </cell>
          <cell r="E788">
            <v>5834</v>
          </cell>
          <cell r="F788">
            <v>110745</v>
          </cell>
          <cell r="G788">
            <v>10</v>
          </cell>
        </row>
        <row r="789">
          <cell r="A789" t="str">
            <v>45</v>
          </cell>
          <cell r="B789" t="str">
            <v>70169</v>
          </cell>
          <cell r="C789" t="str">
            <v>Shasta</v>
          </cell>
          <cell r="D789" t="str">
            <v>Whitmore Union Elementary</v>
          </cell>
          <cell r="E789">
            <v>28</v>
          </cell>
          <cell r="F789">
            <v>3564</v>
          </cell>
          <cell r="G789">
            <v>1</v>
          </cell>
        </row>
        <row r="790">
          <cell r="A790" t="str">
            <v>45</v>
          </cell>
          <cell r="B790" t="str">
            <v>73700</v>
          </cell>
          <cell r="C790" t="str">
            <v>Shasta</v>
          </cell>
          <cell r="D790" t="str">
            <v>Mountain Union Elementary</v>
          </cell>
          <cell r="E790">
            <v>68</v>
          </cell>
          <cell r="F790">
            <v>3564</v>
          </cell>
          <cell r="G790">
            <v>1</v>
          </cell>
        </row>
        <row r="791">
          <cell r="A791" t="str">
            <v>45</v>
          </cell>
          <cell r="B791" t="str">
            <v>75267</v>
          </cell>
          <cell r="C791" t="str">
            <v>Shasta</v>
          </cell>
          <cell r="D791" t="str">
            <v>Gateway Unified</v>
          </cell>
          <cell r="E791">
            <v>2796</v>
          </cell>
          <cell r="F791">
            <v>56714</v>
          </cell>
          <cell r="G791">
            <v>8</v>
          </cell>
        </row>
        <row r="792">
          <cell r="A792" t="str">
            <v>46</v>
          </cell>
          <cell r="B792" t="str">
            <v>10462</v>
          </cell>
          <cell r="C792" t="str">
            <v>Sierra</v>
          </cell>
          <cell r="D792" t="str">
            <v>Sierra County Office of Education</v>
          </cell>
          <cell r="E792">
            <v>3</v>
          </cell>
          <cell r="F792">
            <v>2228</v>
          </cell>
          <cell r="G792">
            <v>1</v>
          </cell>
        </row>
        <row r="793">
          <cell r="A793" t="str">
            <v>46</v>
          </cell>
          <cell r="B793" t="str">
            <v>70177</v>
          </cell>
          <cell r="C793" t="str">
            <v>Sierra</v>
          </cell>
          <cell r="D793" t="str">
            <v>Sierra-Plumas Joint Unified</v>
          </cell>
          <cell r="E793">
            <v>470</v>
          </cell>
          <cell r="F793">
            <v>20048</v>
          </cell>
          <cell r="G793">
            <v>6</v>
          </cell>
        </row>
        <row r="794">
          <cell r="A794" t="str">
            <v>47</v>
          </cell>
          <cell r="B794" t="str">
            <v>10470</v>
          </cell>
          <cell r="C794" t="str">
            <v>Siskiyou</v>
          </cell>
          <cell r="D794" t="str">
            <v>Siskiyou County Office of Education</v>
          </cell>
          <cell r="E794">
            <v>114</v>
          </cell>
          <cell r="F794">
            <v>5792</v>
          </cell>
          <cell r="G794">
            <v>2</v>
          </cell>
        </row>
        <row r="795">
          <cell r="A795" t="str">
            <v>47</v>
          </cell>
          <cell r="B795" t="str">
            <v>70185</v>
          </cell>
          <cell r="C795" t="str">
            <v>Siskiyou</v>
          </cell>
          <cell r="D795" t="str">
            <v>Big Springs Union Elementary</v>
          </cell>
          <cell r="E795">
            <v>105</v>
          </cell>
          <cell r="F795">
            <v>3564</v>
          </cell>
          <cell r="G795">
            <v>1</v>
          </cell>
        </row>
        <row r="796">
          <cell r="A796" t="str">
            <v>47</v>
          </cell>
          <cell r="B796" t="str">
            <v>70193</v>
          </cell>
          <cell r="C796" t="str">
            <v>Siskiyou</v>
          </cell>
          <cell r="D796" t="str">
            <v>Bogus Elementary</v>
          </cell>
          <cell r="E796">
            <v>10</v>
          </cell>
          <cell r="F796">
            <v>2228</v>
          </cell>
          <cell r="G796">
            <v>1</v>
          </cell>
        </row>
        <row r="797">
          <cell r="A797" t="str">
            <v>47</v>
          </cell>
          <cell r="B797" t="str">
            <v>70201</v>
          </cell>
          <cell r="C797" t="str">
            <v>Siskiyou</v>
          </cell>
          <cell r="D797" t="str">
            <v>Butteville Union Elementary</v>
          </cell>
          <cell r="E797">
            <v>151</v>
          </cell>
          <cell r="F797">
            <v>3564</v>
          </cell>
          <cell r="G797">
            <v>1</v>
          </cell>
        </row>
        <row r="798">
          <cell r="A798" t="str">
            <v>47</v>
          </cell>
          <cell r="B798" t="str">
            <v>70227</v>
          </cell>
          <cell r="C798" t="str">
            <v>Siskiyou</v>
          </cell>
          <cell r="D798" t="str">
            <v>Delphic Elementary</v>
          </cell>
          <cell r="E798">
            <v>51</v>
          </cell>
          <cell r="F798">
            <v>3564</v>
          </cell>
          <cell r="G798">
            <v>1</v>
          </cell>
        </row>
        <row r="799">
          <cell r="A799" t="str">
            <v>47</v>
          </cell>
          <cell r="B799" t="str">
            <v>70243</v>
          </cell>
          <cell r="C799" t="str">
            <v>Siskiyou</v>
          </cell>
          <cell r="D799" t="str">
            <v>Dunsmuir Elementary</v>
          </cell>
          <cell r="E799">
            <v>181</v>
          </cell>
          <cell r="F799">
            <v>5792</v>
          </cell>
          <cell r="G799">
            <v>2</v>
          </cell>
        </row>
        <row r="800">
          <cell r="A800" t="str">
            <v>47</v>
          </cell>
          <cell r="B800" t="str">
            <v>70250</v>
          </cell>
          <cell r="C800" t="str">
            <v>Siskiyou</v>
          </cell>
          <cell r="D800" t="str">
            <v>Dunsmuir Joint Union High</v>
          </cell>
          <cell r="E800">
            <v>104</v>
          </cell>
          <cell r="F800">
            <v>5792</v>
          </cell>
          <cell r="G800">
            <v>2</v>
          </cell>
        </row>
        <row r="801">
          <cell r="A801" t="str">
            <v>47</v>
          </cell>
          <cell r="B801" t="str">
            <v>70292</v>
          </cell>
          <cell r="C801" t="str">
            <v>Siskiyou</v>
          </cell>
          <cell r="D801" t="str">
            <v>Forks of Salmon Elementary</v>
          </cell>
          <cell r="E801">
            <v>12</v>
          </cell>
          <cell r="F801">
            <v>2228</v>
          </cell>
          <cell r="G801">
            <v>1</v>
          </cell>
        </row>
        <row r="802">
          <cell r="A802" t="str">
            <v>47</v>
          </cell>
          <cell r="B802" t="str">
            <v>70318</v>
          </cell>
          <cell r="C802" t="str">
            <v>Siskiyou</v>
          </cell>
          <cell r="D802" t="str">
            <v>Gazelle Union Elementary</v>
          </cell>
          <cell r="E802">
            <v>51</v>
          </cell>
          <cell r="F802">
            <v>3564</v>
          </cell>
          <cell r="G802">
            <v>1</v>
          </cell>
        </row>
        <row r="803">
          <cell r="A803" t="str">
            <v>47</v>
          </cell>
          <cell r="B803" t="str">
            <v>70326</v>
          </cell>
          <cell r="C803" t="str">
            <v>Siskiyou</v>
          </cell>
          <cell r="D803" t="str">
            <v>Grenada Elementary</v>
          </cell>
          <cell r="E803">
            <v>132</v>
          </cell>
          <cell r="F803">
            <v>5792</v>
          </cell>
          <cell r="G803">
            <v>2</v>
          </cell>
        </row>
        <row r="804">
          <cell r="A804" t="str">
            <v>47</v>
          </cell>
          <cell r="B804" t="str">
            <v>70334</v>
          </cell>
          <cell r="C804" t="str">
            <v>Siskiyou</v>
          </cell>
          <cell r="D804" t="str">
            <v>Happy Camp Union Elementary</v>
          </cell>
          <cell r="E804">
            <v>115</v>
          </cell>
          <cell r="F804">
            <v>8020</v>
          </cell>
          <cell r="G804">
            <v>3</v>
          </cell>
        </row>
        <row r="805">
          <cell r="A805" t="str">
            <v>47</v>
          </cell>
          <cell r="B805" t="str">
            <v>70359</v>
          </cell>
          <cell r="C805" t="str">
            <v>Siskiyou</v>
          </cell>
          <cell r="D805" t="str">
            <v>Hornbrook Elementary</v>
          </cell>
          <cell r="E805">
            <v>37</v>
          </cell>
          <cell r="F805">
            <v>3564</v>
          </cell>
          <cell r="G805">
            <v>1</v>
          </cell>
        </row>
        <row r="806">
          <cell r="A806" t="str">
            <v>47</v>
          </cell>
          <cell r="B806" t="str">
            <v>70367</v>
          </cell>
          <cell r="C806" t="str">
            <v>Siskiyou</v>
          </cell>
          <cell r="D806" t="str">
            <v>Junction Elementary</v>
          </cell>
          <cell r="E806">
            <v>21</v>
          </cell>
          <cell r="F806">
            <v>3564</v>
          </cell>
          <cell r="G806">
            <v>1</v>
          </cell>
        </row>
        <row r="807">
          <cell r="A807" t="str">
            <v>47</v>
          </cell>
          <cell r="B807" t="str">
            <v>70375</v>
          </cell>
          <cell r="C807" t="str">
            <v>Siskiyou</v>
          </cell>
          <cell r="D807" t="str">
            <v>Klamath River Union Elementary</v>
          </cell>
          <cell r="E807">
            <v>23</v>
          </cell>
          <cell r="F807">
            <v>3564</v>
          </cell>
          <cell r="G807">
            <v>1</v>
          </cell>
        </row>
        <row r="808">
          <cell r="A808" t="str">
            <v>47</v>
          </cell>
          <cell r="B808" t="str">
            <v>70383</v>
          </cell>
          <cell r="C808" t="str">
            <v>Siskiyou</v>
          </cell>
          <cell r="D808" t="str">
            <v>Little Shasta Elementary</v>
          </cell>
          <cell r="E808">
            <v>26</v>
          </cell>
          <cell r="F808">
            <v>3564</v>
          </cell>
          <cell r="G808">
            <v>1</v>
          </cell>
        </row>
        <row r="809">
          <cell r="A809" t="str">
            <v>47</v>
          </cell>
          <cell r="B809" t="str">
            <v>70409</v>
          </cell>
          <cell r="C809" t="str">
            <v>Siskiyou</v>
          </cell>
          <cell r="D809" t="str">
            <v>McCloud Union Elementary</v>
          </cell>
          <cell r="E809">
            <v>83</v>
          </cell>
          <cell r="F809">
            <v>3564</v>
          </cell>
          <cell r="G809">
            <v>1</v>
          </cell>
        </row>
        <row r="810">
          <cell r="A810" t="str">
            <v>47</v>
          </cell>
          <cell r="B810" t="str">
            <v>70417</v>
          </cell>
          <cell r="C810" t="str">
            <v>Siskiyou</v>
          </cell>
          <cell r="D810" t="str">
            <v>Montague Elementary</v>
          </cell>
          <cell r="E810">
            <v>146</v>
          </cell>
          <cell r="F810">
            <v>5792</v>
          </cell>
          <cell r="G810">
            <v>2</v>
          </cell>
        </row>
        <row r="811">
          <cell r="A811" t="str">
            <v>47</v>
          </cell>
          <cell r="B811" t="str">
            <v>70425</v>
          </cell>
          <cell r="C811" t="str">
            <v>Siskiyou</v>
          </cell>
          <cell r="D811" t="str">
            <v>Mt. Shasta Union Elementary</v>
          </cell>
          <cell r="E811">
            <v>627</v>
          </cell>
          <cell r="F811">
            <v>12819</v>
          </cell>
          <cell r="G811">
            <v>3</v>
          </cell>
        </row>
        <row r="812">
          <cell r="A812" t="str">
            <v>47</v>
          </cell>
          <cell r="B812" t="str">
            <v>70458</v>
          </cell>
          <cell r="C812" t="str">
            <v>Siskiyou</v>
          </cell>
          <cell r="D812" t="str">
            <v>Seiad Elementary</v>
          </cell>
          <cell r="E812">
            <v>32</v>
          </cell>
          <cell r="F812">
            <v>3564</v>
          </cell>
          <cell r="G812">
            <v>1</v>
          </cell>
        </row>
        <row r="813">
          <cell r="A813" t="str">
            <v>47</v>
          </cell>
          <cell r="B813" t="str">
            <v>70466</v>
          </cell>
          <cell r="C813" t="str">
            <v>Siskiyou</v>
          </cell>
          <cell r="D813" t="str">
            <v>Siskiyou Union High</v>
          </cell>
          <cell r="E813">
            <v>740</v>
          </cell>
          <cell r="F813">
            <v>23265</v>
          </cell>
          <cell r="G813">
            <v>7</v>
          </cell>
        </row>
        <row r="814">
          <cell r="A814" t="str">
            <v>47</v>
          </cell>
          <cell r="B814" t="str">
            <v>70482</v>
          </cell>
          <cell r="C814" t="str">
            <v>Siskiyou</v>
          </cell>
          <cell r="D814" t="str">
            <v>Weed Union Elementary</v>
          </cell>
          <cell r="E814">
            <v>337</v>
          </cell>
          <cell r="F814">
            <v>10083</v>
          </cell>
          <cell r="G814">
            <v>3</v>
          </cell>
        </row>
        <row r="815">
          <cell r="A815" t="str">
            <v>47</v>
          </cell>
          <cell r="B815" t="str">
            <v>70490</v>
          </cell>
          <cell r="C815" t="str">
            <v>Siskiyou</v>
          </cell>
          <cell r="D815" t="str">
            <v>Willow Creek Elementary</v>
          </cell>
          <cell r="E815">
            <v>39</v>
          </cell>
          <cell r="F815">
            <v>3564</v>
          </cell>
          <cell r="G815">
            <v>1</v>
          </cell>
        </row>
        <row r="816">
          <cell r="A816" t="str">
            <v>47</v>
          </cell>
          <cell r="B816" t="str">
            <v>70508</v>
          </cell>
          <cell r="C816" t="str">
            <v>Siskiyou</v>
          </cell>
          <cell r="D816" t="str">
            <v>Yreka Union Elementary</v>
          </cell>
          <cell r="E816">
            <v>1011</v>
          </cell>
          <cell r="F816">
            <v>21467</v>
          </cell>
          <cell r="G816">
            <v>5</v>
          </cell>
        </row>
        <row r="817">
          <cell r="A817" t="str">
            <v>47</v>
          </cell>
          <cell r="B817" t="str">
            <v>70516</v>
          </cell>
          <cell r="C817" t="str">
            <v>Siskiyou</v>
          </cell>
          <cell r="D817" t="str">
            <v>Yreka Union High</v>
          </cell>
          <cell r="E817">
            <v>721</v>
          </cell>
          <cell r="F817">
            <v>16961</v>
          </cell>
          <cell r="G817">
            <v>3</v>
          </cell>
        </row>
        <row r="818">
          <cell r="A818" t="str">
            <v>47</v>
          </cell>
          <cell r="B818" t="str">
            <v>73684</v>
          </cell>
          <cell r="C818" t="str">
            <v>Siskiyou</v>
          </cell>
          <cell r="D818" t="str">
            <v>Butte Valley Unified</v>
          </cell>
          <cell r="E818">
            <v>327</v>
          </cell>
          <cell r="F818">
            <v>17376</v>
          </cell>
          <cell r="G818">
            <v>6</v>
          </cell>
        </row>
        <row r="819">
          <cell r="A819" t="str">
            <v>47</v>
          </cell>
          <cell r="B819" t="str">
            <v>76455</v>
          </cell>
          <cell r="C819" t="str">
            <v>Siskiyou</v>
          </cell>
          <cell r="D819" t="str">
            <v>Scott Valley Unified</v>
          </cell>
          <cell r="E819">
            <v>693</v>
          </cell>
          <cell r="F819">
            <v>28960</v>
          </cell>
          <cell r="G819">
            <v>10</v>
          </cell>
        </row>
        <row r="820">
          <cell r="A820" t="str">
            <v>48</v>
          </cell>
          <cell r="B820" t="str">
            <v>10488</v>
          </cell>
          <cell r="C820" t="str">
            <v>Solano</v>
          </cell>
          <cell r="D820" t="str">
            <v>Solano County Office of Education</v>
          </cell>
          <cell r="E820">
            <v>520</v>
          </cell>
          <cell r="F820">
            <v>12704</v>
          </cell>
          <cell r="G820">
            <v>3</v>
          </cell>
        </row>
        <row r="821">
          <cell r="A821" t="str">
            <v>48</v>
          </cell>
          <cell r="B821" t="str">
            <v>70524</v>
          </cell>
          <cell r="C821" t="str">
            <v>Solano</v>
          </cell>
          <cell r="D821" t="str">
            <v>Benicia Unified</v>
          </cell>
          <cell r="E821">
            <v>4958</v>
          </cell>
          <cell r="F821">
            <v>86526</v>
          </cell>
          <cell r="G821">
            <v>7</v>
          </cell>
        </row>
        <row r="822">
          <cell r="A822" t="str">
            <v>48</v>
          </cell>
          <cell r="B822" t="str">
            <v>70532</v>
          </cell>
          <cell r="C822" t="str">
            <v>Solano</v>
          </cell>
          <cell r="D822" t="str">
            <v>Dixon Unified</v>
          </cell>
          <cell r="E822">
            <v>4082</v>
          </cell>
          <cell r="F822">
            <v>74297</v>
          </cell>
          <cell r="G822">
            <v>8</v>
          </cell>
        </row>
        <row r="823">
          <cell r="A823" t="str">
            <v>48</v>
          </cell>
          <cell r="B823" t="str">
            <v>70540</v>
          </cell>
          <cell r="C823" t="str">
            <v>Solano</v>
          </cell>
          <cell r="D823" t="str">
            <v>Fairfield-Suisun Unified</v>
          </cell>
          <cell r="E823">
            <v>22423</v>
          </cell>
          <cell r="F823">
            <v>385070</v>
          </cell>
          <cell r="G823">
            <v>31</v>
          </cell>
        </row>
        <row r="824">
          <cell r="A824" t="str">
            <v>48</v>
          </cell>
          <cell r="B824" t="str">
            <v>70565</v>
          </cell>
          <cell r="C824" t="str">
            <v>Solano</v>
          </cell>
          <cell r="D824" t="str">
            <v>Travis Unified</v>
          </cell>
          <cell r="E824">
            <v>5296</v>
          </cell>
          <cell r="F824">
            <v>96167</v>
          </cell>
          <cell r="G824">
            <v>10</v>
          </cell>
        </row>
        <row r="825">
          <cell r="A825" t="str">
            <v>48</v>
          </cell>
          <cell r="B825" t="str">
            <v>70573</v>
          </cell>
          <cell r="C825" t="str">
            <v>Solano</v>
          </cell>
          <cell r="D825" t="str">
            <v>Vacaville Unified</v>
          </cell>
          <cell r="E825">
            <v>13146</v>
          </cell>
          <cell r="F825">
            <v>227762</v>
          </cell>
          <cell r="G825">
            <v>17</v>
          </cell>
        </row>
        <row r="826">
          <cell r="A826" t="str">
            <v>48</v>
          </cell>
          <cell r="B826" t="str">
            <v>70581</v>
          </cell>
          <cell r="C826" t="str">
            <v>Solano</v>
          </cell>
          <cell r="D826" t="str">
            <v>Vallejo City Unified</v>
          </cell>
          <cell r="E826">
            <v>16057</v>
          </cell>
          <cell r="F826">
            <v>279411</v>
          </cell>
          <cell r="G826">
            <v>26</v>
          </cell>
        </row>
        <row r="827">
          <cell r="A827" t="str">
            <v>49</v>
          </cell>
          <cell r="B827" t="str">
            <v>10496</v>
          </cell>
          <cell r="C827" t="str">
            <v>Sonoma</v>
          </cell>
          <cell r="D827" t="str">
            <v>Sonoma County Office of Education</v>
          </cell>
          <cell r="E827">
            <v>844</v>
          </cell>
          <cell r="F827">
            <v>15991</v>
          </cell>
          <cell r="G827">
            <v>3</v>
          </cell>
        </row>
        <row r="828">
          <cell r="A828" t="str">
            <v>49</v>
          </cell>
          <cell r="B828" t="str">
            <v>70599</v>
          </cell>
          <cell r="C828" t="str">
            <v>Sonoma</v>
          </cell>
          <cell r="D828" t="str">
            <v>Alexander Valley Union Elementary</v>
          </cell>
          <cell r="E828">
            <v>135</v>
          </cell>
          <cell r="F828">
            <v>3564</v>
          </cell>
          <cell r="G828">
            <v>1</v>
          </cell>
        </row>
        <row r="829">
          <cell r="A829" t="str">
            <v>49</v>
          </cell>
          <cell r="B829" t="str">
            <v>70607</v>
          </cell>
          <cell r="C829" t="str">
            <v>Sonoma</v>
          </cell>
          <cell r="D829" t="str">
            <v>West Sonoma County Union High</v>
          </cell>
          <cell r="E829">
            <v>2318</v>
          </cell>
          <cell r="F829">
            <v>45354</v>
          </cell>
          <cell r="G829">
            <v>5</v>
          </cell>
        </row>
        <row r="830">
          <cell r="A830" t="str">
            <v>49</v>
          </cell>
          <cell r="B830" t="str">
            <v>70615</v>
          </cell>
          <cell r="C830" t="str">
            <v>Sonoma</v>
          </cell>
          <cell r="D830" t="str">
            <v>Bellevue Union Elementary</v>
          </cell>
          <cell r="E830">
            <v>1760</v>
          </cell>
          <cell r="F830">
            <v>29920</v>
          </cell>
          <cell r="G830">
            <v>4</v>
          </cell>
        </row>
        <row r="831">
          <cell r="A831" t="str">
            <v>49</v>
          </cell>
          <cell r="B831" t="str">
            <v>70623</v>
          </cell>
          <cell r="C831" t="str">
            <v>Sonoma</v>
          </cell>
          <cell r="D831" t="str">
            <v>Bennett Valley Union Elementary</v>
          </cell>
          <cell r="E831">
            <v>936</v>
          </cell>
          <cell r="F831">
            <v>15912</v>
          </cell>
          <cell r="G831">
            <v>2</v>
          </cell>
        </row>
        <row r="832">
          <cell r="A832" t="str">
            <v>49</v>
          </cell>
          <cell r="B832" t="str">
            <v>70649</v>
          </cell>
          <cell r="C832" t="str">
            <v>Sonoma</v>
          </cell>
          <cell r="D832" t="str">
            <v>Cinnabar Elementary</v>
          </cell>
          <cell r="E832">
            <v>204</v>
          </cell>
          <cell r="F832">
            <v>3564</v>
          </cell>
          <cell r="G832">
            <v>1</v>
          </cell>
        </row>
        <row r="833">
          <cell r="A833" t="str">
            <v>49</v>
          </cell>
          <cell r="B833" t="str">
            <v>70656</v>
          </cell>
          <cell r="C833" t="str">
            <v>Sonoma</v>
          </cell>
          <cell r="D833" t="str">
            <v>Cloverdale Unified</v>
          </cell>
          <cell r="E833">
            <v>1490</v>
          </cell>
          <cell r="F833">
            <v>30595</v>
          </cell>
          <cell r="G833">
            <v>5</v>
          </cell>
        </row>
        <row r="834">
          <cell r="A834" t="str">
            <v>49</v>
          </cell>
          <cell r="B834" t="str">
            <v>70672</v>
          </cell>
          <cell r="C834" t="str">
            <v>Sonoma</v>
          </cell>
          <cell r="D834" t="str">
            <v>Dunham Elementary</v>
          </cell>
          <cell r="E834">
            <v>180</v>
          </cell>
          <cell r="F834">
            <v>3564</v>
          </cell>
          <cell r="G834">
            <v>1</v>
          </cell>
        </row>
        <row r="835">
          <cell r="A835" t="str">
            <v>49</v>
          </cell>
          <cell r="B835" t="str">
            <v>70680</v>
          </cell>
          <cell r="C835" t="str">
            <v>Sonoma</v>
          </cell>
          <cell r="D835" t="str">
            <v>Forestville Union Elementary</v>
          </cell>
          <cell r="E835">
            <v>448</v>
          </cell>
          <cell r="F835">
            <v>9174</v>
          </cell>
          <cell r="G835">
            <v>2</v>
          </cell>
        </row>
        <row r="836">
          <cell r="A836" t="str">
            <v>49</v>
          </cell>
          <cell r="B836" t="str">
            <v>70698</v>
          </cell>
          <cell r="C836" t="str">
            <v>Sonoma</v>
          </cell>
          <cell r="D836" t="str">
            <v>Fort Ross Elementary</v>
          </cell>
          <cell r="E836">
            <v>45</v>
          </cell>
          <cell r="F836">
            <v>3564</v>
          </cell>
          <cell r="G836">
            <v>1</v>
          </cell>
        </row>
        <row r="837">
          <cell r="A837" t="str">
            <v>49</v>
          </cell>
          <cell r="B837" t="str">
            <v>70706</v>
          </cell>
          <cell r="C837" t="str">
            <v>Sonoma</v>
          </cell>
          <cell r="D837" t="str">
            <v>Geyserville Unified</v>
          </cell>
          <cell r="E837">
            <v>251</v>
          </cell>
          <cell r="F837">
            <v>15148</v>
          </cell>
          <cell r="G837">
            <v>5</v>
          </cell>
        </row>
        <row r="838">
          <cell r="A838" t="str">
            <v>49</v>
          </cell>
          <cell r="B838" t="str">
            <v>70714</v>
          </cell>
          <cell r="C838" t="str">
            <v>Sonoma</v>
          </cell>
          <cell r="D838" t="str">
            <v>Gravenstein Union Elementary</v>
          </cell>
          <cell r="E838">
            <v>561</v>
          </cell>
          <cell r="F838">
            <v>9537</v>
          </cell>
          <cell r="G838">
            <v>2</v>
          </cell>
        </row>
        <row r="839">
          <cell r="A839" t="str">
            <v>49</v>
          </cell>
          <cell r="B839" t="str">
            <v>70722</v>
          </cell>
          <cell r="C839" t="str">
            <v>Sonoma</v>
          </cell>
          <cell r="D839" t="str">
            <v>Guerneville Elementary</v>
          </cell>
          <cell r="E839">
            <v>302</v>
          </cell>
          <cell r="F839">
            <v>7311</v>
          </cell>
          <cell r="G839">
            <v>2</v>
          </cell>
        </row>
        <row r="840">
          <cell r="A840" t="str">
            <v>49</v>
          </cell>
          <cell r="B840" t="str">
            <v>70730</v>
          </cell>
          <cell r="C840" t="str">
            <v>Sonoma</v>
          </cell>
          <cell r="D840" t="str">
            <v>Harmony Union Elementary</v>
          </cell>
          <cell r="E840">
            <v>233</v>
          </cell>
          <cell r="F840">
            <v>7128</v>
          </cell>
          <cell r="G840">
            <v>2</v>
          </cell>
        </row>
        <row r="841">
          <cell r="A841" t="str">
            <v>49</v>
          </cell>
          <cell r="B841" t="str">
            <v>70763</v>
          </cell>
          <cell r="C841" t="str">
            <v>Sonoma</v>
          </cell>
          <cell r="D841" t="str">
            <v>Horicon Elementary</v>
          </cell>
          <cell r="E841">
            <v>92</v>
          </cell>
          <cell r="F841">
            <v>3564</v>
          </cell>
          <cell r="G841">
            <v>1</v>
          </cell>
        </row>
        <row r="842">
          <cell r="A842" t="str">
            <v>49</v>
          </cell>
          <cell r="B842" t="str">
            <v>70789</v>
          </cell>
          <cell r="C842" t="str">
            <v>Sonoma</v>
          </cell>
          <cell r="D842" t="str">
            <v>Kenwood Elementary</v>
          </cell>
          <cell r="E842">
            <v>152</v>
          </cell>
          <cell r="F842">
            <v>3564</v>
          </cell>
          <cell r="G842">
            <v>1</v>
          </cell>
        </row>
        <row r="843">
          <cell r="A843" t="str">
            <v>49</v>
          </cell>
          <cell r="B843" t="str">
            <v>70797</v>
          </cell>
          <cell r="C843" t="str">
            <v>Sonoma</v>
          </cell>
          <cell r="D843" t="str">
            <v>Liberty Elementary</v>
          </cell>
          <cell r="E843">
            <v>193</v>
          </cell>
          <cell r="F843">
            <v>3564</v>
          </cell>
          <cell r="G843">
            <v>1</v>
          </cell>
        </row>
        <row r="844">
          <cell r="A844" t="str">
            <v>49</v>
          </cell>
          <cell r="B844" t="str">
            <v>70805</v>
          </cell>
          <cell r="C844" t="str">
            <v>Sonoma</v>
          </cell>
          <cell r="D844" t="str">
            <v>Mark West Union Elementary</v>
          </cell>
          <cell r="E844">
            <v>1286</v>
          </cell>
          <cell r="F844">
            <v>21862</v>
          </cell>
          <cell r="G844">
            <v>3</v>
          </cell>
        </row>
        <row r="845">
          <cell r="A845" t="str">
            <v>49</v>
          </cell>
          <cell r="B845" t="str">
            <v>70813</v>
          </cell>
          <cell r="C845" t="str">
            <v>Sonoma</v>
          </cell>
          <cell r="D845" t="str">
            <v>Monte Rio Union Elementary</v>
          </cell>
          <cell r="E845">
            <v>97</v>
          </cell>
          <cell r="F845">
            <v>3564</v>
          </cell>
          <cell r="G845">
            <v>1</v>
          </cell>
        </row>
        <row r="846">
          <cell r="A846" t="str">
            <v>49</v>
          </cell>
          <cell r="B846" t="str">
            <v>70821</v>
          </cell>
          <cell r="C846" t="str">
            <v>Sonoma</v>
          </cell>
          <cell r="D846" t="str">
            <v>Montgomery Elementary</v>
          </cell>
          <cell r="E846">
            <v>41</v>
          </cell>
          <cell r="F846">
            <v>3564</v>
          </cell>
          <cell r="G846">
            <v>1</v>
          </cell>
        </row>
        <row r="847">
          <cell r="A847" t="str">
            <v>49</v>
          </cell>
          <cell r="B847" t="str">
            <v>70839</v>
          </cell>
          <cell r="C847" t="str">
            <v>Sonoma</v>
          </cell>
          <cell r="D847" t="str">
            <v>Oak Grove Union Elementary</v>
          </cell>
          <cell r="E847">
            <v>765</v>
          </cell>
          <cell r="F847">
            <v>15668</v>
          </cell>
          <cell r="G847">
            <v>2</v>
          </cell>
        </row>
        <row r="848">
          <cell r="A848" t="str">
            <v>49</v>
          </cell>
          <cell r="B848" t="str">
            <v>70847</v>
          </cell>
          <cell r="C848" t="str">
            <v>Sonoma</v>
          </cell>
          <cell r="D848" t="str">
            <v>Old Adobe Union Elementary</v>
          </cell>
          <cell r="E848">
            <v>1818</v>
          </cell>
          <cell r="F848">
            <v>30906</v>
          </cell>
          <cell r="G848">
            <v>5</v>
          </cell>
        </row>
        <row r="849">
          <cell r="A849" t="str">
            <v>49</v>
          </cell>
          <cell r="B849" t="str">
            <v>70854</v>
          </cell>
          <cell r="C849" t="str">
            <v>Sonoma</v>
          </cell>
          <cell r="D849" t="str">
            <v>Petaluma City Elementary</v>
          </cell>
          <cell r="E849">
            <v>2071</v>
          </cell>
          <cell r="F849">
            <v>37316</v>
          </cell>
          <cell r="G849">
            <v>7</v>
          </cell>
        </row>
        <row r="850">
          <cell r="A850" t="str">
            <v>49</v>
          </cell>
          <cell r="B850" t="str">
            <v>70862</v>
          </cell>
          <cell r="C850" t="str">
            <v>Sonoma</v>
          </cell>
          <cell r="D850" t="str">
            <v>Petaluma Joint Union High</v>
          </cell>
          <cell r="E850">
            <v>5286</v>
          </cell>
          <cell r="F850">
            <v>102721</v>
          </cell>
          <cell r="G850">
            <v>9</v>
          </cell>
        </row>
        <row r="851">
          <cell r="A851" t="str">
            <v>49</v>
          </cell>
          <cell r="B851" t="str">
            <v>70870</v>
          </cell>
          <cell r="C851" t="str">
            <v>Sonoma</v>
          </cell>
          <cell r="D851" t="str">
            <v>Piner-Olivet Union Elementary</v>
          </cell>
          <cell r="E851">
            <v>1377</v>
          </cell>
          <cell r="F851">
            <v>23409</v>
          </cell>
          <cell r="G851">
            <v>4</v>
          </cell>
        </row>
        <row r="852">
          <cell r="A852" t="str">
            <v>49</v>
          </cell>
          <cell r="B852" t="str">
            <v>70888</v>
          </cell>
          <cell r="C852" t="str">
            <v>Sonoma</v>
          </cell>
          <cell r="D852" t="str">
            <v>Kashia Elementary</v>
          </cell>
          <cell r="E852">
            <v>9</v>
          </cell>
          <cell r="F852">
            <v>2228</v>
          </cell>
          <cell r="G852">
            <v>1</v>
          </cell>
        </row>
        <row r="853">
          <cell r="A853" t="str">
            <v>49</v>
          </cell>
          <cell r="B853" t="str">
            <v>70896</v>
          </cell>
          <cell r="C853" t="str">
            <v>Sonoma</v>
          </cell>
          <cell r="D853" t="str">
            <v>Rincon Valley Union Elementary</v>
          </cell>
          <cell r="E853">
            <v>2864</v>
          </cell>
          <cell r="F853">
            <v>48688</v>
          </cell>
          <cell r="G853">
            <v>8</v>
          </cell>
        </row>
        <row r="854">
          <cell r="A854" t="str">
            <v>49</v>
          </cell>
          <cell r="B854" t="str">
            <v>70904</v>
          </cell>
          <cell r="C854" t="str">
            <v>Sonoma</v>
          </cell>
          <cell r="D854" t="str">
            <v>Roseland Elementary</v>
          </cell>
          <cell r="E854">
            <v>1470</v>
          </cell>
          <cell r="F854">
            <v>24991</v>
          </cell>
          <cell r="G854">
            <v>2</v>
          </cell>
        </row>
        <row r="855">
          <cell r="A855" t="str">
            <v>49</v>
          </cell>
          <cell r="B855" t="str">
            <v>70912</v>
          </cell>
          <cell r="C855" t="str">
            <v>Sonoma</v>
          </cell>
          <cell r="D855" t="str">
            <v>Santa Rosa Elementary</v>
          </cell>
          <cell r="E855">
            <v>4682</v>
          </cell>
          <cell r="F855">
            <v>79594</v>
          </cell>
          <cell r="G855">
            <v>11</v>
          </cell>
        </row>
        <row r="856">
          <cell r="A856" t="str">
            <v>49</v>
          </cell>
          <cell r="B856" t="str">
            <v>70920</v>
          </cell>
          <cell r="C856" t="str">
            <v>Sonoma</v>
          </cell>
          <cell r="D856" t="str">
            <v>Santa Rosa High</v>
          </cell>
          <cell r="E856">
            <v>11633</v>
          </cell>
          <cell r="F856">
            <v>213355</v>
          </cell>
          <cell r="G856">
            <v>17</v>
          </cell>
        </row>
        <row r="857">
          <cell r="A857" t="str">
            <v>49</v>
          </cell>
          <cell r="B857" t="str">
            <v>70938</v>
          </cell>
          <cell r="C857" t="str">
            <v>Sonoma</v>
          </cell>
          <cell r="D857" t="str">
            <v>Sebastopol Union Elementary</v>
          </cell>
          <cell r="E857">
            <v>882</v>
          </cell>
          <cell r="F857">
            <v>15039</v>
          </cell>
          <cell r="G857">
            <v>3</v>
          </cell>
        </row>
        <row r="858">
          <cell r="A858" t="str">
            <v>49</v>
          </cell>
          <cell r="B858" t="str">
            <v>70953</v>
          </cell>
          <cell r="C858" t="str">
            <v>Sonoma</v>
          </cell>
          <cell r="D858" t="str">
            <v>Sonoma Valley Unified</v>
          </cell>
          <cell r="E858">
            <v>4310</v>
          </cell>
          <cell r="F858">
            <v>77924</v>
          </cell>
          <cell r="G858">
            <v>10</v>
          </cell>
        </row>
        <row r="859">
          <cell r="A859" t="str">
            <v>49</v>
          </cell>
          <cell r="B859" t="str">
            <v>70961</v>
          </cell>
          <cell r="C859" t="str">
            <v>Sonoma</v>
          </cell>
          <cell r="D859" t="str">
            <v>Twin Hills Union Elementary</v>
          </cell>
          <cell r="E859">
            <v>962</v>
          </cell>
          <cell r="F859">
            <v>16716</v>
          </cell>
          <cell r="G859">
            <v>4</v>
          </cell>
        </row>
        <row r="860">
          <cell r="A860" t="str">
            <v>49</v>
          </cell>
          <cell r="B860" t="str">
            <v>70979</v>
          </cell>
          <cell r="C860" t="str">
            <v>Sonoma</v>
          </cell>
          <cell r="D860" t="str">
            <v>Two Rock Union</v>
          </cell>
          <cell r="E860">
            <v>183</v>
          </cell>
          <cell r="F860">
            <v>3564</v>
          </cell>
          <cell r="G860">
            <v>1</v>
          </cell>
        </row>
        <row r="861">
          <cell r="A861" t="str">
            <v>49</v>
          </cell>
          <cell r="B861" t="str">
            <v>70995</v>
          </cell>
          <cell r="C861" t="str">
            <v>Sonoma</v>
          </cell>
          <cell r="D861" t="str">
            <v>Waugh Elementary</v>
          </cell>
          <cell r="E861">
            <v>917</v>
          </cell>
          <cell r="F861">
            <v>15589</v>
          </cell>
          <cell r="G861">
            <v>2</v>
          </cell>
        </row>
        <row r="862">
          <cell r="A862" t="str">
            <v>49</v>
          </cell>
          <cell r="B862" t="str">
            <v>71001</v>
          </cell>
          <cell r="C862" t="str">
            <v>Sonoma</v>
          </cell>
          <cell r="D862" t="str">
            <v>West Side Union Elementary</v>
          </cell>
          <cell r="E862">
            <v>163</v>
          </cell>
          <cell r="F862">
            <v>3564</v>
          </cell>
          <cell r="G862">
            <v>1</v>
          </cell>
        </row>
        <row r="863">
          <cell r="A863" t="str">
            <v>49</v>
          </cell>
          <cell r="B863" t="str">
            <v>71019</v>
          </cell>
          <cell r="C863" t="str">
            <v>Sonoma</v>
          </cell>
          <cell r="D863" t="str">
            <v>Wilmar Union Elementary</v>
          </cell>
          <cell r="E863">
            <v>230</v>
          </cell>
          <cell r="F863">
            <v>3910</v>
          </cell>
          <cell r="G863">
            <v>1</v>
          </cell>
        </row>
        <row r="864">
          <cell r="A864" t="str">
            <v>49</v>
          </cell>
          <cell r="B864" t="str">
            <v>71035</v>
          </cell>
          <cell r="C864" t="str">
            <v>Sonoma</v>
          </cell>
          <cell r="D864" t="str">
            <v>Wright Elementary</v>
          </cell>
          <cell r="E864">
            <v>1405</v>
          </cell>
          <cell r="F864">
            <v>23885</v>
          </cell>
          <cell r="G864">
            <v>3</v>
          </cell>
        </row>
        <row r="865">
          <cell r="A865" t="str">
            <v>49</v>
          </cell>
          <cell r="B865" t="str">
            <v>73882</v>
          </cell>
          <cell r="C865" t="str">
            <v>Sonoma</v>
          </cell>
          <cell r="D865" t="str">
            <v>Cotati-Rohnert Park Unified</v>
          </cell>
          <cell r="E865">
            <v>6387</v>
          </cell>
          <cell r="F865">
            <v>115516</v>
          </cell>
          <cell r="G865">
            <v>13</v>
          </cell>
        </row>
        <row r="866">
          <cell r="A866" t="str">
            <v>49</v>
          </cell>
          <cell r="B866" t="str">
            <v>75358</v>
          </cell>
          <cell r="C866" t="str">
            <v>Sonoma</v>
          </cell>
          <cell r="D866" t="str">
            <v>Windsor Unified</v>
          </cell>
          <cell r="E866">
            <v>5245</v>
          </cell>
          <cell r="F866">
            <v>91491</v>
          </cell>
          <cell r="G866">
            <v>7</v>
          </cell>
        </row>
        <row r="867">
          <cell r="A867" t="str">
            <v>49</v>
          </cell>
          <cell r="B867" t="str">
            <v>75390</v>
          </cell>
          <cell r="C867" t="str">
            <v>Sonoma</v>
          </cell>
          <cell r="D867" t="str">
            <v>Healdsburg Unified</v>
          </cell>
          <cell r="E867">
            <v>2154</v>
          </cell>
          <cell r="F867">
            <v>39418</v>
          </cell>
          <cell r="G867">
            <v>4</v>
          </cell>
        </row>
        <row r="868">
          <cell r="A868" t="str">
            <v>50</v>
          </cell>
          <cell r="B868" t="str">
            <v>10504</v>
          </cell>
          <cell r="C868" t="str">
            <v>Stanislaus</v>
          </cell>
          <cell r="D868" t="str">
            <v>Stanislaus County Office of Education</v>
          </cell>
          <cell r="E868">
            <v>1275</v>
          </cell>
          <cell r="F868">
            <v>23250</v>
          </cell>
          <cell r="G868">
            <v>4</v>
          </cell>
        </row>
        <row r="869">
          <cell r="A869" t="str">
            <v>50</v>
          </cell>
          <cell r="B869" t="str">
            <v>71043</v>
          </cell>
          <cell r="C869" t="str">
            <v>Stanislaus</v>
          </cell>
          <cell r="D869" t="str">
            <v>Ceres Unified</v>
          </cell>
          <cell r="E869">
            <v>11977</v>
          </cell>
          <cell r="F869">
            <v>209528</v>
          </cell>
          <cell r="G869">
            <v>20</v>
          </cell>
        </row>
        <row r="870">
          <cell r="A870" t="str">
            <v>50</v>
          </cell>
          <cell r="B870" t="str">
            <v>71050</v>
          </cell>
          <cell r="C870" t="str">
            <v>Stanislaus</v>
          </cell>
          <cell r="D870" t="str">
            <v>Chatom Union Elementary</v>
          </cell>
          <cell r="E870">
            <v>674</v>
          </cell>
          <cell r="F870">
            <v>11554</v>
          </cell>
          <cell r="G870">
            <v>2</v>
          </cell>
        </row>
        <row r="871">
          <cell r="A871" t="str">
            <v>50</v>
          </cell>
          <cell r="B871" t="str">
            <v>71068</v>
          </cell>
          <cell r="C871" t="str">
            <v>Stanislaus</v>
          </cell>
          <cell r="D871" t="str">
            <v>Denair Unified</v>
          </cell>
          <cell r="E871">
            <v>1561</v>
          </cell>
          <cell r="F871">
            <v>33051</v>
          </cell>
          <cell r="G871">
            <v>7</v>
          </cell>
        </row>
        <row r="872">
          <cell r="A872" t="str">
            <v>50</v>
          </cell>
          <cell r="B872" t="str">
            <v>71076</v>
          </cell>
          <cell r="C872" t="str">
            <v>Stanislaus</v>
          </cell>
          <cell r="D872" t="str">
            <v>Empire Union Elementary</v>
          </cell>
          <cell r="E872">
            <v>3318</v>
          </cell>
          <cell r="F872">
            <v>56406</v>
          </cell>
          <cell r="G872">
            <v>7</v>
          </cell>
        </row>
        <row r="873">
          <cell r="A873" t="str">
            <v>50</v>
          </cell>
          <cell r="B873" t="str">
            <v>71084</v>
          </cell>
          <cell r="C873" t="str">
            <v>Stanislaus</v>
          </cell>
          <cell r="D873" t="str">
            <v>Gratton Elementary</v>
          </cell>
          <cell r="E873">
            <v>122</v>
          </cell>
          <cell r="F873">
            <v>3564</v>
          </cell>
          <cell r="G873">
            <v>1</v>
          </cell>
        </row>
        <row r="874">
          <cell r="A874" t="str">
            <v>50</v>
          </cell>
          <cell r="B874" t="str">
            <v>71092</v>
          </cell>
          <cell r="C874" t="str">
            <v>Stanislaus</v>
          </cell>
          <cell r="D874" t="str">
            <v>Hart-Ransom Union Elementary</v>
          </cell>
          <cell r="E874">
            <v>974</v>
          </cell>
          <cell r="F874">
            <v>16558</v>
          </cell>
          <cell r="G874">
            <v>2</v>
          </cell>
        </row>
        <row r="875">
          <cell r="A875" t="str">
            <v>50</v>
          </cell>
          <cell r="B875" t="str">
            <v>71100</v>
          </cell>
          <cell r="C875" t="str">
            <v>Stanislaus</v>
          </cell>
          <cell r="D875" t="str">
            <v>Hickman Community Charter</v>
          </cell>
          <cell r="E875">
            <v>1050</v>
          </cell>
          <cell r="F875">
            <v>18405</v>
          </cell>
          <cell r="G875">
            <v>3</v>
          </cell>
        </row>
        <row r="876">
          <cell r="A876" t="str">
            <v>50</v>
          </cell>
          <cell r="B876" t="str">
            <v>71134</v>
          </cell>
          <cell r="C876" t="str">
            <v>Stanislaus</v>
          </cell>
          <cell r="D876" t="str">
            <v>Keyes Union</v>
          </cell>
          <cell r="E876">
            <v>1025</v>
          </cell>
          <cell r="F876">
            <v>17425</v>
          </cell>
          <cell r="G876">
            <v>3</v>
          </cell>
        </row>
        <row r="877">
          <cell r="A877" t="str">
            <v>50</v>
          </cell>
          <cell r="B877" t="str">
            <v>71142</v>
          </cell>
          <cell r="C877" t="str">
            <v>Stanislaus</v>
          </cell>
          <cell r="D877" t="str">
            <v>Knights Ferry Elementary</v>
          </cell>
          <cell r="E877">
            <v>134</v>
          </cell>
          <cell r="F877">
            <v>3564</v>
          </cell>
          <cell r="G877">
            <v>1</v>
          </cell>
        </row>
        <row r="878">
          <cell r="A878" t="str">
            <v>50</v>
          </cell>
          <cell r="B878" t="str">
            <v>71159</v>
          </cell>
          <cell r="C878" t="str">
            <v>Stanislaus</v>
          </cell>
          <cell r="D878" t="str">
            <v>La Grange Elementary</v>
          </cell>
          <cell r="E878">
            <v>11</v>
          </cell>
          <cell r="F878">
            <v>2228</v>
          </cell>
          <cell r="G878">
            <v>1</v>
          </cell>
        </row>
        <row r="879">
          <cell r="A879" t="str">
            <v>50</v>
          </cell>
          <cell r="B879" t="str">
            <v>71167</v>
          </cell>
          <cell r="C879" t="str">
            <v>Stanislaus</v>
          </cell>
          <cell r="D879" t="str">
            <v>Modesto City Elementary</v>
          </cell>
          <cell r="E879">
            <v>15652</v>
          </cell>
          <cell r="F879">
            <v>266091</v>
          </cell>
          <cell r="G879">
            <v>27</v>
          </cell>
        </row>
        <row r="880">
          <cell r="A880" t="str">
            <v>50</v>
          </cell>
          <cell r="B880" t="str">
            <v>71175</v>
          </cell>
          <cell r="C880" t="str">
            <v>Stanislaus</v>
          </cell>
          <cell r="D880" t="str">
            <v>Modesto City High</v>
          </cell>
          <cell r="E880">
            <v>15366</v>
          </cell>
          <cell r="F880">
            <v>261232</v>
          </cell>
          <cell r="G880">
            <v>7</v>
          </cell>
        </row>
        <row r="881">
          <cell r="A881" t="str">
            <v>50</v>
          </cell>
          <cell r="B881" t="str">
            <v>71209</v>
          </cell>
          <cell r="C881" t="str">
            <v>Stanislaus</v>
          </cell>
          <cell r="D881" t="str">
            <v>Paradise Elementary</v>
          </cell>
          <cell r="E881">
            <v>186</v>
          </cell>
          <cell r="F881">
            <v>7128</v>
          </cell>
          <cell r="G881">
            <v>2</v>
          </cell>
        </row>
        <row r="882">
          <cell r="A882" t="str">
            <v>50</v>
          </cell>
          <cell r="B882" t="str">
            <v>71217</v>
          </cell>
          <cell r="C882" t="str">
            <v>Stanislaus</v>
          </cell>
          <cell r="D882" t="str">
            <v>Patterson Joint Unified</v>
          </cell>
          <cell r="E882">
            <v>5531</v>
          </cell>
          <cell r="F882">
            <v>98744</v>
          </cell>
          <cell r="G882">
            <v>8</v>
          </cell>
        </row>
        <row r="883">
          <cell r="A883" t="str">
            <v>50</v>
          </cell>
          <cell r="B883" t="str">
            <v>71233</v>
          </cell>
          <cell r="C883" t="str">
            <v>Stanislaus</v>
          </cell>
          <cell r="D883" t="str">
            <v>Roberts Ferry Union Elementary</v>
          </cell>
          <cell r="E883">
            <v>114</v>
          </cell>
          <cell r="F883">
            <v>5792</v>
          </cell>
          <cell r="G883">
            <v>2</v>
          </cell>
        </row>
        <row r="884">
          <cell r="A884" t="str">
            <v>50</v>
          </cell>
          <cell r="B884" t="str">
            <v>71266</v>
          </cell>
          <cell r="C884" t="str">
            <v>Stanislaus</v>
          </cell>
          <cell r="D884" t="str">
            <v>Salida Union Elementary</v>
          </cell>
          <cell r="E884">
            <v>2961</v>
          </cell>
          <cell r="F884">
            <v>50338</v>
          </cell>
          <cell r="G884">
            <v>5</v>
          </cell>
        </row>
        <row r="885">
          <cell r="A885" t="str">
            <v>50</v>
          </cell>
          <cell r="B885" t="str">
            <v>71274</v>
          </cell>
          <cell r="C885" t="str">
            <v>Stanislaus</v>
          </cell>
          <cell r="D885" t="str">
            <v>Shiloh Elementary</v>
          </cell>
          <cell r="E885">
            <v>129</v>
          </cell>
          <cell r="F885">
            <v>3564</v>
          </cell>
          <cell r="G885">
            <v>1</v>
          </cell>
        </row>
        <row r="886">
          <cell r="A886" t="str">
            <v>50</v>
          </cell>
          <cell r="B886" t="str">
            <v>71282</v>
          </cell>
          <cell r="C886" t="str">
            <v>Stanislaus</v>
          </cell>
          <cell r="D886" t="str">
            <v>Stanislaus Union Elementary</v>
          </cell>
          <cell r="E886">
            <v>3173</v>
          </cell>
          <cell r="F886">
            <v>53941</v>
          </cell>
          <cell r="G886">
            <v>7</v>
          </cell>
        </row>
        <row r="887">
          <cell r="A887" t="str">
            <v>50</v>
          </cell>
          <cell r="B887" t="str">
            <v>71290</v>
          </cell>
          <cell r="C887" t="str">
            <v>Stanislaus</v>
          </cell>
          <cell r="D887" t="str">
            <v>Sylvan Union Elementary</v>
          </cell>
          <cell r="E887">
            <v>8214</v>
          </cell>
          <cell r="F887">
            <v>139642</v>
          </cell>
          <cell r="G887">
            <v>13</v>
          </cell>
        </row>
        <row r="888">
          <cell r="A888" t="str">
            <v>50</v>
          </cell>
          <cell r="B888" t="str">
            <v>71324</v>
          </cell>
          <cell r="C888" t="str">
            <v>Stanislaus</v>
          </cell>
          <cell r="D888" t="str">
            <v>Valley Home Joint Elementary</v>
          </cell>
          <cell r="E888">
            <v>190</v>
          </cell>
          <cell r="F888">
            <v>3564</v>
          </cell>
          <cell r="G888">
            <v>1</v>
          </cell>
        </row>
        <row r="889">
          <cell r="A889" t="str">
            <v>50</v>
          </cell>
          <cell r="B889" t="str">
            <v>73601</v>
          </cell>
          <cell r="C889" t="str">
            <v>Stanislaus</v>
          </cell>
          <cell r="D889" t="str">
            <v>Newman-Crows Landing Unified</v>
          </cell>
          <cell r="E889">
            <v>2701</v>
          </cell>
          <cell r="F889">
            <v>54400</v>
          </cell>
          <cell r="G889">
            <v>8</v>
          </cell>
        </row>
        <row r="890">
          <cell r="A890" t="str">
            <v>50</v>
          </cell>
          <cell r="B890" t="str">
            <v>75549</v>
          </cell>
          <cell r="C890" t="str">
            <v>Stanislaus</v>
          </cell>
          <cell r="D890" t="str">
            <v>Hughson Unified</v>
          </cell>
          <cell r="E890">
            <v>2157</v>
          </cell>
          <cell r="F890">
            <v>43992</v>
          </cell>
          <cell r="G890">
            <v>7</v>
          </cell>
        </row>
        <row r="891">
          <cell r="A891" t="str">
            <v>50</v>
          </cell>
          <cell r="B891" t="str">
            <v>75556</v>
          </cell>
          <cell r="C891" t="str">
            <v>Stanislaus</v>
          </cell>
          <cell r="D891" t="str">
            <v>Riverbank Unified</v>
          </cell>
          <cell r="E891">
            <v>2801</v>
          </cell>
          <cell r="F891">
            <v>50178</v>
          </cell>
          <cell r="G891">
            <v>6</v>
          </cell>
        </row>
        <row r="892">
          <cell r="A892" t="str">
            <v>50</v>
          </cell>
          <cell r="B892" t="str">
            <v>75564</v>
          </cell>
          <cell r="C892" t="str">
            <v>Stanislaus</v>
          </cell>
          <cell r="D892" t="str">
            <v>Oakdale Joint Unified</v>
          </cell>
          <cell r="E892">
            <v>5312</v>
          </cell>
          <cell r="F892">
            <v>97259</v>
          </cell>
          <cell r="G892">
            <v>9</v>
          </cell>
        </row>
        <row r="893">
          <cell r="A893" t="str">
            <v>50</v>
          </cell>
          <cell r="B893" t="str">
            <v>75572</v>
          </cell>
          <cell r="C893" t="str">
            <v>Stanislaus</v>
          </cell>
          <cell r="D893" t="str">
            <v>Waterford Unified</v>
          </cell>
          <cell r="E893">
            <v>1895</v>
          </cell>
          <cell r="F893">
            <v>35184</v>
          </cell>
          <cell r="G893">
            <v>5</v>
          </cell>
        </row>
        <row r="894">
          <cell r="A894" t="str">
            <v>50</v>
          </cell>
          <cell r="B894" t="str">
            <v>75739</v>
          </cell>
          <cell r="C894" t="str">
            <v>Stanislaus</v>
          </cell>
          <cell r="D894" t="str">
            <v>Turlock Unified</v>
          </cell>
          <cell r="E894">
            <v>13833</v>
          </cell>
          <cell r="F894">
            <v>238438</v>
          </cell>
          <cell r="G894">
            <v>16</v>
          </cell>
        </row>
        <row r="895">
          <cell r="A895" t="str">
            <v>51</v>
          </cell>
          <cell r="B895" t="str">
            <v>10512</v>
          </cell>
          <cell r="C895" t="str">
            <v>Sutter</v>
          </cell>
          <cell r="D895" t="str">
            <v>Sutter County Office of Education</v>
          </cell>
          <cell r="E895">
            <v>424</v>
          </cell>
          <cell r="F895">
            <v>10212</v>
          </cell>
          <cell r="G895">
            <v>3</v>
          </cell>
        </row>
        <row r="896">
          <cell r="A896" t="str">
            <v>51</v>
          </cell>
          <cell r="B896" t="str">
            <v>71357</v>
          </cell>
          <cell r="C896" t="str">
            <v>Sutter</v>
          </cell>
          <cell r="D896" t="str">
            <v>Brittan Elementary</v>
          </cell>
          <cell r="E896">
            <v>514</v>
          </cell>
          <cell r="F896">
            <v>10898</v>
          </cell>
          <cell r="G896">
            <v>2</v>
          </cell>
        </row>
        <row r="897">
          <cell r="A897" t="str">
            <v>51</v>
          </cell>
          <cell r="B897" t="str">
            <v>71365</v>
          </cell>
          <cell r="C897" t="str">
            <v>Sutter</v>
          </cell>
          <cell r="D897" t="str">
            <v>Browns Elementary</v>
          </cell>
          <cell r="E897">
            <v>154</v>
          </cell>
          <cell r="F897">
            <v>3564</v>
          </cell>
          <cell r="G897">
            <v>1</v>
          </cell>
        </row>
        <row r="898">
          <cell r="A898" t="str">
            <v>51</v>
          </cell>
          <cell r="B898" t="str">
            <v>71373</v>
          </cell>
          <cell r="C898" t="str">
            <v>Sutter</v>
          </cell>
          <cell r="D898" t="str">
            <v>East Nicolaus Joint Union High</v>
          </cell>
          <cell r="E898">
            <v>339</v>
          </cell>
          <cell r="F898">
            <v>7753</v>
          </cell>
          <cell r="G898">
            <v>2</v>
          </cell>
        </row>
        <row r="899">
          <cell r="A899" t="str">
            <v>51</v>
          </cell>
          <cell r="B899" t="str">
            <v>71381</v>
          </cell>
          <cell r="C899" t="str">
            <v>Sutter</v>
          </cell>
          <cell r="D899" t="str">
            <v>Franklin Elementary</v>
          </cell>
          <cell r="E899">
            <v>438</v>
          </cell>
          <cell r="F899">
            <v>7446</v>
          </cell>
          <cell r="G899">
            <v>1</v>
          </cell>
        </row>
        <row r="900">
          <cell r="A900" t="str">
            <v>51</v>
          </cell>
          <cell r="B900" t="str">
            <v>71399</v>
          </cell>
          <cell r="C900" t="str">
            <v>Sutter</v>
          </cell>
          <cell r="D900" t="str">
            <v>Live Oak Unified</v>
          </cell>
          <cell r="E900">
            <v>1896</v>
          </cell>
          <cell r="F900">
            <v>40680</v>
          </cell>
          <cell r="G900">
            <v>6</v>
          </cell>
        </row>
        <row r="901">
          <cell r="A901" t="str">
            <v>51</v>
          </cell>
          <cell r="B901" t="str">
            <v>71407</v>
          </cell>
          <cell r="C901" t="str">
            <v>Sutter</v>
          </cell>
          <cell r="D901" t="str">
            <v>Marcum-Illinois Union Elementary</v>
          </cell>
          <cell r="E901">
            <v>159</v>
          </cell>
          <cell r="F901">
            <v>3564</v>
          </cell>
          <cell r="G901">
            <v>1</v>
          </cell>
        </row>
        <row r="902">
          <cell r="A902" t="str">
            <v>51</v>
          </cell>
          <cell r="B902" t="str">
            <v>71415</v>
          </cell>
          <cell r="C902" t="str">
            <v>Sutter</v>
          </cell>
          <cell r="D902" t="str">
            <v>Meridian Elementary</v>
          </cell>
          <cell r="E902">
            <v>76</v>
          </cell>
          <cell r="F902">
            <v>3564</v>
          </cell>
          <cell r="G902">
            <v>1</v>
          </cell>
        </row>
        <row r="903">
          <cell r="A903" t="str">
            <v>51</v>
          </cell>
          <cell r="B903" t="str">
            <v>71423</v>
          </cell>
          <cell r="C903" t="str">
            <v>Sutter</v>
          </cell>
          <cell r="D903" t="str">
            <v>Nuestro Elementary</v>
          </cell>
          <cell r="E903">
            <v>129</v>
          </cell>
          <cell r="F903">
            <v>3564</v>
          </cell>
          <cell r="G903">
            <v>1</v>
          </cell>
        </row>
        <row r="904">
          <cell r="A904" t="str">
            <v>51</v>
          </cell>
          <cell r="B904" t="str">
            <v>71431</v>
          </cell>
          <cell r="C904" t="str">
            <v>Sutter</v>
          </cell>
          <cell r="D904" t="str">
            <v>Pleasant Grove Joint Union</v>
          </cell>
          <cell r="E904">
            <v>169</v>
          </cell>
          <cell r="F904">
            <v>3564</v>
          </cell>
          <cell r="G904">
            <v>1</v>
          </cell>
        </row>
        <row r="905">
          <cell r="A905" t="str">
            <v>51</v>
          </cell>
          <cell r="B905" t="str">
            <v>71449</v>
          </cell>
          <cell r="C905" t="str">
            <v>Sutter</v>
          </cell>
          <cell r="D905" t="str">
            <v>Sutter Union High</v>
          </cell>
          <cell r="E905">
            <v>745</v>
          </cell>
          <cell r="F905">
            <v>14553</v>
          </cell>
          <cell r="G905">
            <v>2</v>
          </cell>
        </row>
        <row r="906">
          <cell r="A906" t="str">
            <v>51</v>
          </cell>
          <cell r="B906" t="str">
            <v>71456</v>
          </cell>
          <cell r="C906" t="str">
            <v>Sutter</v>
          </cell>
          <cell r="D906" t="str">
            <v>Winship-Robbins</v>
          </cell>
          <cell r="E906">
            <v>116</v>
          </cell>
          <cell r="F906">
            <v>7128</v>
          </cell>
          <cell r="G906">
            <v>2</v>
          </cell>
        </row>
        <row r="907">
          <cell r="A907" t="str">
            <v>51</v>
          </cell>
          <cell r="B907" t="str">
            <v>71464</v>
          </cell>
          <cell r="C907" t="str">
            <v>Sutter</v>
          </cell>
          <cell r="D907" t="str">
            <v>Yuba City Unified</v>
          </cell>
          <cell r="E907">
            <v>12885</v>
          </cell>
          <cell r="F907">
            <v>221004</v>
          </cell>
          <cell r="G907">
            <v>18</v>
          </cell>
        </row>
        <row r="908">
          <cell r="A908" t="str">
            <v>52</v>
          </cell>
          <cell r="B908" t="str">
            <v>10520</v>
          </cell>
          <cell r="C908" t="str">
            <v>Tehama</v>
          </cell>
          <cell r="D908" t="str">
            <v>Tehama County Office of Education</v>
          </cell>
          <cell r="E908">
            <v>103</v>
          </cell>
          <cell r="F908">
            <v>12920</v>
          </cell>
          <cell r="G908">
            <v>4</v>
          </cell>
        </row>
        <row r="909">
          <cell r="A909" t="str">
            <v>52</v>
          </cell>
          <cell r="B909" t="str">
            <v>71472</v>
          </cell>
          <cell r="C909" t="str">
            <v>Tehama</v>
          </cell>
          <cell r="D909" t="str">
            <v>Antelope Elementary</v>
          </cell>
          <cell r="E909">
            <v>651</v>
          </cell>
          <cell r="F909">
            <v>13159</v>
          </cell>
          <cell r="G909">
            <v>3</v>
          </cell>
        </row>
        <row r="910">
          <cell r="A910" t="str">
            <v>52</v>
          </cell>
          <cell r="B910" t="str">
            <v>71480</v>
          </cell>
          <cell r="C910" t="str">
            <v>Tehama</v>
          </cell>
          <cell r="D910" t="str">
            <v>Bend Elementary</v>
          </cell>
          <cell r="E910">
            <v>70</v>
          </cell>
          <cell r="F910">
            <v>3564</v>
          </cell>
          <cell r="G910">
            <v>1</v>
          </cell>
        </row>
        <row r="911">
          <cell r="A911" t="str">
            <v>52</v>
          </cell>
          <cell r="B911" t="str">
            <v>71498</v>
          </cell>
          <cell r="C911" t="str">
            <v>Tehama</v>
          </cell>
          <cell r="D911" t="str">
            <v>Corning Union Elementary</v>
          </cell>
          <cell r="E911">
            <v>1947</v>
          </cell>
          <cell r="F911">
            <v>39623</v>
          </cell>
          <cell r="G911">
            <v>7</v>
          </cell>
        </row>
        <row r="912">
          <cell r="A912" t="str">
            <v>52</v>
          </cell>
          <cell r="B912" t="str">
            <v>71506</v>
          </cell>
          <cell r="C912" t="str">
            <v>Tehama</v>
          </cell>
          <cell r="D912" t="str">
            <v>Corning Union High</v>
          </cell>
          <cell r="E912">
            <v>1075</v>
          </cell>
          <cell r="F912">
            <v>23014</v>
          </cell>
          <cell r="G912">
            <v>3</v>
          </cell>
        </row>
        <row r="913">
          <cell r="A913" t="str">
            <v>52</v>
          </cell>
          <cell r="B913" t="str">
            <v>71514</v>
          </cell>
          <cell r="C913" t="str">
            <v>Tehama</v>
          </cell>
          <cell r="D913" t="str">
            <v>Elkins Elementary</v>
          </cell>
          <cell r="E913">
            <v>9</v>
          </cell>
          <cell r="F913">
            <v>2228</v>
          </cell>
          <cell r="G913">
            <v>1</v>
          </cell>
        </row>
        <row r="914">
          <cell r="A914" t="str">
            <v>52</v>
          </cell>
          <cell r="B914" t="str">
            <v>71522</v>
          </cell>
          <cell r="C914" t="str">
            <v>Tehama</v>
          </cell>
          <cell r="D914" t="str">
            <v>Evergreen Union</v>
          </cell>
          <cell r="E914">
            <v>962</v>
          </cell>
          <cell r="F914">
            <v>20623</v>
          </cell>
          <cell r="G914">
            <v>4</v>
          </cell>
        </row>
        <row r="915">
          <cell r="A915" t="str">
            <v>52</v>
          </cell>
          <cell r="B915" t="str">
            <v>71530</v>
          </cell>
          <cell r="C915" t="str">
            <v>Tehama</v>
          </cell>
          <cell r="D915" t="str">
            <v>Flournoy Union Elementary</v>
          </cell>
          <cell r="E915">
            <v>23</v>
          </cell>
          <cell r="F915">
            <v>3564</v>
          </cell>
          <cell r="G915">
            <v>1</v>
          </cell>
        </row>
        <row r="916">
          <cell r="A916" t="str">
            <v>52</v>
          </cell>
          <cell r="B916" t="str">
            <v>71548</v>
          </cell>
          <cell r="C916" t="str">
            <v>Tehama</v>
          </cell>
          <cell r="D916" t="str">
            <v>Gerber Union Elementary</v>
          </cell>
          <cell r="E916">
            <v>411</v>
          </cell>
          <cell r="F916">
            <v>9147</v>
          </cell>
          <cell r="G916">
            <v>2</v>
          </cell>
        </row>
        <row r="917">
          <cell r="A917" t="str">
            <v>52</v>
          </cell>
          <cell r="B917" t="str">
            <v>71555</v>
          </cell>
          <cell r="C917" t="str">
            <v>Tehama</v>
          </cell>
          <cell r="D917" t="str">
            <v>Kirkwood Elementary</v>
          </cell>
          <cell r="E917">
            <v>78</v>
          </cell>
          <cell r="F917">
            <v>3564</v>
          </cell>
          <cell r="G917">
            <v>1</v>
          </cell>
        </row>
        <row r="918">
          <cell r="A918" t="str">
            <v>52</v>
          </cell>
          <cell r="B918" t="str">
            <v>71563</v>
          </cell>
          <cell r="C918" t="str">
            <v>Tehama</v>
          </cell>
          <cell r="D918" t="str">
            <v>Lassen View Union Elementary</v>
          </cell>
          <cell r="E918">
            <v>324</v>
          </cell>
          <cell r="F918">
            <v>7617</v>
          </cell>
          <cell r="G918">
            <v>2</v>
          </cell>
        </row>
        <row r="919">
          <cell r="A919" t="str">
            <v>52</v>
          </cell>
          <cell r="B919" t="str">
            <v>71571</v>
          </cell>
          <cell r="C919" t="str">
            <v>Tehama</v>
          </cell>
          <cell r="D919" t="str">
            <v>Los Molinos Unified</v>
          </cell>
          <cell r="E919">
            <v>569</v>
          </cell>
          <cell r="F919">
            <v>16429</v>
          </cell>
          <cell r="G919">
            <v>5</v>
          </cell>
        </row>
        <row r="920">
          <cell r="A920" t="str">
            <v>52</v>
          </cell>
          <cell r="B920" t="str">
            <v>71589</v>
          </cell>
          <cell r="C920" t="str">
            <v>Tehama</v>
          </cell>
          <cell r="D920" t="str">
            <v>Manton Joint Union Elementary</v>
          </cell>
          <cell r="E920">
            <v>41</v>
          </cell>
          <cell r="F920">
            <v>3564</v>
          </cell>
          <cell r="G920">
            <v>1</v>
          </cell>
        </row>
        <row r="921">
          <cell r="A921" t="str">
            <v>52</v>
          </cell>
          <cell r="B921" t="str">
            <v>71605</v>
          </cell>
          <cell r="C921" t="str">
            <v>Tehama</v>
          </cell>
          <cell r="D921" t="str">
            <v>Mineral Elementary</v>
          </cell>
          <cell r="E921">
            <v>132</v>
          </cell>
          <cell r="F921">
            <v>5792</v>
          </cell>
          <cell r="G921">
            <v>2</v>
          </cell>
        </row>
        <row r="922">
          <cell r="A922" t="str">
            <v>52</v>
          </cell>
          <cell r="B922" t="str">
            <v>71613</v>
          </cell>
          <cell r="C922" t="str">
            <v>Tehama</v>
          </cell>
          <cell r="D922" t="str">
            <v>Plum Valley Elementary</v>
          </cell>
          <cell r="E922">
            <v>20</v>
          </cell>
          <cell r="F922">
            <v>2228</v>
          </cell>
          <cell r="G922">
            <v>1</v>
          </cell>
        </row>
        <row r="923">
          <cell r="A923" t="str">
            <v>52</v>
          </cell>
          <cell r="B923" t="str">
            <v>71621</v>
          </cell>
          <cell r="C923" t="str">
            <v>Tehama</v>
          </cell>
          <cell r="D923" t="str">
            <v>Red Bluff Union Elementary</v>
          </cell>
          <cell r="E923">
            <v>2221</v>
          </cell>
          <cell r="F923">
            <v>41992</v>
          </cell>
          <cell r="G923">
            <v>6</v>
          </cell>
        </row>
        <row r="924">
          <cell r="A924" t="str">
            <v>52</v>
          </cell>
          <cell r="B924" t="str">
            <v>71639</v>
          </cell>
          <cell r="C924" t="str">
            <v>Tehama</v>
          </cell>
          <cell r="D924" t="str">
            <v>Red Bluff Joint Union High</v>
          </cell>
          <cell r="E924">
            <v>1891</v>
          </cell>
          <cell r="F924">
            <v>37492</v>
          </cell>
          <cell r="G924">
            <v>4</v>
          </cell>
        </row>
        <row r="925">
          <cell r="A925" t="str">
            <v>52</v>
          </cell>
          <cell r="B925" t="str">
            <v>71647</v>
          </cell>
          <cell r="C925" t="str">
            <v>Tehama</v>
          </cell>
          <cell r="D925" t="str">
            <v>Reeds Creek Elementary</v>
          </cell>
          <cell r="E925">
            <v>165</v>
          </cell>
          <cell r="F925">
            <v>3564</v>
          </cell>
          <cell r="G925">
            <v>1</v>
          </cell>
        </row>
        <row r="926">
          <cell r="A926" t="str">
            <v>52</v>
          </cell>
          <cell r="B926" t="str">
            <v>71654</v>
          </cell>
          <cell r="C926" t="str">
            <v>Tehama</v>
          </cell>
          <cell r="D926" t="str">
            <v>Richfield Elementary</v>
          </cell>
          <cell r="E926">
            <v>242</v>
          </cell>
          <cell r="F926">
            <v>4114</v>
          </cell>
          <cell r="G926">
            <v>1</v>
          </cell>
        </row>
        <row r="927">
          <cell r="A927" t="str">
            <v>53</v>
          </cell>
          <cell r="B927" t="str">
            <v>10538</v>
          </cell>
          <cell r="C927" t="str">
            <v>Trinity</v>
          </cell>
          <cell r="D927" t="str">
            <v>Trinity County Office of Education</v>
          </cell>
          <cell r="E927">
            <v>53</v>
          </cell>
          <cell r="F927">
            <v>8020</v>
          </cell>
          <cell r="G927">
            <v>3</v>
          </cell>
        </row>
        <row r="928">
          <cell r="A928" t="str">
            <v>53</v>
          </cell>
          <cell r="B928" t="str">
            <v>71662</v>
          </cell>
          <cell r="C928" t="str">
            <v>Trinity</v>
          </cell>
          <cell r="D928" t="str">
            <v>Burnt Ranch Elementary</v>
          </cell>
          <cell r="E928">
            <v>97</v>
          </cell>
          <cell r="F928">
            <v>3564</v>
          </cell>
          <cell r="G928">
            <v>1</v>
          </cell>
        </row>
        <row r="929">
          <cell r="A929" t="str">
            <v>53</v>
          </cell>
          <cell r="B929" t="str">
            <v>71670</v>
          </cell>
          <cell r="C929" t="str">
            <v>Trinity</v>
          </cell>
          <cell r="D929" t="str">
            <v>Coffee Creek Elementary</v>
          </cell>
          <cell r="E929">
            <v>9</v>
          </cell>
          <cell r="F929">
            <v>2228</v>
          </cell>
          <cell r="G929">
            <v>1</v>
          </cell>
        </row>
        <row r="930">
          <cell r="A930" t="str">
            <v>53</v>
          </cell>
          <cell r="B930" t="str">
            <v>71688</v>
          </cell>
          <cell r="C930" t="str">
            <v>Trinity</v>
          </cell>
          <cell r="D930" t="str">
            <v>Cox Bar Elementary</v>
          </cell>
          <cell r="E930">
            <v>9</v>
          </cell>
          <cell r="F930">
            <v>2228</v>
          </cell>
          <cell r="G930">
            <v>1</v>
          </cell>
        </row>
        <row r="931">
          <cell r="A931" t="str">
            <v>53</v>
          </cell>
          <cell r="B931" t="str">
            <v>71696</v>
          </cell>
          <cell r="C931" t="str">
            <v>Trinity</v>
          </cell>
          <cell r="D931" t="str">
            <v>Douglas City Elementary</v>
          </cell>
          <cell r="E931">
            <v>131</v>
          </cell>
          <cell r="F931">
            <v>3564</v>
          </cell>
          <cell r="G931">
            <v>1</v>
          </cell>
        </row>
        <row r="932">
          <cell r="A932" t="str">
            <v>53</v>
          </cell>
          <cell r="B932" t="str">
            <v>71738</v>
          </cell>
          <cell r="C932" t="str">
            <v>Trinity</v>
          </cell>
          <cell r="D932" t="str">
            <v>Junction City Elementary</v>
          </cell>
          <cell r="E932">
            <v>81</v>
          </cell>
          <cell r="F932">
            <v>3564</v>
          </cell>
          <cell r="G932">
            <v>1</v>
          </cell>
        </row>
        <row r="933">
          <cell r="A933" t="str">
            <v>53</v>
          </cell>
          <cell r="B933" t="str">
            <v>71746</v>
          </cell>
          <cell r="C933" t="str">
            <v>Trinity</v>
          </cell>
          <cell r="D933" t="str">
            <v>Lewiston Elementary</v>
          </cell>
          <cell r="E933">
            <v>58</v>
          </cell>
          <cell r="F933">
            <v>3564</v>
          </cell>
          <cell r="G933">
            <v>1</v>
          </cell>
        </row>
        <row r="934">
          <cell r="A934" t="str">
            <v>53</v>
          </cell>
          <cell r="B934" t="str">
            <v>71761</v>
          </cell>
          <cell r="C934" t="str">
            <v>Trinity</v>
          </cell>
          <cell r="D934" t="str">
            <v>Trinity Center Elementary</v>
          </cell>
          <cell r="E934">
            <v>20</v>
          </cell>
          <cell r="F934">
            <v>2228</v>
          </cell>
          <cell r="G934">
            <v>1</v>
          </cell>
        </row>
        <row r="935">
          <cell r="A935" t="str">
            <v>53</v>
          </cell>
          <cell r="B935" t="str">
            <v>73833</v>
          </cell>
          <cell r="C935" t="str">
            <v>Trinity</v>
          </cell>
          <cell r="D935" t="str">
            <v>Southern Trinity Joint Unified</v>
          </cell>
          <cell r="E935">
            <v>135</v>
          </cell>
          <cell r="F935">
            <v>11584</v>
          </cell>
          <cell r="G935">
            <v>4</v>
          </cell>
        </row>
        <row r="936">
          <cell r="A936" t="str">
            <v>53</v>
          </cell>
          <cell r="B936" t="str">
            <v>75028</v>
          </cell>
          <cell r="C936" t="str">
            <v>Trinity</v>
          </cell>
          <cell r="D936" t="str">
            <v>Mountain Valley Unified</v>
          </cell>
          <cell r="E936">
            <v>365</v>
          </cell>
          <cell r="F936">
            <v>14192</v>
          </cell>
          <cell r="G936">
            <v>5</v>
          </cell>
        </row>
        <row r="937">
          <cell r="A937" t="str">
            <v>53</v>
          </cell>
          <cell r="B937" t="str">
            <v>76513</v>
          </cell>
          <cell r="C937" t="str">
            <v>Trinity</v>
          </cell>
          <cell r="D937" t="str">
            <v>Trinity Alps Unified</v>
          </cell>
          <cell r="E937">
            <v>827</v>
          </cell>
          <cell r="F937">
            <v>21484</v>
          </cell>
          <cell r="G937">
            <v>5</v>
          </cell>
        </row>
        <row r="938">
          <cell r="A938" t="str">
            <v>54</v>
          </cell>
          <cell r="B938" t="str">
            <v>10546</v>
          </cell>
          <cell r="C938" t="str">
            <v>Tulare</v>
          </cell>
          <cell r="D938" t="str">
            <v>Tulare County Office of Education</v>
          </cell>
          <cell r="E938">
            <v>1864</v>
          </cell>
          <cell r="F938">
            <v>32385</v>
          </cell>
          <cell r="G938">
            <v>5</v>
          </cell>
        </row>
        <row r="939">
          <cell r="A939" t="str">
            <v>54</v>
          </cell>
          <cell r="B939" t="str">
            <v>71795</v>
          </cell>
          <cell r="C939" t="str">
            <v>Tulare</v>
          </cell>
          <cell r="D939" t="str">
            <v>Allensworth Elementary</v>
          </cell>
          <cell r="E939">
            <v>86</v>
          </cell>
          <cell r="F939">
            <v>3564</v>
          </cell>
          <cell r="G939">
            <v>1</v>
          </cell>
        </row>
        <row r="940">
          <cell r="A940" t="str">
            <v>54</v>
          </cell>
          <cell r="B940" t="str">
            <v>71803</v>
          </cell>
          <cell r="C940" t="str">
            <v>Tulare</v>
          </cell>
          <cell r="D940" t="str">
            <v>Alpaugh Unified</v>
          </cell>
          <cell r="E940">
            <v>337</v>
          </cell>
          <cell r="F940">
            <v>11584</v>
          </cell>
          <cell r="G940">
            <v>4</v>
          </cell>
        </row>
        <row r="941">
          <cell r="A941" t="str">
            <v>54</v>
          </cell>
          <cell r="B941" t="str">
            <v>71811</v>
          </cell>
          <cell r="C941" t="str">
            <v>Tulare</v>
          </cell>
          <cell r="D941" t="str">
            <v>Alta Vista Elementary</v>
          </cell>
          <cell r="E941">
            <v>500</v>
          </cell>
          <cell r="F941">
            <v>8500</v>
          </cell>
          <cell r="G941">
            <v>1</v>
          </cell>
        </row>
        <row r="942">
          <cell r="A942" t="str">
            <v>54</v>
          </cell>
          <cell r="B942" t="str">
            <v>71829</v>
          </cell>
          <cell r="C942" t="str">
            <v>Tulare</v>
          </cell>
          <cell r="D942" t="str">
            <v>Buena Vista Elementary</v>
          </cell>
          <cell r="E942">
            <v>193</v>
          </cell>
          <cell r="F942">
            <v>3564</v>
          </cell>
          <cell r="G942">
            <v>1</v>
          </cell>
        </row>
        <row r="943">
          <cell r="A943" t="str">
            <v>54</v>
          </cell>
          <cell r="B943" t="str">
            <v>71837</v>
          </cell>
          <cell r="C943" t="str">
            <v>Tulare</v>
          </cell>
          <cell r="D943" t="str">
            <v>Burton Elementary</v>
          </cell>
          <cell r="E943">
            <v>3656</v>
          </cell>
          <cell r="F943">
            <v>64279</v>
          </cell>
          <cell r="G943">
            <v>7</v>
          </cell>
        </row>
        <row r="944">
          <cell r="A944" t="str">
            <v>54</v>
          </cell>
          <cell r="B944" t="str">
            <v>71845</v>
          </cell>
          <cell r="C944" t="str">
            <v>Tulare</v>
          </cell>
          <cell r="D944" t="str">
            <v>Citrus South Tule Elementary</v>
          </cell>
          <cell r="E944">
            <v>45</v>
          </cell>
          <cell r="F944">
            <v>3564</v>
          </cell>
          <cell r="G944">
            <v>1</v>
          </cell>
        </row>
        <row r="945">
          <cell r="A945" t="str">
            <v>54</v>
          </cell>
          <cell r="B945" t="str">
            <v>71852</v>
          </cell>
          <cell r="C945" t="str">
            <v>Tulare</v>
          </cell>
          <cell r="D945" t="str">
            <v>Columbine Elementary</v>
          </cell>
          <cell r="E945">
            <v>206</v>
          </cell>
          <cell r="F945">
            <v>3564</v>
          </cell>
          <cell r="G945">
            <v>1</v>
          </cell>
        </row>
        <row r="946">
          <cell r="A946" t="str">
            <v>54</v>
          </cell>
          <cell r="B946" t="str">
            <v>71860</v>
          </cell>
          <cell r="C946" t="str">
            <v>Tulare</v>
          </cell>
          <cell r="D946" t="str">
            <v>Cutler-Orosi Joint Unified</v>
          </cell>
          <cell r="E946">
            <v>4129</v>
          </cell>
          <cell r="F946">
            <v>81620</v>
          </cell>
          <cell r="G946">
            <v>10</v>
          </cell>
        </row>
        <row r="947">
          <cell r="A947" t="str">
            <v>54</v>
          </cell>
          <cell r="B947" t="str">
            <v>71894</v>
          </cell>
          <cell r="C947" t="str">
            <v>Tulare</v>
          </cell>
          <cell r="D947" t="str">
            <v>Ducor Union Elementary</v>
          </cell>
          <cell r="E947">
            <v>185</v>
          </cell>
          <cell r="F947">
            <v>3564</v>
          </cell>
          <cell r="G947">
            <v>1</v>
          </cell>
        </row>
        <row r="948">
          <cell r="A948" t="str">
            <v>54</v>
          </cell>
          <cell r="B948" t="str">
            <v>71902</v>
          </cell>
          <cell r="C948" t="str">
            <v>Tulare</v>
          </cell>
          <cell r="D948" t="str">
            <v>Earlimart Elementary</v>
          </cell>
          <cell r="E948">
            <v>2034</v>
          </cell>
          <cell r="F948">
            <v>36755</v>
          </cell>
          <cell r="G948">
            <v>4</v>
          </cell>
        </row>
        <row r="949">
          <cell r="A949" t="str">
            <v>54</v>
          </cell>
          <cell r="B949" t="str">
            <v>71910</v>
          </cell>
          <cell r="C949" t="str">
            <v>Tulare</v>
          </cell>
          <cell r="D949" t="str">
            <v>Exeter Union Elementary</v>
          </cell>
          <cell r="E949">
            <v>1979</v>
          </cell>
          <cell r="F949">
            <v>35786</v>
          </cell>
          <cell r="G949">
            <v>4</v>
          </cell>
        </row>
        <row r="950">
          <cell r="A950" t="str">
            <v>54</v>
          </cell>
          <cell r="B950" t="str">
            <v>71928</v>
          </cell>
          <cell r="C950" t="str">
            <v>Tulare</v>
          </cell>
          <cell r="D950" t="str">
            <v>Exeter Union High</v>
          </cell>
          <cell r="E950">
            <v>1175</v>
          </cell>
          <cell r="F950">
            <v>27326</v>
          </cell>
          <cell r="G950">
            <v>4</v>
          </cell>
        </row>
        <row r="951">
          <cell r="A951" t="str">
            <v>54</v>
          </cell>
          <cell r="B951" t="str">
            <v>71944</v>
          </cell>
          <cell r="C951" t="str">
            <v>Tulare</v>
          </cell>
          <cell r="D951" t="str">
            <v>Hope Elementary</v>
          </cell>
          <cell r="E951">
            <v>140</v>
          </cell>
          <cell r="F951">
            <v>3564</v>
          </cell>
          <cell r="G951">
            <v>1</v>
          </cell>
        </row>
        <row r="952">
          <cell r="A952" t="str">
            <v>54</v>
          </cell>
          <cell r="B952" t="str">
            <v>71951</v>
          </cell>
          <cell r="C952" t="str">
            <v>Tulare</v>
          </cell>
          <cell r="D952" t="str">
            <v>Hot Springs Elementary</v>
          </cell>
          <cell r="E952">
            <v>26</v>
          </cell>
          <cell r="F952">
            <v>4456</v>
          </cell>
          <cell r="G952">
            <v>2</v>
          </cell>
        </row>
        <row r="953">
          <cell r="A953" t="str">
            <v>54</v>
          </cell>
          <cell r="B953" t="str">
            <v>71969</v>
          </cell>
          <cell r="C953" t="str">
            <v>Tulare</v>
          </cell>
          <cell r="D953" t="str">
            <v>Kings River Union Elementary</v>
          </cell>
          <cell r="E953">
            <v>496</v>
          </cell>
          <cell r="F953">
            <v>8432</v>
          </cell>
          <cell r="G953">
            <v>1</v>
          </cell>
        </row>
        <row r="954">
          <cell r="A954" t="str">
            <v>54</v>
          </cell>
          <cell r="B954" t="str">
            <v>71985</v>
          </cell>
          <cell r="C954" t="str">
            <v>Tulare</v>
          </cell>
          <cell r="D954" t="str">
            <v>Liberty Elementary</v>
          </cell>
          <cell r="E954">
            <v>266</v>
          </cell>
          <cell r="F954">
            <v>4522</v>
          </cell>
          <cell r="G954">
            <v>1</v>
          </cell>
        </row>
        <row r="955">
          <cell r="A955" t="str">
            <v>54</v>
          </cell>
          <cell r="B955" t="str">
            <v>71993</v>
          </cell>
          <cell r="C955" t="str">
            <v>Tulare</v>
          </cell>
          <cell r="D955" t="str">
            <v>Lindsay Unified</v>
          </cell>
          <cell r="E955">
            <v>4046</v>
          </cell>
          <cell r="F955">
            <v>73370</v>
          </cell>
          <cell r="G955">
            <v>7</v>
          </cell>
        </row>
        <row r="956">
          <cell r="A956" t="str">
            <v>54</v>
          </cell>
          <cell r="B956" t="str">
            <v>72009</v>
          </cell>
          <cell r="C956" t="str">
            <v>Tulare</v>
          </cell>
          <cell r="D956" t="str">
            <v>Monson-Sultana Joint Union Elementary</v>
          </cell>
          <cell r="E956">
            <v>440</v>
          </cell>
          <cell r="F956">
            <v>7480</v>
          </cell>
          <cell r="G956">
            <v>1</v>
          </cell>
        </row>
        <row r="957">
          <cell r="A957" t="str">
            <v>54</v>
          </cell>
          <cell r="B957" t="str">
            <v>72017</v>
          </cell>
          <cell r="C957" t="str">
            <v>Tulare</v>
          </cell>
          <cell r="D957" t="str">
            <v>Oak Valley Union Elementary</v>
          </cell>
          <cell r="E957">
            <v>462</v>
          </cell>
          <cell r="F957">
            <v>7854</v>
          </cell>
          <cell r="G957">
            <v>1</v>
          </cell>
        </row>
        <row r="958">
          <cell r="A958" t="str">
            <v>54</v>
          </cell>
          <cell r="B958" t="str">
            <v>72025</v>
          </cell>
          <cell r="C958" t="str">
            <v>Tulare</v>
          </cell>
          <cell r="D958" t="str">
            <v>Outside Creek Elementary</v>
          </cell>
          <cell r="E958">
            <v>138</v>
          </cell>
          <cell r="F958">
            <v>3564</v>
          </cell>
          <cell r="G958">
            <v>1</v>
          </cell>
        </row>
        <row r="959">
          <cell r="A959" t="str">
            <v>54</v>
          </cell>
          <cell r="B959" t="str">
            <v>72033</v>
          </cell>
          <cell r="C959" t="str">
            <v>Tulare</v>
          </cell>
          <cell r="D959" t="str">
            <v>Palo Verde Union Elementary</v>
          </cell>
          <cell r="E959">
            <v>549</v>
          </cell>
          <cell r="F959">
            <v>9333</v>
          </cell>
          <cell r="G959">
            <v>1</v>
          </cell>
        </row>
        <row r="960">
          <cell r="A960" t="str">
            <v>54</v>
          </cell>
          <cell r="B960" t="str">
            <v>72041</v>
          </cell>
          <cell r="C960" t="str">
            <v>Tulare</v>
          </cell>
          <cell r="D960" t="str">
            <v>Pixley Union Elementary</v>
          </cell>
          <cell r="E960">
            <v>917</v>
          </cell>
          <cell r="F960">
            <v>15589</v>
          </cell>
          <cell r="G960">
            <v>2</v>
          </cell>
        </row>
        <row r="961">
          <cell r="A961" t="str">
            <v>54</v>
          </cell>
          <cell r="B961" t="str">
            <v>72058</v>
          </cell>
          <cell r="C961" t="str">
            <v>Tulare</v>
          </cell>
          <cell r="D961" t="str">
            <v>Pleasant View Elementary</v>
          </cell>
          <cell r="E961">
            <v>532</v>
          </cell>
          <cell r="F961">
            <v>11255</v>
          </cell>
          <cell r="G961">
            <v>2</v>
          </cell>
        </row>
        <row r="962">
          <cell r="A962" t="str">
            <v>54</v>
          </cell>
          <cell r="B962" t="str">
            <v>72082</v>
          </cell>
          <cell r="C962" t="str">
            <v>Tulare</v>
          </cell>
          <cell r="D962" t="str">
            <v>Richgrove Elementary</v>
          </cell>
          <cell r="E962">
            <v>717</v>
          </cell>
          <cell r="F962">
            <v>12189</v>
          </cell>
          <cell r="G962">
            <v>1</v>
          </cell>
        </row>
        <row r="963">
          <cell r="A963" t="str">
            <v>54</v>
          </cell>
          <cell r="B963" t="str">
            <v>72090</v>
          </cell>
          <cell r="C963" t="str">
            <v>Tulare</v>
          </cell>
          <cell r="D963" t="str">
            <v>Rockford Elementary</v>
          </cell>
          <cell r="E963">
            <v>354</v>
          </cell>
          <cell r="F963">
            <v>6018</v>
          </cell>
          <cell r="G963">
            <v>1</v>
          </cell>
        </row>
        <row r="964">
          <cell r="A964" t="str">
            <v>54</v>
          </cell>
          <cell r="B964" t="str">
            <v>72108</v>
          </cell>
          <cell r="C964" t="str">
            <v>Tulare</v>
          </cell>
          <cell r="D964" t="str">
            <v>Saucelito Elementary</v>
          </cell>
          <cell r="E964">
            <v>86</v>
          </cell>
          <cell r="F964">
            <v>3564</v>
          </cell>
          <cell r="G964">
            <v>1</v>
          </cell>
        </row>
        <row r="965">
          <cell r="A965" t="str">
            <v>54</v>
          </cell>
          <cell r="B965" t="str">
            <v>72116</v>
          </cell>
          <cell r="C965" t="str">
            <v>Tulare</v>
          </cell>
          <cell r="D965" t="str">
            <v>Sequoia Union Elementary</v>
          </cell>
          <cell r="E965">
            <v>331</v>
          </cell>
          <cell r="F965">
            <v>5627</v>
          </cell>
          <cell r="G965">
            <v>1</v>
          </cell>
        </row>
        <row r="966">
          <cell r="A966" t="str">
            <v>54</v>
          </cell>
          <cell r="B966" t="str">
            <v>72132</v>
          </cell>
          <cell r="C966" t="str">
            <v>Tulare</v>
          </cell>
          <cell r="D966" t="str">
            <v>Springville Union Elementary</v>
          </cell>
          <cell r="E966">
            <v>358</v>
          </cell>
          <cell r="F966">
            <v>6086</v>
          </cell>
          <cell r="G966">
            <v>1</v>
          </cell>
        </row>
        <row r="967">
          <cell r="A967" t="str">
            <v>54</v>
          </cell>
          <cell r="B967" t="str">
            <v>72140</v>
          </cell>
          <cell r="C967" t="str">
            <v>Tulare</v>
          </cell>
          <cell r="D967" t="str">
            <v>Stone Corral Elementary</v>
          </cell>
          <cell r="E967">
            <v>136</v>
          </cell>
          <cell r="F967">
            <v>3564</v>
          </cell>
          <cell r="G967">
            <v>1</v>
          </cell>
        </row>
        <row r="968">
          <cell r="A968" t="str">
            <v>54</v>
          </cell>
          <cell r="B968" t="str">
            <v>72157</v>
          </cell>
          <cell r="C968" t="str">
            <v>Tulare</v>
          </cell>
          <cell r="D968" t="str">
            <v>Strathmore Union Elementary</v>
          </cell>
          <cell r="E968">
            <v>761</v>
          </cell>
          <cell r="F968">
            <v>15012</v>
          </cell>
          <cell r="G968">
            <v>2</v>
          </cell>
        </row>
        <row r="969">
          <cell r="A969" t="str">
            <v>54</v>
          </cell>
          <cell r="B969" t="str">
            <v>72173</v>
          </cell>
          <cell r="C969" t="str">
            <v>Tulare</v>
          </cell>
          <cell r="D969" t="str">
            <v>Sundale Union Elementary</v>
          </cell>
          <cell r="E969">
            <v>702</v>
          </cell>
          <cell r="F969">
            <v>11934</v>
          </cell>
          <cell r="G969">
            <v>1</v>
          </cell>
        </row>
        <row r="970">
          <cell r="A970" t="str">
            <v>54</v>
          </cell>
          <cell r="B970" t="str">
            <v>72181</v>
          </cell>
          <cell r="C970" t="str">
            <v>Tulare</v>
          </cell>
          <cell r="D970" t="str">
            <v>Sunnyside Union Elementary</v>
          </cell>
          <cell r="E970">
            <v>404</v>
          </cell>
          <cell r="F970">
            <v>6868</v>
          </cell>
          <cell r="G970">
            <v>1</v>
          </cell>
        </row>
        <row r="971">
          <cell r="A971" t="str">
            <v>54</v>
          </cell>
          <cell r="B971" t="str">
            <v>72199</v>
          </cell>
          <cell r="C971" t="str">
            <v>Tulare</v>
          </cell>
          <cell r="D971" t="str">
            <v>Terra Bella Union Elementary</v>
          </cell>
          <cell r="E971">
            <v>919</v>
          </cell>
          <cell r="F971">
            <v>15623</v>
          </cell>
          <cell r="G971">
            <v>2</v>
          </cell>
        </row>
        <row r="972">
          <cell r="A972" t="str">
            <v>54</v>
          </cell>
          <cell r="B972" t="str">
            <v>72207</v>
          </cell>
          <cell r="C972" t="str">
            <v>Tulare</v>
          </cell>
          <cell r="D972" t="str">
            <v>Three Rivers Union Elementary</v>
          </cell>
          <cell r="E972">
            <v>162</v>
          </cell>
          <cell r="F972">
            <v>3564</v>
          </cell>
          <cell r="G972">
            <v>1</v>
          </cell>
        </row>
        <row r="973">
          <cell r="A973" t="str">
            <v>54</v>
          </cell>
          <cell r="B973" t="str">
            <v>72215</v>
          </cell>
          <cell r="C973" t="str">
            <v>Tulare</v>
          </cell>
          <cell r="D973" t="str">
            <v>Tipton Elementary</v>
          </cell>
          <cell r="E973">
            <v>621</v>
          </cell>
          <cell r="F973">
            <v>10557</v>
          </cell>
          <cell r="G973">
            <v>1</v>
          </cell>
        </row>
        <row r="974">
          <cell r="A974" t="str">
            <v>54</v>
          </cell>
          <cell r="B974" t="str">
            <v>72223</v>
          </cell>
          <cell r="C974" t="str">
            <v>Tulare</v>
          </cell>
          <cell r="D974" t="str">
            <v>Traver Joint Elementary</v>
          </cell>
          <cell r="E974">
            <v>207</v>
          </cell>
          <cell r="F974">
            <v>3564</v>
          </cell>
          <cell r="G974">
            <v>1</v>
          </cell>
        </row>
        <row r="975">
          <cell r="A975" t="str">
            <v>54</v>
          </cell>
          <cell r="B975" t="str">
            <v>72231</v>
          </cell>
          <cell r="C975" t="str">
            <v>Tulare</v>
          </cell>
          <cell r="D975" t="str">
            <v>Tulare City Elementary</v>
          </cell>
          <cell r="E975">
            <v>8924</v>
          </cell>
          <cell r="F975">
            <v>153886</v>
          </cell>
          <cell r="G975">
            <v>15</v>
          </cell>
        </row>
        <row r="976">
          <cell r="A976" t="str">
            <v>54</v>
          </cell>
          <cell r="B976" t="str">
            <v>72249</v>
          </cell>
          <cell r="C976" t="str">
            <v>Tulare</v>
          </cell>
          <cell r="D976" t="str">
            <v>Tulare Joint Union High</v>
          </cell>
          <cell r="E976">
            <v>5022</v>
          </cell>
          <cell r="F976">
            <v>93376</v>
          </cell>
          <cell r="G976">
            <v>7</v>
          </cell>
        </row>
        <row r="977">
          <cell r="A977" t="str">
            <v>54</v>
          </cell>
          <cell r="B977" t="str">
            <v>72256</v>
          </cell>
          <cell r="C977" t="str">
            <v>Tulare</v>
          </cell>
          <cell r="D977" t="str">
            <v>Visalia Unified</v>
          </cell>
          <cell r="E977">
            <v>27035</v>
          </cell>
          <cell r="F977">
            <v>466403</v>
          </cell>
          <cell r="G977">
            <v>37</v>
          </cell>
        </row>
        <row r="978">
          <cell r="A978" t="str">
            <v>54</v>
          </cell>
          <cell r="B978" t="str">
            <v>72264</v>
          </cell>
          <cell r="C978" t="str">
            <v>Tulare</v>
          </cell>
          <cell r="D978" t="str">
            <v>Waukena Joint Union Elementary</v>
          </cell>
          <cell r="E978">
            <v>222</v>
          </cell>
          <cell r="F978">
            <v>3774</v>
          </cell>
          <cell r="G978">
            <v>1</v>
          </cell>
        </row>
        <row r="979">
          <cell r="A979" t="str">
            <v>54</v>
          </cell>
          <cell r="B979" t="str">
            <v>72272</v>
          </cell>
          <cell r="C979" t="str">
            <v>Tulare</v>
          </cell>
          <cell r="D979" t="str">
            <v>Woodlake Union Elementary</v>
          </cell>
          <cell r="E979">
            <v>1558</v>
          </cell>
          <cell r="F979">
            <v>26486</v>
          </cell>
          <cell r="G979">
            <v>3</v>
          </cell>
        </row>
        <row r="980">
          <cell r="A980" t="str">
            <v>54</v>
          </cell>
          <cell r="B980" t="str">
            <v>72280</v>
          </cell>
          <cell r="C980" t="str">
            <v>Tulare</v>
          </cell>
          <cell r="D980" t="str">
            <v>Woodlake Union High</v>
          </cell>
          <cell r="E980">
            <v>883</v>
          </cell>
          <cell r="F980">
            <v>19988</v>
          </cell>
          <cell r="G980">
            <v>3</v>
          </cell>
        </row>
        <row r="981">
          <cell r="A981" t="str">
            <v>54</v>
          </cell>
          <cell r="B981" t="str">
            <v>72298</v>
          </cell>
          <cell r="C981" t="str">
            <v>Tulare</v>
          </cell>
          <cell r="D981" t="str">
            <v>Woodville Union Elementary</v>
          </cell>
          <cell r="E981">
            <v>594</v>
          </cell>
          <cell r="F981">
            <v>10098</v>
          </cell>
          <cell r="G981">
            <v>1</v>
          </cell>
        </row>
        <row r="982">
          <cell r="A982" t="str">
            <v>54</v>
          </cell>
          <cell r="B982" t="str">
            <v>75325</v>
          </cell>
          <cell r="C982" t="str">
            <v>Tulare</v>
          </cell>
          <cell r="D982" t="str">
            <v>Farmersville Unified</v>
          </cell>
          <cell r="E982">
            <v>2561</v>
          </cell>
          <cell r="F982">
            <v>45826</v>
          </cell>
          <cell r="G982">
            <v>6</v>
          </cell>
        </row>
        <row r="983">
          <cell r="A983" t="str">
            <v>54</v>
          </cell>
          <cell r="B983" t="str">
            <v>75523</v>
          </cell>
          <cell r="C983" t="str">
            <v>Tulare</v>
          </cell>
          <cell r="D983" t="str">
            <v>Porterville Unified</v>
          </cell>
          <cell r="E983">
            <v>13392</v>
          </cell>
          <cell r="F983">
            <v>233123</v>
          </cell>
          <cell r="G983">
            <v>22</v>
          </cell>
        </row>
        <row r="984">
          <cell r="A984" t="str">
            <v>54</v>
          </cell>
          <cell r="B984" t="str">
            <v>75531</v>
          </cell>
          <cell r="C984" t="str">
            <v>Tulare</v>
          </cell>
          <cell r="D984" t="str">
            <v>Dinuba Unified</v>
          </cell>
          <cell r="E984">
            <v>5920</v>
          </cell>
          <cell r="F984">
            <v>102574</v>
          </cell>
          <cell r="G984">
            <v>10</v>
          </cell>
        </row>
        <row r="985">
          <cell r="A985" t="str">
            <v>55</v>
          </cell>
          <cell r="B985" t="str">
            <v>10553</v>
          </cell>
          <cell r="C985" t="str">
            <v>Tuolumne</v>
          </cell>
          <cell r="D985" t="str">
            <v>Tuolumne County Superintendent of Schools</v>
          </cell>
          <cell r="E985">
            <v>110</v>
          </cell>
          <cell r="F985">
            <v>10248</v>
          </cell>
          <cell r="G985">
            <v>4</v>
          </cell>
        </row>
        <row r="986">
          <cell r="A986" t="str">
            <v>55</v>
          </cell>
          <cell r="B986" t="str">
            <v>72306</v>
          </cell>
          <cell r="C986" t="str">
            <v>Tuolumne</v>
          </cell>
          <cell r="D986" t="str">
            <v>Belleview Elementary</v>
          </cell>
          <cell r="E986">
            <v>142</v>
          </cell>
          <cell r="F986">
            <v>3564</v>
          </cell>
          <cell r="G986">
            <v>1</v>
          </cell>
        </row>
        <row r="987">
          <cell r="A987" t="str">
            <v>55</v>
          </cell>
          <cell r="B987" t="str">
            <v>72330</v>
          </cell>
          <cell r="C987" t="str">
            <v>Tuolumne</v>
          </cell>
          <cell r="D987" t="str">
            <v>Chinese Camp Elementary</v>
          </cell>
          <cell r="E987">
            <v>17</v>
          </cell>
          <cell r="F987">
            <v>2228</v>
          </cell>
          <cell r="G987">
            <v>1</v>
          </cell>
        </row>
        <row r="988">
          <cell r="A988" t="str">
            <v>55</v>
          </cell>
          <cell r="B988" t="str">
            <v>72348</v>
          </cell>
          <cell r="C988" t="str">
            <v>Tuolumne</v>
          </cell>
          <cell r="D988" t="str">
            <v>Columbia Union</v>
          </cell>
          <cell r="E988">
            <v>617</v>
          </cell>
          <cell r="F988">
            <v>12683</v>
          </cell>
          <cell r="G988">
            <v>2</v>
          </cell>
        </row>
        <row r="989">
          <cell r="A989" t="str">
            <v>55</v>
          </cell>
          <cell r="B989" t="str">
            <v>72355</v>
          </cell>
          <cell r="C989" t="str">
            <v>Tuolumne</v>
          </cell>
          <cell r="D989" t="str">
            <v>Curtis Creek Elementary</v>
          </cell>
          <cell r="E989">
            <v>620</v>
          </cell>
          <cell r="F989">
            <v>13272</v>
          </cell>
          <cell r="G989">
            <v>3</v>
          </cell>
        </row>
        <row r="990">
          <cell r="A990" t="str">
            <v>55</v>
          </cell>
          <cell r="B990" t="str">
            <v>72363</v>
          </cell>
          <cell r="C990" t="str">
            <v>Tuolumne</v>
          </cell>
          <cell r="D990" t="str">
            <v>Jamestown Elementary</v>
          </cell>
          <cell r="E990">
            <v>462</v>
          </cell>
          <cell r="F990">
            <v>9980</v>
          </cell>
          <cell r="G990">
            <v>2</v>
          </cell>
        </row>
        <row r="991">
          <cell r="A991" t="str">
            <v>55</v>
          </cell>
          <cell r="B991" t="str">
            <v>72371</v>
          </cell>
          <cell r="C991" t="str">
            <v>Tuolumne</v>
          </cell>
          <cell r="D991" t="str">
            <v>Sonora Elementary</v>
          </cell>
          <cell r="E991">
            <v>765</v>
          </cell>
          <cell r="F991">
            <v>15217</v>
          </cell>
          <cell r="G991">
            <v>2</v>
          </cell>
        </row>
        <row r="992">
          <cell r="A992" t="str">
            <v>55</v>
          </cell>
          <cell r="B992" t="str">
            <v>72389</v>
          </cell>
          <cell r="C992" t="str">
            <v>Tuolumne</v>
          </cell>
          <cell r="D992" t="str">
            <v>Sonora Union High</v>
          </cell>
          <cell r="E992">
            <v>1489</v>
          </cell>
          <cell r="F992">
            <v>32290</v>
          </cell>
          <cell r="G992">
            <v>4</v>
          </cell>
        </row>
        <row r="993">
          <cell r="A993" t="str">
            <v>55</v>
          </cell>
          <cell r="B993" t="str">
            <v>72397</v>
          </cell>
          <cell r="C993" t="str">
            <v>Tuolumne</v>
          </cell>
          <cell r="D993" t="str">
            <v>Soulsbyville Elementary</v>
          </cell>
          <cell r="E993">
            <v>519</v>
          </cell>
          <cell r="F993">
            <v>13126</v>
          </cell>
          <cell r="G993">
            <v>3</v>
          </cell>
        </row>
        <row r="994">
          <cell r="A994" t="str">
            <v>55</v>
          </cell>
          <cell r="B994" t="str">
            <v>72405</v>
          </cell>
          <cell r="C994" t="str">
            <v>Tuolumne</v>
          </cell>
          <cell r="D994" t="str">
            <v>Summerville Elementary</v>
          </cell>
          <cell r="E994">
            <v>373</v>
          </cell>
          <cell r="F994">
            <v>8450</v>
          </cell>
          <cell r="G994">
            <v>2</v>
          </cell>
        </row>
        <row r="995">
          <cell r="A995" t="str">
            <v>55</v>
          </cell>
          <cell r="B995" t="str">
            <v>72413</v>
          </cell>
          <cell r="C995" t="str">
            <v>Tuolumne</v>
          </cell>
          <cell r="D995" t="str">
            <v>Summerville Union High</v>
          </cell>
          <cell r="E995">
            <v>695</v>
          </cell>
          <cell r="F995">
            <v>25194</v>
          </cell>
          <cell r="G995">
            <v>8</v>
          </cell>
        </row>
        <row r="996">
          <cell r="A996" t="str">
            <v>55</v>
          </cell>
          <cell r="B996" t="str">
            <v>72421</v>
          </cell>
          <cell r="C996" t="str">
            <v>Tuolumne</v>
          </cell>
          <cell r="D996" t="str">
            <v>Twain Harte-Long Barn Union Elementary</v>
          </cell>
          <cell r="E996">
            <v>374</v>
          </cell>
          <cell r="F996">
            <v>15148</v>
          </cell>
          <cell r="G996">
            <v>5</v>
          </cell>
        </row>
        <row r="997">
          <cell r="A997" t="str">
            <v>55</v>
          </cell>
          <cell r="B997" t="str">
            <v>75184</v>
          </cell>
          <cell r="C997" t="str">
            <v>Tuolumne</v>
          </cell>
          <cell r="D997" t="str">
            <v>Big Oak Flat-Groveland Unified</v>
          </cell>
          <cell r="E997">
            <v>460</v>
          </cell>
          <cell r="F997">
            <v>16412</v>
          </cell>
          <cell r="G997">
            <v>5</v>
          </cell>
        </row>
        <row r="998">
          <cell r="A998" t="str">
            <v>56</v>
          </cell>
          <cell r="B998" t="str">
            <v>10561</v>
          </cell>
          <cell r="C998" t="str">
            <v>Ventura</v>
          </cell>
          <cell r="D998" t="str">
            <v>Ventura County Office of Education</v>
          </cell>
          <cell r="E998">
            <v>768</v>
          </cell>
          <cell r="F998">
            <v>14608</v>
          </cell>
          <cell r="G998">
            <v>3</v>
          </cell>
        </row>
        <row r="999">
          <cell r="A999" t="str">
            <v>56</v>
          </cell>
          <cell r="B999" t="str">
            <v>72447</v>
          </cell>
          <cell r="C999" t="str">
            <v>Ventura</v>
          </cell>
          <cell r="D999" t="str">
            <v>Briggs Elementary</v>
          </cell>
          <cell r="E999">
            <v>449</v>
          </cell>
          <cell r="F999">
            <v>8205</v>
          </cell>
          <cell r="G999">
            <v>2</v>
          </cell>
        </row>
        <row r="1000">
          <cell r="A1000" t="str">
            <v>56</v>
          </cell>
          <cell r="B1000" t="str">
            <v>72454</v>
          </cell>
          <cell r="C1000" t="str">
            <v>Ventura</v>
          </cell>
          <cell r="D1000" t="str">
            <v>Fillmore Unified</v>
          </cell>
          <cell r="E1000">
            <v>3860</v>
          </cell>
          <cell r="F1000">
            <v>67996</v>
          </cell>
          <cell r="G1000">
            <v>7</v>
          </cell>
        </row>
        <row r="1001">
          <cell r="A1001" t="str">
            <v>56</v>
          </cell>
          <cell r="B1001" t="str">
            <v>72462</v>
          </cell>
          <cell r="C1001" t="str">
            <v>Ventura</v>
          </cell>
          <cell r="D1001" t="str">
            <v>Hueneme Elementary</v>
          </cell>
          <cell r="E1001">
            <v>7979</v>
          </cell>
          <cell r="F1001">
            <v>135646</v>
          </cell>
          <cell r="G1001">
            <v>11</v>
          </cell>
        </row>
        <row r="1002">
          <cell r="A1002" t="str">
            <v>56</v>
          </cell>
          <cell r="B1002" t="str">
            <v>72470</v>
          </cell>
          <cell r="C1002" t="str">
            <v>Ventura</v>
          </cell>
          <cell r="D1002" t="str">
            <v>Mesa Union Elementary</v>
          </cell>
          <cell r="E1002">
            <v>584</v>
          </cell>
          <cell r="F1002">
            <v>9928</v>
          </cell>
          <cell r="G1002">
            <v>1</v>
          </cell>
        </row>
        <row r="1003">
          <cell r="A1003" t="str">
            <v>56</v>
          </cell>
          <cell r="B1003" t="str">
            <v>72504</v>
          </cell>
          <cell r="C1003" t="str">
            <v>Ventura</v>
          </cell>
          <cell r="D1003" t="str">
            <v>Mupu Elementary</v>
          </cell>
          <cell r="E1003">
            <v>127</v>
          </cell>
          <cell r="F1003">
            <v>3564</v>
          </cell>
          <cell r="G1003">
            <v>1</v>
          </cell>
        </row>
        <row r="1004">
          <cell r="A1004" t="str">
            <v>56</v>
          </cell>
          <cell r="B1004" t="str">
            <v>72512</v>
          </cell>
          <cell r="C1004" t="str">
            <v>Ventura</v>
          </cell>
          <cell r="D1004" t="str">
            <v>Ocean View Elementary</v>
          </cell>
          <cell r="E1004">
            <v>2508</v>
          </cell>
          <cell r="F1004">
            <v>42637</v>
          </cell>
          <cell r="G1004">
            <v>4</v>
          </cell>
        </row>
        <row r="1005">
          <cell r="A1005" t="str">
            <v>56</v>
          </cell>
          <cell r="B1005" t="str">
            <v>72520</v>
          </cell>
          <cell r="C1005" t="str">
            <v>Ventura</v>
          </cell>
          <cell r="D1005" t="str">
            <v>Ojai Unified</v>
          </cell>
          <cell r="E1005">
            <v>3089</v>
          </cell>
          <cell r="F1005">
            <v>58412</v>
          </cell>
          <cell r="G1005">
            <v>8</v>
          </cell>
        </row>
        <row r="1006">
          <cell r="A1006" t="str">
            <v>56</v>
          </cell>
          <cell r="B1006" t="str">
            <v>72538</v>
          </cell>
          <cell r="C1006" t="str">
            <v>Ventura</v>
          </cell>
          <cell r="D1006" t="str">
            <v>Oxnard Elementary</v>
          </cell>
          <cell r="E1006">
            <v>15400</v>
          </cell>
          <cell r="F1006">
            <v>266992</v>
          </cell>
          <cell r="G1006">
            <v>21</v>
          </cell>
        </row>
        <row r="1007">
          <cell r="A1007" t="str">
            <v>56</v>
          </cell>
          <cell r="B1007" t="str">
            <v>72546</v>
          </cell>
          <cell r="C1007" t="str">
            <v>Ventura</v>
          </cell>
          <cell r="D1007" t="str">
            <v>Oxnard Union High</v>
          </cell>
          <cell r="E1007">
            <v>16442</v>
          </cell>
          <cell r="F1007">
            <v>281474</v>
          </cell>
          <cell r="G1007">
            <v>8</v>
          </cell>
        </row>
        <row r="1008">
          <cell r="A1008" t="str">
            <v>56</v>
          </cell>
          <cell r="B1008" t="str">
            <v>72553</v>
          </cell>
          <cell r="C1008" t="str">
            <v>Ventura</v>
          </cell>
          <cell r="D1008" t="str">
            <v>Pleasant Valley</v>
          </cell>
          <cell r="E1008">
            <v>6647</v>
          </cell>
          <cell r="F1008">
            <v>113001</v>
          </cell>
          <cell r="G1008">
            <v>11</v>
          </cell>
        </row>
        <row r="1009">
          <cell r="A1009" t="str">
            <v>56</v>
          </cell>
          <cell r="B1009" t="str">
            <v>72561</v>
          </cell>
          <cell r="C1009" t="str">
            <v>Ventura</v>
          </cell>
          <cell r="D1009" t="str">
            <v>Rio Elementary</v>
          </cell>
          <cell r="E1009">
            <v>4297</v>
          </cell>
          <cell r="F1009">
            <v>75209</v>
          </cell>
          <cell r="G1009">
            <v>9</v>
          </cell>
        </row>
        <row r="1010">
          <cell r="A1010" t="str">
            <v>56</v>
          </cell>
          <cell r="B1010" t="str">
            <v>72579</v>
          </cell>
          <cell r="C1010" t="str">
            <v>Ventura</v>
          </cell>
          <cell r="D1010" t="str">
            <v>Santa Clara Elementary</v>
          </cell>
          <cell r="E1010">
            <v>55</v>
          </cell>
          <cell r="F1010">
            <v>3564</v>
          </cell>
          <cell r="G1010">
            <v>1</v>
          </cell>
        </row>
        <row r="1011">
          <cell r="A1011" t="str">
            <v>56</v>
          </cell>
          <cell r="B1011" t="str">
            <v>72587</v>
          </cell>
          <cell r="C1011" t="str">
            <v>Ventura</v>
          </cell>
          <cell r="D1011" t="str">
            <v>Santa Paula Elementary</v>
          </cell>
          <cell r="E1011">
            <v>3712</v>
          </cell>
          <cell r="F1011">
            <v>63105</v>
          </cell>
          <cell r="G1011">
            <v>7</v>
          </cell>
        </row>
        <row r="1012">
          <cell r="A1012" t="str">
            <v>56</v>
          </cell>
          <cell r="B1012" t="str">
            <v>72595</v>
          </cell>
          <cell r="C1012" t="str">
            <v>Ventura</v>
          </cell>
          <cell r="D1012" t="str">
            <v>Santa Paula Union High</v>
          </cell>
          <cell r="E1012">
            <v>1645</v>
          </cell>
          <cell r="F1012">
            <v>29541</v>
          </cell>
          <cell r="G1012">
            <v>2</v>
          </cell>
        </row>
        <row r="1013">
          <cell r="A1013" t="str">
            <v>56</v>
          </cell>
          <cell r="B1013" t="str">
            <v>72603</v>
          </cell>
          <cell r="C1013" t="str">
            <v>Ventura</v>
          </cell>
          <cell r="D1013" t="str">
            <v>Simi Valley Unified</v>
          </cell>
          <cell r="E1013">
            <v>20819</v>
          </cell>
          <cell r="F1013">
            <v>354146</v>
          </cell>
          <cell r="G1013">
            <v>29</v>
          </cell>
        </row>
        <row r="1014">
          <cell r="A1014" t="str">
            <v>56</v>
          </cell>
          <cell r="B1014" t="str">
            <v>72611</v>
          </cell>
          <cell r="C1014" t="str">
            <v>Ventura</v>
          </cell>
          <cell r="D1014" t="str">
            <v>Somis Union</v>
          </cell>
          <cell r="E1014">
            <v>309</v>
          </cell>
          <cell r="F1014">
            <v>5253</v>
          </cell>
          <cell r="G1014">
            <v>1</v>
          </cell>
        </row>
        <row r="1015">
          <cell r="A1015" t="str">
            <v>56</v>
          </cell>
          <cell r="B1015" t="str">
            <v>72652</v>
          </cell>
          <cell r="C1015" t="str">
            <v>Ventura</v>
          </cell>
          <cell r="D1015" t="str">
            <v>Ventura Unified</v>
          </cell>
          <cell r="E1015">
            <v>17350</v>
          </cell>
          <cell r="F1015">
            <v>308330</v>
          </cell>
          <cell r="G1015">
            <v>31</v>
          </cell>
        </row>
        <row r="1016">
          <cell r="A1016" t="str">
            <v>56</v>
          </cell>
          <cell r="B1016" t="str">
            <v>73759</v>
          </cell>
          <cell r="C1016" t="str">
            <v>Ventura</v>
          </cell>
          <cell r="D1016" t="str">
            <v>Conejo Valley Unified</v>
          </cell>
          <cell r="E1016">
            <v>21643</v>
          </cell>
          <cell r="F1016">
            <v>370911</v>
          </cell>
          <cell r="G1016">
            <v>29</v>
          </cell>
        </row>
        <row r="1017">
          <cell r="A1017" t="str">
            <v>56</v>
          </cell>
          <cell r="B1017" t="str">
            <v>73874</v>
          </cell>
          <cell r="C1017" t="str">
            <v>Ventura</v>
          </cell>
          <cell r="D1017" t="str">
            <v>Oak Park Unified</v>
          </cell>
          <cell r="E1017">
            <v>3619</v>
          </cell>
          <cell r="F1017">
            <v>66103</v>
          </cell>
          <cell r="G1017">
            <v>7</v>
          </cell>
        </row>
        <row r="1018">
          <cell r="A1018" t="str">
            <v>56</v>
          </cell>
          <cell r="B1018" t="str">
            <v>73940</v>
          </cell>
          <cell r="C1018" t="str">
            <v>Ventura</v>
          </cell>
          <cell r="D1018" t="str">
            <v>Moorpark Unified</v>
          </cell>
          <cell r="E1018">
            <v>7324</v>
          </cell>
          <cell r="F1018">
            <v>127152</v>
          </cell>
          <cell r="G1018">
            <v>11</v>
          </cell>
        </row>
        <row r="1019">
          <cell r="A1019" t="str">
            <v>57</v>
          </cell>
          <cell r="B1019" t="str">
            <v>10579</v>
          </cell>
          <cell r="C1019" t="str">
            <v>Yolo</v>
          </cell>
          <cell r="D1019" t="str">
            <v>Yolo County Office of Education</v>
          </cell>
          <cell r="E1019">
            <v>319</v>
          </cell>
          <cell r="F1019">
            <v>14256</v>
          </cell>
          <cell r="G1019">
            <v>4</v>
          </cell>
        </row>
        <row r="1020">
          <cell r="A1020" t="str">
            <v>57</v>
          </cell>
          <cell r="B1020" t="str">
            <v>72678</v>
          </cell>
          <cell r="C1020" t="str">
            <v>Yolo</v>
          </cell>
          <cell r="D1020" t="str">
            <v>Davis Joint Unified</v>
          </cell>
          <cell r="E1020">
            <v>8536</v>
          </cell>
          <cell r="F1020">
            <v>151165</v>
          </cell>
          <cell r="G1020">
            <v>16</v>
          </cell>
        </row>
        <row r="1021">
          <cell r="A1021" t="str">
            <v>57</v>
          </cell>
          <cell r="B1021" t="str">
            <v>72686</v>
          </cell>
          <cell r="C1021" t="str">
            <v>Yolo</v>
          </cell>
          <cell r="D1021" t="str">
            <v>Esparto Unified</v>
          </cell>
          <cell r="E1021">
            <v>1087</v>
          </cell>
          <cell r="F1021">
            <v>21601</v>
          </cell>
          <cell r="G1021">
            <v>4</v>
          </cell>
        </row>
        <row r="1022">
          <cell r="A1022" t="str">
            <v>57</v>
          </cell>
          <cell r="B1022" t="str">
            <v>72694</v>
          </cell>
          <cell r="C1022" t="str">
            <v>Yolo</v>
          </cell>
          <cell r="D1022" t="str">
            <v>Washington Unified</v>
          </cell>
          <cell r="E1022">
            <v>7164</v>
          </cell>
          <cell r="F1022">
            <v>124398</v>
          </cell>
          <cell r="G1022">
            <v>11</v>
          </cell>
        </row>
        <row r="1023">
          <cell r="A1023" t="str">
            <v>57</v>
          </cell>
          <cell r="B1023" t="str">
            <v>72702</v>
          </cell>
          <cell r="C1023" t="str">
            <v>Yolo</v>
          </cell>
          <cell r="D1023" t="str">
            <v>Winters Joint Unified</v>
          </cell>
          <cell r="E1023">
            <v>1716</v>
          </cell>
          <cell r="F1023">
            <v>31818</v>
          </cell>
          <cell r="G1023">
            <v>5</v>
          </cell>
        </row>
        <row r="1024">
          <cell r="A1024" t="str">
            <v>57</v>
          </cell>
          <cell r="B1024" t="str">
            <v>72710</v>
          </cell>
          <cell r="C1024" t="str">
            <v>Yolo</v>
          </cell>
          <cell r="D1024" t="str">
            <v>Woodland Joint Unified</v>
          </cell>
          <cell r="E1024">
            <v>10573</v>
          </cell>
          <cell r="F1024">
            <v>186026</v>
          </cell>
          <cell r="G1024">
            <v>19</v>
          </cell>
        </row>
        <row r="1025">
          <cell r="A1025" t="str">
            <v>58</v>
          </cell>
          <cell r="B1025" t="str">
            <v>10587</v>
          </cell>
          <cell r="C1025" t="str">
            <v>Yuba</v>
          </cell>
          <cell r="D1025" t="str">
            <v>Yuba County Office of Education</v>
          </cell>
          <cell r="E1025">
            <v>635</v>
          </cell>
          <cell r="F1025">
            <v>19550</v>
          </cell>
          <cell r="G1025">
            <v>5</v>
          </cell>
        </row>
        <row r="1026">
          <cell r="A1026" t="str">
            <v>58</v>
          </cell>
          <cell r="B1026" t="str">
            <v>72728</v>
          </cell>
          <cell r="C1026" t="str">
            <v>Yuba</v>
          </cell>
          <cell r="D1026" t="str">
            <v>Camptonville Elementary</v>
          </cell>
          <cell r="E1026">
            <v>51</v>
          </cell>
          <cell r="F1026">
            <v>3564</v>
          </cell>
          <cell r="G1026">
            <v>1</v>
          </cell>
        </row>
        <row r="1027">
          <cell r="A1027" t="str">
            <v>58</v>
          </cell>
          <cell r="B1027" t="str">
            <v>72736</v>
          </cell>
          <cell r="C1027" t="str">
            <v>Yuba</v>
          </cell>
          <cell r="D1027" t="str">
            <v>Marysville Joint Unified</v>
          </cell>
          <cell r="E1027">
            <v>10087</v>
          </cell>
          <cell r="F1027">
            <v>187120</v>
          </cell>
          <cell r="G1027">
            <v>24</v>
          </cell>
        </row>
        <row r="1028">
          <cell r="A1028" t="str">
            <v>58</v>
          </cell>
          <cell r="B1028" t="str">
            <v>72744</v>
          </cell>
          <cell r="C1028" t="str">
            <v>Yuba</v>
          </cell>
          <cell r="D1028" t="str">
            <v>Plumas Lake Elementary</v>
          </cell>
          <cell r="E1028">
            <v>991</v>
          </cell>
          <cell r="F1028">
            <v>18871</v>
          </cell>
          <cell r="G1028">
            <v>4</v>
          </cell>
        </row>
        <row r="1029">
          <cell r="A1029" t="str">
            <v>58</v>
          </cell>
          <cell r="B1029" t="str">
            <v>72751</v>
          </cell>
          <cell r="C1029" t="str">
            <v>Yuba</v>
          </cell>
          <cell r="D1029" t="str">
            <v>Wheatland</v>
          </cell>
          <cell r="E1029">
            <v>1439</v>
          </cell>
          <cell r="F1029">
            <v>25749</v>
          </cell>
          <cell r="G1029">
            <v>4</v>
          </cell>
        </row>
        <row r="1030">
          <cell r="A1030" t="str">
            <v>58</v>
          </cell>
          <cell r="B1030" t="str">
            <v>72769</v>
          </cell>
          <cell r="C1030" t="str">
            <v>Yuba</v>
          </cell>
          <cell r="D1030" t="str">
            <v>Wheatland Union High</v>
          </cell>
          <cell r="E1030">
            <v>785</v>
          </cell>
          <cell r="F1030">
            <v>16280</v>
          </cell>
          <cell r="G1030">
            <v>2</v>
          </cell>
        </row>
      </sheetData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553BB14-1A9E-4689-A6A2-8EE49EB354FD}" name="Table39" displayName="Table39" ref="A5:J49" totalsRowCount="1" headerRowDxfId="330" dataDxfId="329" totalsRowDxfId="327" tableBorderDxfId="328" totalsRowBorderDxfId="326" dataCellStyle="Normal 4">
  <tableColumns count="10">
    <tableColumn id="1" xr3:uid="{199357C9-5CB7-4C39-A489-C059E4AF64A0}" name="County" totalsRowLabel="Totals" totalsRowDxfId="325" dataCellStyle="Normal 4"/>
    <tableColumn id="2" xr3:uid="{BE083B74-0059-4390-94DF-F65D9E9E1542}" name="County Code" totalsRowDxfId="324" dataCellStyle="Normal 4"/>
    <tableColumn id="3" xr3:uid="{D5A56B01-0026-4AC7-8FCC-4459A19A25E6}" name="District Code" totalsRowDxfId="323" dataCellStyle="Normal 4"/>
    <tableColumn id="4" xr3:uid="{2BBA724A-EB4D-40EE-A0D8-D0451CF93AB4}" name="School Code" totalsRowDxfId="322" dataCellStyle="Normal 4"/>
    <tableColumn id="7" xr3:uid="{8ADA7D5E-FF4B-4B1A-AD25-026E26EE56E9}" name="Local Educational Agency" totalsRowDxfId="321" dataCellStyle="Normal 4"/>
    <tableColumn id="8" xr3:uid="{3D35C9AE-72D8-40E7-A855-0A53A2764CD5}" name="District Type" dataDxfId="320" totalsRowDxfId="319" dataCellStyle="Normal 4"/>
    <tableColumn id="5" xr3:uid="{CE50BE7E-9797-43D0-84E4-9C1FFFF289A1}" name="ESSER I_x000a_(Federal CARES Act)" totalsRowFunction="custom" dataDxfId="318" totalsRowDxfId="317" dataCellStyle="Currency" totalsRowCellStyle="Currency">
      <calculatedColumnFormula>VLOOKUP(Table39[[#This Row],[District Code]],'20-21 ESSER I Alloc'!D:K,8,FALSE)</calculatedColumnFormula>
      <totalsRowFormula>SUM(G6:G48)</totalsRowFormula>
    </tableColumn>
    <tableColumn id="6" xr3:uid="{39202AAD-1703-4FBC-A6A2-EF74DD1D9D1E}" name="ESSER II_x000a_(Federal CRRSA Act)" totalsRowFunction="custom" dataDxfId="316" totalsRowDxfId="315" dataCellStyle="Currency" totalsRowCellStyle="Currency">
      <calculatedColumnFormula>VLOOKUP(Table39[[#This Row],[District Code]],'20-21 ESSER II Alloc'!D:M,10,FALSE)</calculatedColumnFormula>
      <totalsRowFormula>SUM(H6:H48)</totalsRowFormula>
    </tableColumn>
    <tableColumn id="9" xr3:uid="{09C909FF-AC12-4845-B80A-A17AF2F18F47}" name="ESSER III_x000a_(Federal ARP Act)" totalsRowFunction="custom" dataDxfId="314" totalsRowDxfId="313" dataCellStyle="Currency" totalsRowCellStyle="Currency">
      <calculatedColumnFormula>VLOOKUP(Table39[[#This Row],[District Code]],'2020-21 ESSER III Alloc'!D:U,18,FALSE)</calculatedColumnFormula>
      <totalsRowFormula>SUM(I6:I48)</totalsRowFormula>
    </tableColumn>
    <tableColumn id="27" xr3:uid="{BA6B734F-6381-4F0E-A2EB-40BB7DDC57F2}" name="SB 117 COVID-19 LEA Response Funds (State)" totalsRowFunction="custom" dataDxfId="312" totalsRowDxfId="311" dataCellStyle="Currency" totalsRowCellStyle="Currency">
      <totalsRowFormula>SUM(J6:J48)</totalsRowFormula>
    </tableColumn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chedule of Allocations for the SB 117 COVID-19 LEA Response Funds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227B436-9E02-4975-8884-19B423480B08}" name="Table25" displayName="Table25" ref="A5:Q172" totalsRowCount="1" headerRowDxfId="307" dataDxfId="305" headerRowBorderDxfId="306" tableBorderDxfId="304" totalsRowBorderDxfId="303" dataCellStyle="Currency" totalsRowCellStyle="Total">
  <autoFilter ref="A5:Q171" xr:uid="{D97AC52A-BA93-45EC-8ABF-00590461DDDE}"/>
  <tableColumns count="17">
    <tableColumn id="1" xr3:uid="{00000000-0010-0000-0000-000001000000}" name="County Name" totalsRowLabel="Countywide Total" dataDxfId="302" totalsRowDxfId="80" dataCellStyle="Normal 4 2 2" totalsRowCellStyle="Total 4"/>
    <tableColumn id="2" xr3:uid="{00000000-0010-0000-0000-000002000000}" name="Full CDS Code" dataDxfId="301" totalsRowDxfId="79" dataCellStyle="Normal 4 2 2" totalsRowCellStyle="Total 4"/>
    <tableColumn id="3" xr3:uid="{00000000-0010-0000-0000-000003000000}" name="County_x000a_Code" dataDxfId="300" totalsRowDxfId="78" dataCellStyle="Normal 4 2 2" totalsRowCellStyle="Total 4"/>
    <tableColumn id="4" xr3:uid="{00000000-0010-0000-0000-000004000000}" name="District_x000a_Code" dataDxfId="299" totalsRowDxfId="77" dataCellStyle="Normal 4 2 2" totalsRowCellStyle="Total 4"/>
    <tableColumn id="5" xr3:uid="{00000000-0010-0000-0000-000005000000}" name="School_x000a_Code" dataDxfId="298" totalsRowDxfId="76" dataCellStyle="Normal 4 2 2" totalsRowCellStyle="Total 4"/>
    <tableColumn id="6" xr3:uid="{00000000-0010-0000-0000-000006000000}" name="Direct_x000a_Funded_x000a_Charter School_x000a_Number" dataDxfId="297" totalsRowDxfId="75" dataCellStyle="Normal 4 2 2" totalsRowCellStyle="Total 4"/>
    <tableColumn id="7" xr3:uid="{00000000-0010-0000-0000-000007000000}" name="Service Location Field" dataDxfId="296" totalsRowDxfId="74" dataCellStyle="Normal 4 2 2" totalsRowCellStyle="Total 4"/>
    <tableColumn id="8" xr3:uid="{00000000-0010-0000-0000-000008000000}" name="Local Educational Agency" dataDxfId="295" totalsRowDxfId="73" dataCellStyle="Normal 4 2 2" totalsRowCellStyle="Total 4"/>
    <tableColumn id="14" xr3:uid="{45680306-734B-44E3-9F81-64F714DD141C}" name="LCAP Federal Addendum for Title I" dataDxfId="294" totalsRowDxfId="72" dataCellStyle="Normal 4 2 2" totalsRowCellStyle="Total 4"/>
    <tableColumn id="9" xr3:uid="{00000000-0010-0000-0000-000009000000}" name="ESSER I_x000a_Application" dataDxfId="293" totalsRowDxfId="71" dataCellStyle="Normal 4 2 2" totalsRowCellStyle="Total 4"/>
    <tableColumn id="10" xr3:uid="{00000000-0010-0000-0000-00000A000000}" name="Final_x000a_Allocation" totalsRowFunction="sum" dataDxfId="292" totalsRowDxfId="70" dataCellStyle="Normal 4 2 2" totalsRowCellStyle="Total 4"/>
    <tableColumn id="13" xr3:uid="{00000000-0010-0000-0000-00000D000000}" name="1st_x000a_Apportionment" totalsRowFunction="sum" dataDxfId="291" totalsRowDxfId="69" dataCellStyle="Currency" totalsRowCellStyle="Total 4"/>
    <tableColumn id="15" xr3:uid="{D6A30C7E-0BC8-47C3-97A4-AE690073B8DE}" name="2nd_x000a_Apportionment" totalsRowFunction="sum" dataDxfId="290" totalsRowDxfId="68" dataCellStyle="Currency" totalsRowCellStyle="Total 4"/>
    <tableColumn id="16" xr3:uid="{8E1B1D34-90E2-4323-A74C-29A86F11F095}" name="3rd_x000a_Apportionment" totalsRowFunction="sum" dataDxfId="289" totalsRowDxfId="67" dataCellStyle="Currency" totalsRowCellStyle="Total 4"/>
    <tableColumn id="18" xr3:uid="{296078AD-1037-44D5-BA01-77C386DD650A}" name="4th_x000a_Apportionment" totalsRowFunction="sum" dataDxfId="288" totalsRowDxfId="66" dataCellStyle="Currency" totalsRowCellStyle="Total 4"/>
    <tableColumn id="11" xr3:uid="{00000000-0010-0000-0000-00000B000000}" name="Total Paid" totalsRowFunction="sum" dataDxfId="287" totalsRowDxfId="65" dataCellStyle="Normal 4 2 2" totalsRowCellStyle="Total 4"/>
    <tableColumn id="12" xr3:uid="{00000000-0010-0000-0000-00000C000000}" name="Balance_x000a_Remaining" totalsRowFunction="sum" dataDxfId="286" totalsRowDxfId="64" dataCellStyle="Normal 4 2 2" totalsRowCellStyle="Total 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Total award allocations for the Title II, Part A program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0CB73FA-78A1-44FC-85CD-8ADC8D623C11}" name="Table37" displayName="Table37" ref="A8:Q172" totalsRowCount="1" headerRowDxfId="285" headerRowBorderDxfId="284" tableBorderDxfId="283" totalsRowCellStyle="Total">
  <autoFilter ref="A8:Q171" xr:uid="{82A14D68-7AF7-4D76-BBFF-0386C3905C40}"/>
  <tableColumns count="17">
    <tableColumn id="1" xr3:uid="{0CBBCD32-6B89-4D60-9068-EB83B49A6F71}" name="County Name" totalsRowLabel="Countywide Total" dataDxfId="282" totalsRowDxfId="63" dataCellStyle="Normal 4 2 2" totalsRowCellStyle="Total"/>
    <tableColumn id="4" xr3:uid="{B18B589F-4A47-42BA-90F3-C9E5B7680236}" name="Full CDS Code" dataDxfId="281" totalsRowDxfId="62" totalsRowCellStyle="Total"/>
    <tableColumn id="5" xr3:uid="{08D207F9-BAFF-4F34-82C8-3F846C9B0C78}" name="County_x000a_Code" dataDxfId="280" totalsRowDxfId="61" totalsRowCellStyle="Total"/>
    <tableColumn id="6" xr3:uid="{00FB0935-0704-4545-97F7-878739E522DD}" name="District_x000a_Code" dataDxfId="279" totalsRowDxfId="60" totalsRowCellStyle="Total"/>
    <tableColumn id="7" xr3:uid="{EF96446B-6E60-41DB-B81C-0F212FEF6ADF}" name="School_x000a_Code" dataDxfId="278" totalsRowDxfId="59" totalsRowCellStyle="Total"/>
    <tableColumn id="8" xr3:uid="{5B6D0414-C8D6-4F2A-93D6-FB7B9C25C4C2}" name="Direct_x000a_Funded_x000a_Charter School_x000a_Number" dataDxfId="277" totalsRowDxfId="58" totalsRowCellStyle="Total"/>
    <tableColumn id="9" xr3:uid="{31876B08-43AD-42F7-B803-FD80C6C57903}" name="Service Location Field" dataDxfId="276" totalsRowDxfId="57" totalsRowCellStyle="Total"/>
    <tableColumn id="10" xr3:uid="{F8A48726-DCF1-494C-B387-CF5D200B5026}" name="Local Educational Agency" dataDxfId="275" totalsRowDxfId="56" totalsRowCellStyle="Total"/>
    <tableColumn id="11" xr3:uid="{2AEC031C-D6DC-4CAC-AC3E-DE865AB58715}" name="Revised _x000a_Eligibility_x000a_Amount" totalsRowFunction="sum" dataDxfId="274" totalsRowDxfId="55" totalsRowCellStyle="Total"/>
    <tableColumn id="12" xr3:uid="{95089A21-F81D-497B-9234-AA0AAD741DF9}" name="CARS_x000a_Application_x000a_for Funding" dataDxfId="273" totalsRowDxfId="54" totalsRowCellStyle="Total"/>
    <tableColumn id="13" xr3:uid="{FAB74BFF-18F4-42BB-8479-A2E2C380CDF3}" name="LCAP Federal Addendum" dataDxfId="272" totalsRowDxfId="53" totalsRowCellStyle="Total"/>
    <tableColumn id="14" xr3:uid="{08289A84-B633-40D9-A431-C82C8B1022BD}" name="ESSER II _x000a_Legal _x000a_Assurances" dataDxfId="271" totalsRowDxfId="52" totalsRowCellStyle="Total"/>
    <tableColumn id="15" xr3:uid="{FB39A9E2-D18A-48F0-8E75-CD5B4065A05A}" name="Revised_x000a_Allocation_x000a_Amount" totalsRowFunction="sum" dataDxfId="270" totalsRowDxfId="51" dataCellStyle="Normal 20" totalsRowCellStyle="Total"/>
    <tableColumn id="16" xr3:uid="{DCA12BD1-5D68-437C-93CD-1EC20AE021B6}" name="1st_x000a_Apportionment" totalsRowFunction="sum" dataDxfId="269" totalsRowDxfId="50" dataCellStyle="Normal 20" totalsRowCellStyle="Total"/>
    <tableColumn id="20" xr3:uid="{D0916BFB-CD54-48AF-BF15-6D72EDC02610}" name="2nd Apportionment" totalsRowFunction="sum" dataDxfId="268" totalsRowDxfId="49" totalsRowCellStyle="Total"/>
    <tableColumn id="21" xr3:uid="{F8CC9FF0-DA77-495C-9190-37B53AD487E8}" name="Total Paid" totalsRowFunction="sum" dataDxfId="267" totalsRowDxfId="48" totalsRowCellStyle="Total"/>
    <tableColumn id="22" xr3:uid="{E1A3A87F-B790-4F69-A9ED-516DEA20E972}" name="Balance_x000a_Remaining" totalsRowFunction="sum" dataDxfId="266" totalsRowDxfId="47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chedule of the revised allocation for Coronavirus Response and Relief Supplemental Appropriations Act, 2021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C09D777-354C-465A-A3D5-14AC556A6169}" name="Table2" displayName="Table2" ref="A8:X172" totalsRowCount="1" headerRowDxfId="264" dataDxfId="262" headerRowBorderDxfId="263" tableBorderDxfId="261" totalsRowCellStyle="Total">
  <tableColumns count="24">
    <tableColumn id="1" xr3:uid="{12BD8B81-03B9-47E1-88F9-5CFED4EC7F20}" name="County_x000a_Name" totalsRowLabel="Totals" dataDxfId="260" totalsRowDxfId="23" dataCellStyle="Normal 4 2 2"/>
    <tableColumn id="2" xr3:uid="{A5285A30-2757-4417-88DE-5CFB0E939885}" name="Full CDS Code" dataDxfId="259" totalsRowDxfId="22" dataCellStyle="Normal 4 2 2"/>
    <tableColumn id="3" xr3:uid="{B856FED3-5150-4D7C-A5DD-EE12B15A731D}" name="County_x000a_Code" dataDxfId="46" totalsRowDxfId="21" dataCellStyle="Total 4"/>
    <tableColumn id="4" xr3:uid="{D69166FA-B7D4-4123-9F5E-A509F0B27F69}" name="District_x000a_Code" dataDxfId="258" totalsRowDxfId="20" dataCellStyle="Normal 4 2 2"/>
    <tableColumn id="5" xr3:uid="{1BB1B305-24F4-40A5-99F3-7C83F6FEBF5A}" name="School_x000a_Code" dataDxfId="257" totalsRowDxfId="19" dataCellStyle="Normal 4 2 2"/>
    <tableColumn id="6" xr3:uid="{B1B31BFC-CE81-49CF-93FE-56588D9A82CA}" name="Direct_x000a_Funded_x000a_Charter School_x000a_Number" dataDxfId="256" totalsRowDxfId="18" dataCellStyle="Normal 4 2 2"/>
    <tableColumn id="7" xr3:uid="{9AC3CA68-0D61-425D-ADF0-678685622071}" name="Service_x000a_Location_x000a_Field" dataDxfId="255" totalsRowDxfId="17" dataCellStyle="Normal 4 2 2"/>
    <tableColumn id="8" xr3:uid="{5519CFEA-971C-446F-9021-7464B81219C3}" name="Local Educational Agency" dataDxfId="254" totalsRowDxfId="16" dataCellStyle="Normal 4 2 2"/>
    <tableColumn id="9" xr3:uid="{DA7953A5-4A7E-4613-B2AB-22DD0E0C7AC1}" name="Current_x000a_Authority_x000a_Eligibility_x000a_Amount" totalsRowFunction="sum" dataDxfId="253" totalsRowDxfId="15" dataCellStyle="Normal 4 2 2"/>
    <tableColumn id="10" xr3:uid="{3756EA62-87BF-41A2-AF5E-D03186C0B2DF}" name="Future_x000a_Authority_x000a_Eligibility_x000a_Amount" totalsRowFunction="sum" dataDxfId="252" totalsRowDxfId="14" dataCellStyle="Normal 4 2 2"/>
    <tableColumn id="11" xr3:uid="{CACDAE4B-C3C7-4901-94D4-418A96628C2F}" name="Revised _x000a_Total_x000a_Eligibility_x000a_Amount" totalsRowFunction="sum" dataDxfId="251" totalsRowDxfId="13"/>
    <tableColumn id="12" xr3:uid="{D823CF77-1DA3-4AF5-BFFD-D26028D8C461}" name="CARS_x000a_Application_x000a_for Funding" dataDxfId="250" totalsRowDxfId="12"/>
    <tableColumn id="13" xr3:uid="{916CFE92-C755-40AE-8F04-B5960382EA5C}" name="LCAP Federal Addendum" dataDxfId="249" totalsRowDxfId="11"/>
    <tableColumn id="14" xr3:uid="{CD7BF382-815E-4F96-B7C9-372AD0A60B46}" name="ESSER III _x000a_Legal _x000a_Assurances" dataDxfId="248" totalsRowDxfId="10"/>
    <tableColumn id="15" xr3:uid="{12DABE80-E192-41F0-A5FF-09F27116C513}" name="80% of Funding Allowable Uses of ESSER III_x000a_Resource 3213_x000a_(Current Authority)" totalsRowFunction="sum" dataDxfId="247" totalsRowDxfId="9"/>
    <tableColumn id="16" xr3:uid="{B3151DD2-21DB-4B0A-AC07-EE7D5B0E007A}" name="20% of Funding to Address Learning Loss1_x000a_Resource 3214_x000a_(Current Authority)" totalsRowFunction="sum" dataDxfId="246" totalsRowDxfId="8"/>
    <tableColumn id="17" xr3:uid="{E581DE5C-9D16-41F4-AC6A-7EF43D10515C}" name="Total_x000a_Revised_x000a_Allocation_x000a_Amount_x000a_(Current Authority)" totalsRowFunction="sum" dataDxfId="245" totalsRowDxfId="7"/>
    <tableColumn id="18" xr3:uid="{FA0A19BE-6E9C-46FD-AF59-C4F4E3A494B0}" name="80% of Funding Allowable Uses of ESSER III_x000a_Resource 3213_x000a_(Future Authority)" totalsRowFunction="sum" dataDxfId="244" totalsRowDxfId="6"/>
    <tableColumn id="19" xr3:uid="{24D18320-3F57-44B6-A57C-69411CB4E4E9}" name="20% of Funding to Address Learning Loss1_x000a_Resource 3214_x000a_(Future Authority)" totalsRowFunction="sum" dataDxfId="243" totalsRowDxfId="5"/>
    <tableColumn id="20" xr3:uid="{57E32B03-870D-4ED3-AD09-956F39151067}" name="Total_x000a_Revised_x000a_Allocation_x000a_Amount_x000a_(Future Authority)" totalsRowFunction="sum" dataDxfId="242" totalsRowDxfId="4"/>
    <tableColumn id="21" xr3:uid="{569FEF98-BCB3-40D8-9B8A-2C5D52EBE647}" name="Total Revised Allocation Amount_x000a_(Current + Future)" totalsRowFunction="sum" dataDxfId="241" totalsRowDxfId="3"/>
    <tableColumn id="22" xr3:uid="{86522EC7-E27C-47B4-BA86-3AA3FC47DC78}" name="1st_x000a_Apportionment_x000a_(10% of Current Authority)" totalsRowFunction="sum" dataDxfId="240" totalsRowDxfId="2"/>
    <tableColumn id="23" xr3:uid="{FFE8C8EA-3B90-44F7-B8E3-BEE1653C27FD}" name="Total Paid" totalsRowFunction="sum" dataDxfId="239" totalsRowDxfId="1"/>
    <tableColumn id="24" xr3:uid="{041BABF8-E779-4A99-ACAE-D6E3A1038880}" name="Balance_x000a_Remaining" totalsRowFunction="sum" dataDxfId="238" totalsRow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Allocation schedule for the Elementary and Secondary School Emergency Relief III Funds of the American Rescue Plan Act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A27876F-A857-42F3-B548-D51869F55E84}" name="Table3" displayName="Table3" ref="A5:AA135" totalsRowCount="1" headerRowDxfId="237" dataDxfId="236" totalsRowDxfId="234" tableBorderDxfId="235" totalsRowBorderDxfId="233" dataCellStyle="Normal 4">
  <autoFilter ref="A5:AA134" xr:uid="{CC016F3E-DC27-4A8B-AD5D-DED2A421B986}">
    <filterColumn colId="3">
      <filters>
        <filter val="0000000"/>
      </filters>
    </filterColumn>
  </autoFilter>
  <tableColumns count="27">
    <tableColumn id="1" xr3:uid="{52236565-526A-4EA3-BB31-DB92A40F33A9}" name="County" totalsRowLabel="Totals" totalsRowDxfId="232" dataCellStyle="Normal 4"/>
    <tableColumn id="2" xr3:uid="{485E3D04-E695-4354-A7E0-14121F7A3BF4}" name="County Code" totalsRowDxfId="231" dataCellStyle="Normal 4"/>
    <tableColumn id="3" xr3:uid="{7BF13C82-FEB4-4E4A-A5D8-59EABB548FA4}" name="District Code" totalsRowDxfId="230" dataCellStyle="Normal 4"/>
    <tableColumn id="4" xr3:uid="{4E960458-20E5-4C8F-8D80-001A93626023}" name="School Code" totalsRowDxfId="229" dataCellStyle="Normal 4"/>
    <tableColumn id="5" xr3:uid="{3033F31A-D74D-4DEB-A394-6852D1C5DDD1}" name="Charter Number" totalsRowDxfId="228" dataCellStyle="Normal 4"/>
    <tableColumn id="6" xr3:uid="{A3E4BCCE-8DF8-4308-A0F7-AD3DBE948439}" name="Charter Fund Type" totalsRowDxfId="227" dataCellStyle="Normal 4"/>
    <tableColumn id="7" xr3:uid="{F325255E-DF16-49FC-9D41-65FADA51EC51}" name="Local Educational Agency" totalsRowDxfId="226" dataCellStyle="Normal 4"/>
    <tableColumn id="8" xr3:uid="{9BA7BDF9-379E-4D4E-97D7-3B905B1F974C}" name="District Type" totalsRowDxfId="225" dataCellStyle="Normal 4"/>
    <tableColumn id="9" xr3:uid="{1C30703A-378B-488D-9502-CD58BF75FD5B}" name="_x000a_School District Funded ADA_x000a_A.1" totalsRowFunction="sum" dataDxfId="224" totalsRowDxfId="223" dataCellStyle="Normal 4"/>
    <tableColumn id="10" xr3:uid="{53D0348D-4166-4A2F-91C1-742FC1FF53F6}" name="_x000a_School District NSS Funded ADA_x000a_A.2" totalsRowFunction="sum" dataDxfId="222" totalsRowDxfId="221" dataCellStyle="Normal 4"/>
    <tableColumn id="11" xr3:uid="{3CACF3CB-5820-4DAE-84E4-D2864CDBCCFC}" name="_x000a_School District Basic Aid Choice_x000a_A.3" totalsRowFunction="sum" dataDxfId="220" totalsRowDxfId="219" dataCellStyle="Normal 4"/>
    <tableColumn id="12" xr3:uid="{C21223BB-7762-468D-9903-5212FB648498}" name="_x000a_School District Basic Aid COVPT_x000a_A.4" totalsRowFunction="sum" dataDxfId="218" totalsRowDxfId="217" dataCellStyle="Normal 4"/>
    <tableColumn id="13" xr3:uid="{CD491905-0F8D-46D0-9BEB-D4C9E0F966CE}" name="Total School District ADA_x000a_(Sum A.1:A.4)_x000a_A.5 " totalsRowFunction="sum" dataDxfId="216" totalsRowDxfId="215" dataCellStyle="Normal 4"/>
    <tableColumn id="14" xr3:uid="{BF0B7714-B090-4FCA-8CB1-407C934A124E}" name="Attendance COE_x000a_B.1" totalsRowFunction="sum" dataDxfId="214" totalsRowDxfId="213" dataCellStyle="Normal 4"/>
    <tableColumn id="15" xr3:uid="{AAFB3B4E-9073-4096-AB18-AAA7BE20D0F2}" name="Attendance DFCP_x000a_B.2" totalsRowFunction="sum" dataDxfId="212" totalsRowDxfId="211" dataCellStyle="Normal 4"/>
    <tableColumn id="16" xr3:uid="{795A7F12-11E8-4481-83D9-6E6AA57F6647}" name="Total COE ADA_x000a_(B.1 + B.2) _x000a_B.3" totalsRowFunction="sum" dataDxfId="210" totalsRowDxfId="209" dataCellStyle="Normal 4"/>
    <tableColumn id="17" xr3:uid="{906B0229-D1A8-4A42-A36E-9D79D3C90BD6}" name="Attendance Charter School_x000a_C.1" totalsRowFunction="sum" dataDxfId="208" totalsRowDxfId="207" dataCellStyle="Normal 4"/>
    <tableColumn id="18" xr3:uid="{30DC922C-0BDD-4B79-8801-7EC933E45AFA}" name="Attendance Charter Funded County Program_x000a_C.2" totalsRowFunction="sum" dataDxfId="206" totalsRowDxfId="205" dataCellStyle="Normal 4"/>
    <tableColumn id="19" xr3:uid="{D8E706E0-FA58-4289-8CDB-43A07E57E622}" name="Attendance COE Charter_x000a_C.3" totalsRowFunction="sum" dataDxfId="204" totalsRowDxfId="203" dataCellStyle="Normal 4"/>
    <tableColumn id="20" xr3:uid="{45D5A52E-79BC-4E32-8C73-C7BF0A56F7F7}" name="All Charter District_x000a_C.4" totalsRowFunction="sum" dataDxfId="202" totalsRowDxfId="201" dataCellStyle="Normal 4"/>
    <tableColumn id="21" xr3:uid="{FF4D536D-3A95-41CD-9A9C-D4782E1FB4D1}" name="Total Charter School Funded ADA _x000a_(Sum C.1:C.4)_x000a_C.5" totalsRowFunction="sum" dataDxfId="200" totalsRowDxfId="199" dataCellStyle="Normal 4"/>
    <tableColumn id="22" xr3:uid="{8D4F94C9-D746-4585-89ED-AAB5111A4DDB}" name="Total Funded ADA (A.5 + B.3 + C.5)_x000a_D.1" totalsRowFunction="sum" dataDxfId="198" totalsRowDxfId="197" dataCellStyle="Normal 4"/>
    <tableColumn id="23" xr3:uid="{BAF0DEE7-1EC5-4322-8B60-07BBFB3AC976}" name="Charter School Nonclassroom Based ADA _x000a_D.2" totalsRowFunction="sum" dataDxfId="196" totalsRowDxfId="195" dataCellStyle="Normal 4"/>
    <tableColumn id="24" xr3:uid="{5EAB6921-6BEA-46DF-A096-698B3AA14A99}" name="Total Funded ADA less Charter School Nonclassroom Based ADA_x000a_D.3 " totalsRowFunction="sum" dataDxfId="194" totalsRowDxfId="193" dataCellStyle="Normal 4"/>
    <tableColumn id="25" xr3:uid="{D99E536A-13D2-4ABD-B705-1B4DC29D28B2}" name="2019-20 Fall 1 CALPADS Enrollment for State Special Schools_x000a_E.1" totalsRowFunction="sum" dataDxfId="192" totalsRowDxfId="191" dataCellStyle="Normal 4"/>
    <tableColumn id="26" xr3:uid="{4E4D42CE-3477-43B7-A06F-AFB627133C91}" name="ADA to Include State Special School ADA Equivalent_x000a_E.2" totalsRowFunction="sum" totalsRowDxfId="190" dataCellStyle="Normal 4"/>
    <tableColumn id="27" xr3:uid="{57C725DA-DF04-48CB-940F-1A4298426FC1}" name="SB 117 Allocation (greater of  $17.3779235 x E.2, or $250)" totalsRowFunction="sum" totalsRowDxfId="189" dataCellStyle="Normal 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chedule of Allocations for the SB 117 COVID-19 LEA Response Funds.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F89F80E-0459-477E-89AB-136D6734974D}" name="Table18" displayName="Table18" ref="A6:V184" totalsRowCount="1" headerRowDxfId="188" headerRowBorderDxfId="187" tableBorderDxfId="186" totalsRowBorderDxfId="185" headerRowCellStyle="Currency" totalsRowCellStyle="Total">
  <autoFilter ref="A6:V183" xr:uid="{8819D88B-E9FC-40F1-BB2D-9AD2FF77D902}"/>
  <tableColumns count="22">
    <tableColumn id="1" xr3:uid="{A19223E4-6AA4-41E5-B5D1-C97550E8A772}" name="County Code" totalsRowLabel="Countywide Totals" dataDxfId="184" totalsRowDxfId="45" totalsRowCellStyle="Total 4"/>
    <tableColumn id="2" xr3:uid="{F21B2136-B0EE-4463-9EB9-9B35A9F133F1}" name="District Code" dataDxfId="183" totalsRowDxfId="44" totalsRowCellStyle="Total 4"/>
    <tableColumn id="3" xr3:uid="{B5E3F820-004B-431A-8CA8-847F315C254D}" name="School Code" dataDxfId="182" totalsRowDxfId="43" totalsRowCellStyle="Total 4"/>
    <tableColumn id="4" xr3:uid="{3EB4F8E3-5FF8-4A7B-ACC6-3C03183BED25}" name="Charter Number" dataDxfId="181" totalsRowDxfId="42" totalsRowCellStyle="Total 4"/>
    <tableColumn id="5" xr3:uid="{21DB975A-37CB-4B6F-9E37-1780AEC8A3AA}" name="Charter_x000a_School_x000a_Fund _x000a_Type" dataDxfId="180" totalsRowDxfId="41" totalsRowCellStyle="Total 4"/>
    <tableColumn id="6" xr3:uid="{E289E185-F4A2-455E-A3FE-5EFB04C049DC}" name="Service Location" dataDxfId="179" totalsRowDxfId="40" totalsRowCellStyle="Total 4"/>
    <tableColumn id="7" xr3:uid="{90EAC0A9-579B-41D6-B6E8-769BFA91F269}" name="Local Educational Agency Name" dataDxfId="178" totalsRowDxfId="39" totalsRowCellStyle="Total 4"/>
    <tableColumn id="8" xr3:uid="{F917AAFB-3CDD-4AA7-B5AA-8F9E6CCA33A1}" name="Nonclassroom-Based_x000a_Charter School_x000a_Yes/No" dataDxfId="177" totalsRowDxfId="38" totalsRowCellStyle="Total 4"/>
    <tableColumn id="9" xr3:uid="{D0927EF0-AC47-4289-BD59-632024A7E23C}" name="Special Education Pupil Count as of the 2019-20 Fall 1 Census" totalsRowFunction="sum" dataDxfId="176" totalsRowDxfId="37" dataCellStyle="Comma" totalsRowCellStyle="Total 4"/>
    <tableColumn id="10" xr3:uid="{6FB13ED6-DF0D-4258-A0C7-81C54325ED5C}" name="Allocation for _x000a_Sec. 110(a)_x000a_Paid from _x000a_GEER Fund_x000a_Res. Code 3215" totalsRowFunction="sum" dataDxfId="175" totalsRowDxfId="36" totalsRowCellStyle="Total 4"/>
    <tableColumn id="11" xr3:uid="{D33E9515-5F2D-47AD-8308-B171E1A1E98D}" name="Allocation for _x000a_Sec. 110(a)_x000a_Paid from _x000a_CR Fund_x000a_Res. Code 3220" totalsRowFunction="sum" dataDxfId="174" totalsRowDxfId="35" totalsRowCellStyle="Total 4"/>
    <tableColumn id="12" xr3:uid="{F3AEEF7A-5F02-4946-B232-28B395142CF7}" name="LEA Supplemental_x000a_ and Concentration _x000a_Grant Funding _x000a_as of 2019-20 P-2" totalsRowFunction="sum" dataDxfId="173" totalsRowDxfId="34" totalsRowCellStyle="Currency 2"/>
    <tableColumn id="13" xr3:uid="{DCA6C4E7-B077-400B-A75C-52E5E4C6C426}" name="LEA Proportion of _x000a_Statewide _x000a_Supplemental and Concentration _x000a_Grant Funding" totalsRowFunction="sum" dataDxfId="172" totalsRowDxfId="33" totalsRowCellStyle="Total 4"/>
    <tableColumn id="14" xr3:uid="{0255348A-A9A5-4190-A10B-B832A3960121}" name="Allocation for _x000a_Sec. 110(b)_x000a_Paid from _x000a_CR Fund_x000a_Res. Code 3220" totalsRowFunction="sum" dataDxfId="171" totalsRowDxfId="32" dataCellStyle="Comma" totalsRowCellStyle="Currency 2"/>
    <tableColumn id="15" xr3:uid="{8DED96B1-023F-4BC6-878B-B6001ADA4DA7}" name="LEA_x000a_LCFF  Entitlement _x000a_as of 2019-20 P-2" totalsRowFunction="sum" dataDxfId="170" totalsRowDxfId="31" totalsRowCellStyle="Currency 2"/>
    <tableColumn id="16" xr3:uid="{0A528E92-7E37-4A49-B06E-38D2A53ED437}" name="LEA Proportion of Statewide LCFF Entitlement" totalsRowFunction="sum" dataDxfId="169" totalsRowDxfId="30" totalsRowCellStyle="Total 4"/>
    <tableColumn id="17" xr3:uid="{E1D54B45-3AC0-4EC4-BE75-E2D3326D356C}" name="Allocation for _x000a_Sec. 110(c)_x000a_Paid from GF_x000a_Res. Code 7420" totalsRowFunction="sum" dataDxfId="168" totalsRowDxfId="29" totalsRowCellStyle="Total 4"/>
    <tableColumn id="18" xr3:uid="{921D49B9-9D3F-4757-9411-2DAB724D49FA}" name="Allocation for _x000a_Sec. 110(c)_x000a_Paid from _x000a_CR Fund_x000a_Res. Code 3220" totalsRowFunction="sum" dataDxfId="167" totalsRowDxfId="28" dataCellStyle="Currency" totalsRowCellStyle="Total 4"/>
    <tableColumn id="19" xr3:uid="{E8261FEB-272F-41E3-84CF-311815A86CA5}" name="Allocation_x000a_ by Fund_x000a__x000a_GEER Fund_x000a_Res. Code 3215" totalsRowFunction="sum" dataDxfId="166" totalsRowDxfId="27" dataCellStyle="Currency" totalsRowCellStyle="Total 4"/>
    <tableColumn id="20" xr3:uid="{1F01F6D6-ADB7-448F-A792-4AB6D7DF61ED}" name="Allocation_x000a_by Fund_x000a__x000a_CR Fund_x000a_Res. Code 3220" totalsRowFunction="sum" dataDxfId="165" totalsRowDxfId="26" dataCellStyle="Currency" totalsRowCellStyle="Total 4"/>
    <tableColumn id="21" xr3:uid="{7782379F-621B-4B92-A7C4-787B1531D9AB}" name="Allocation_x000a_by Fund_x000a__x000a_GF_x000a_Res. Code 7420" totalsRowFunction="sum" dataDxfId="164" totalsRowDxfId="25" dataCellStyle="Currency" totalsRowCellStyle="Total 4"/>
    <tableColumn id="22" xr3:uid="{60E8D1CC-9501-4F08-A1D7-6152C2449D3D}" name="Total Allocation_x000a_Sec. 110(a)-GEER_x000a_Sec. 110(a)-CRF_x000a_Sec. 110(b)-CRF_x000a_Sec. 110(c)-GF_x000a_Sec. 110(c)-CRF" totalsRowFunction="sum" dataDxfId="163" totalsRowDxfId="24" totalsRowCellStyle="Total 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chedule of Allocations for Learning Loss Mitigation, Section 110 of Senate Bill 98 (Chapter 24, Statutes of 2020)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11FD14-AF70-4BA8-AD14-3BB4FAE0880E}" name="Table1" displayName="Table1" ref="A9:M184" totalsRowCount="1" headerRowDxfId="162" dataDxfId="161" totalsRowDxfId="159" tableBorderDxfId="160" totalsRowBorderDxfId="158" dataCellStyle="Comma" totalsRowCellStyle="Total">
  <autoFilter ref="A9:M183" xr:uid="{1AADC51D-8978-42F9-8C2C-CDDF312385B6}"/>
  <tableColumns count="13">
    <tableColumn id="1" xr3:uid="{6EA454B6-6C01-46C1-816C-F18B9AFB8E4D}" name="County Code" totalsRowLabel="Totals" dataDxfId="157" totalsRowDxfId="156" totalsRowCellStyle="Total"/>
    <tableColumn id="2" xr3:uid="{2FFECF4D-DAB5-4C65-9250-B178FC8B5548}" name="District Code" dataDxfId="155" totalsRowDxfId="154" totalsRowCellStyle="Total"/>
    <tableColumn id="3" xr3:uid="{3A2BE582-CF2F-43E9-B538-D7643E5DBDF1}" name="School Code" dataDxfId="153" totalsRowDxfId="152" totalsRowCellStyle="Total"/>
    <tableColumn id="4" xr3:uid="{D9B13390-2731-4CB1-8326-E9D104D7D8FC}" name="Charter Number" dataDxfId="151" totalsRowDxfId="150" totalsRowCellStyle="Total"/>
    <tableColumn id="5" xr3:uid="{66C64450-09B0-4AF3-81F3-E9685ACA898C}" name="Fund Type" dataDxfId="149" totalsRowDxfId="148" totalsRowCellStyle="Total"/>
    <tableColumn id="6" xr3:uid="{BF03EBDB-E749-4C3B-82E0-3D7965D3785A}" name="Entity Name" dataDxfId="147" totalsRowDxfId="146" totalsRowCellStyle="Total"/>
    <tableColumn id="7" xr3:uid="{29289674-117E-4051-A316-FA66663E4664}" name="Entity Type" dataDxfId="145" totalsRowDxfId="144" totalsRowCellStyle="Total"/>
    <tableColumn id="8" xr3:uid="{6A1052B1-3ABB-4800-AD59-9FA90968BCAF}" name="Charter Schools: _x000a_Nonclassroom-Based Charter School Indicator_x000a_ (Yes/No)" dataDxfId="143" totalsRowDxfId="142" dataCellStyle="Currency" totalsRowCellStyle="Total"/>
    <tableColumn id="9" xr3:uid="{4B1E1491-A4F7-4B85-9482-B25847D7F97B}" name="Total LCFF Entitlement_x000a_(If Nonclassroom-Based = Yes, equals 0)_x000a_A.1" totalsRowFunction="sum" dataDxfId="141" totalsRowDxfId="140" dataCellStyle="Comma" totalsRowCellStyle="Total"/>
    <tableColumn id="10" xr3:uid="{805C9706-1AFB-425E-93E1-BA9AB6848D13}" name="IPI Compliance Reduction Factor _x000a_[EC 43521(c)(2)(B)(i) &amp; (ii)]_x000a_A.2" totalsRowFunction="sum" dataDxfId="139" totalsRowDxfId="138" totalsRowCellStyle="Total"/>
    <tableColumn id="11" xr3:uid="{C2101773-79A6-4334-AABA-455CD7AEBA51}" name="IPI Grant Allocation_x000a_(A.1 x 3.8378610585% x (100% - A.2)_x000a_A.3" totalsRowFunction="sum" dataDxfId="137" totalsRowDxfId="136" dataCellStyle="Comma" totalsRowCellStyle="Total"/>
    <tableColumn id="12" xr3:uid="{7E318C44-6FC7-448C-A63F-04174D6DD71D}" name="Paid to Date_x000a_B.1" totalsRowFunction="sum" dataDxfId="135" totalsRowDxfId="134" dataCellStyle="Comma" totalsRowCellStyle="Total"/>
    <tableColumn id="13" xr3:uid="{E1B4532F-4016-451C-BCFD-144212F9CBD1}" name="Balance Due_x000a_(A.3 - B.1)_x000a_B.2" totalsRowFunction="sum" dataDxfId="133" totalsRowDxfId="132" dataCellStyle="Comma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chedule of Revised Allocations for the In-Person Instruction Grant.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5E639B-C75C-4C73-97BC-D7C4ADA29D8D}" name="Table14" displayName="Table14" ref="A8:W183" totalsRowCount="1" headerRowDxfId="131" dataDxfId="130" totalsRowDxfId="128" tableBorderDxfId="129" totalsRowBorderDxfId="127" headerRowCellStyle="Currency" dataCellStyle="Currency" totalsRowCellStyle="Total">
  <autoFilter ref="A8:W182" xr:uid="{B49FC0FC-78AF-4E9C-806D-949E1D3DF31D}"/>
  <tableColumns count="23">
    <tableColumn id="1" xr3:uid="{3765D32A-6B30-4062-AB93-0EDACC6CA766}" name="County_x000a_Code" totalsRowLabel="Totals" dataDxfId="126" totalsRowDxfId="125" totalsRowCellStyle="Total"/>
    <tableColumn id="2" xr3:uid="{640246A2-9FE9-4EFA-835D-394121EDF686}" name="District_x000a_Code" dataDxfId="124" totalsRowDxfId="123" totalsRowCellStyle="Total"/>
    <tableColumn id="3" xr3:uid="{BB3DA987-3ADC-4CD1-9F5B-CE15A2F1E3EC}" name="School_x000a_Code" dataDxfId="122" totalsRowDxfId="121" totalsRowCellStyle="Total"/>
    <tableColumn id="4" xr3:uid="{6825EAC1-0106-41FB-8A86-BE758E62A90B}" name="Charter_x000a_Number" dataDxfId="120" totalsRowDxfId="119" totalsRowCellStyle="Total"/>
    <tableColumn id="5" xr3:uid="{3AAF12A3-EE8E-42B9-892A-C078160D6B71}" name="Fund_x000a_Type" dataDxfId="118" totalsRowDxfId="117" totalsRowCellStyle="Total"/>
    <tableColumn id="6" xr3:uid="{8CCCA496-A52A-40D5-B89A-85ADB11084D2}" name="Service_x000a_Location" dataDxfId="116" totalsRowDxfId="115" totalsRowCellStyle="Total"/>
    <tableColumn id="7" xr3:uid="{944139BD-4400-4160-B4D7-B9637137D56F}" name="Entity Name" dataDxfId="114" totalsRowDxfId="113" totalsRowCellStyle="Total"/>
    <tableColumn id="8" xr3:uid="{AFCC8129-0FF2-4AF0-9F32-E53D0DC63868}" name="Entity Type" dataDxfId="112" totalsRowDxfId="111" totalsRowCellStyle="Total"/>
    <tableColumn id="9" xr3:uid="{DC57DF3E-D84B-4F11-BDFD-7BBF513F8273}" name="Homeless Pupil _x000a_Enrollment as of _x000a_the 2020–21 _x000a_Fall 1 Census _x000a_A.1" totalsRowFunction="sum" dataDxfId="110" totalsRowDxfId="109" totalsRowCellStyle="Total"/>
    <tableColumn id="10" xr3:uid="{41BC0C38-67A6-4CEF-9301-886141D993AE}" name="ELO Allocation_x000a_ for Homeless Pupils_x000a_per EC 43521(b)(1)_x000a_(A.1 x $1,000)_x000a_A.2" totalsRowFunction="sum" dataDxfId="108" totalsRowDxfId="107" dataCellStyle="Currency" totalsRowCellStyle="Total"/>
    <tableColumn id="11" xr3:uid="{82216316-7A8A-4BE1-8EB7-84E02EAF37CD}" name="State Special_x000a_Schools Enrollment_x000a_ as of the 2020–21 _x000a_Fall 1 Census_x000a_B.1" totalsRowFunction="sum" dataDxfId="106" totalsRowDxfId="105" dataCellStyle="Comma" totalsRowCellStyle="Total"/>
    <tableColumn id="12" xr3:uid="{DD51CDDA-3F0E-40DB-BD28-6342426437B0}" name="State Special _x000a_Schools ADA_x000a_(B.1 x 97%)_x000a_B.2" totalsRowFunction="sum" dataDxfId="104" totalsRowDxfId="103" dataCellStyle="Comma" totalsRowCellStyle="Total"/>
    <tableColumn id="13" xr3:uid="{4E008101-984C-4AFC-93CC-A15EF78E3FD8}" name="ELO Allocation for _x000a_State Special Schools _x000a_per EC 43521(b)(2)_x000a_(B.2 x $725)_x000a_B.3" totalsRowFunction="sum" dataDxfId="102" totalsRowDxfId="101" dataCellStyle="Currency" totalsRowCellStyle="Total"/>
    <tableColumn id="14" xr3:uid="{549AEA45-2450-409D-96A2-31BA0DD73ABB}" name="Total LCFF _x000a_Entitlement _x000a_for ELO _x000a_C.1" totalsRowFunction="sum" dataDxfId="100" totalsRowDxfId="99" dataCellStyle="Currency" totalsRowCellStyle="Total"/>
    <tableColumn id="15" xr3:uid="{B10A2FB4-0EE6-4CA2-A5A8-A0EC0CD2E09E}" name="ELO Proportionate _x000a_Share per _x000a_EC 43521(b)(3)_x000a_(C.1 x 6.9425743358%)_x000a_C.2 " totalsRowFunction="sum" dataDxfId="98" totalsRowDxfId="97" dataCellStyle="Currency" totalsRowCellStyle="Total"/>
    <tableColumn id="16" xr3:uid="{9D728DA6-3737-4F8A-B148-6BA55BF1DE7B}" name="Total ELO _x000a_Allocation per _x000a_EC 43521(b)(3)_x000a_(A.2 + B.3 + C.2)_x000a_D.1" totalsRowFunction="sum" dataDxfId="96" totalsRowDxfId="95" dataCellStyle="Comma" totalsRowCellStyle="Total"/>
    <tableColumn id="17" xr3:uid="{7E7DBA98-7A63-4141-8CA6-13929A54A994}" name="ELO Allocation_x000a_ Restricted to _x000a_Paraprofessionals _x000a_per EC 43522(c)_x000a_Res.Code 7426_x000a_(C.2 x 10%)_x000a_D.2" totalsRowFunction="sum" dataDxfId="94" totalsRowDxfId="93" dataCellStyle="Currency" totalsRowCellStyle="Total"/>
    <tableColumn id="18" xr3:uid="{2E4B5D7C-2E7A-450F-9DCA-610991046466}" name="Allocation by Fund_x000a__x000a_General Fund_x000a_(D.1 x 55.7769571%)_x000a_Res.Code 7425_x000a_Res. Code 7426_x000a_E.1" totalsRowFunction="sum" dataDxfId="92" totalsRowDxfId="91" dataCellStyle="Currency" totalsRowCellStyle="Total"/>
    <tableColumn id="19" xr3:uid="{35796347-B9DB-4432-BC7A-D418526359F0}" name="Allocation by Fund_x000a__x000a_ESSER II_x000a_EC 43521(a)(1)_x000a_(D.1 x 14.7223566%)_x000a_Res.Code 3216_x000a_E.2" totalsRowFunction="sum" dataDxfId="90" totalsRowDxfId="89" dataCellStyle="Currency" totalsRowCellStyle="Total"/>
    <tableColumn id="20" xr3:uid="{C37D0670-6D61-4B09-B53A-67E79C1101FF}" name="Allocation by Fund_x000a__x000a_GEER II_x000a_EC 43521(a)(2)_x000a_(D.1 x 3.3783416%)_x000a_Res.Code 3217_x000a_E.3" totalsRowFunction="sum" dataDxfId="88" totalsRowDxfId="87" dataCellStyle="Currency" totalsRowCellStyle="Total"/>
    <tableColumn id="21" xr3:uid="{459C74C9-1672-45F9-80B0-B33D5464923B}" name="Allocation by Fund_x000a__x000a_ESSER III_x000a_EC 43521(a)(3)_x000a_(D.1 x 9.5901807%)_x000a_Res.Code 3218_x000a_E.4" totalsRowFunction="sum" dataDxfId="86" totalsRowDxfId="85" dataCellStyle="Currency" totalsRowCellStyle="Total"/>
    <tableColumn id="22" xr3:uid="{31DF6CCA-8953-444E-9C5F-1E3C61AA6F03}" name="Allocation by Fund_x000a__x000a_ESSER III State Reserve_x000a_EC 43521(a)(4)_x000a_(D.1 x 16.5321650%)_x000a_Res.Code 3219_x000a_E.5" totalsRowFunction="sum" dataDxfId="84" totalsRowDxfId="83" dataCellStyle="Currency" totalsRowCellStyle="Total"/>
    <tableColumn id="23" xr3:uid="{55E739BA-B37A-4C48-882B-C7A383732C43}" name="TOTAL Allocation_x000a_General Fund, ESSER II, _x000a_GEER II, ESSER III_x000a_ESSER III-State Reserve_x000a_(D.1 x 100%)_x000a_(E.1 + E.2 + E.3 + E.4 + E.5)_x000a_E.6" totalsRowFunction="sum" dataDxfId="82" totalsRowDxfId="81" dataCellStyle="Currency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chedule of Revised Allocations for the Expanded Learning Opportunties Grant - Calculation by Fund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de.ca.gov/fg/fo/r14/title1pa20apptoverview.as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cde.ca.gov/ls/he/hn/coronavirus.asp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979E0-89EB-4887-845E-A734B32EA176}">
  <sheetPr>
    <tabColor theme="6"/>
    <pageSetUpPr fitToPage="1"/>
  </sheetPr>
  <dimension ref="A1:O53"/>
  <sheetViews>
    <sheetView tabSelected="1" zoomScaleNormal="100" workbookViewId="0">
      <pane ySplit="5" topLeftCell="A6" activePane="bottomLeft" state="frozen"/>
      <selection pane="bottomLeft" activeCell="G41" sqref="G41"/>
    </sheetView>
  </sheetViews>
  <sheetFormatPr defaultColWidth="11.44140625" defaultRowHeight="15" x14ac:dyDescent="0.2"/>
  <cols>
    <col min="1" max="1" width="10.77734375" style="150" customWidth="1"/>
    <col min="2" max="4" width="10.77734375" style="152" customWidth="1"/>
    <col min="5" max="5" width="28.109375" style="150" bestFit="1" customWidth="1"/>
    <col min="6" max="6" width="13.44140625" style="150" bestFit="1" customWidth="1"/>
    <col min="7" max="9" width="13.77734375" style="277" customWidth="1"/>
    <col min="10" max="13" width="13.77734375" style="282" customWidth="1"/>
    <col min="14" max="14" width="14.5546875" style="150" bestFit="1" customWidth="1"/>
    <col min="15" max="16384" width="11.44140625" style="150"/>
  </cols>
  <sheetData>
    <row r="1" spans="1:15" ht="15.75" x14ac:dyDescent="0.25">
      <c r="A1" s="186" t="s">
        <v>978</v>
      </c>
      <c r="J1" s="278"/>
      <c r="K1" s="278"/>
      <c r="L1" s="278"/>
      <c r="M1" s="278"/>
      <c r="N1" s="180"/>
      <c r="O1" s="180"/>
    </row>
    <row r="2" spans="1:15" ht="15.75" x14ac:dyDescent="0.25">
      <c r="A2" s="184" t="s">
        <v>979</v>
      </c>
      <c r="J2" s="279"/>
      <c r="K2" s="279"/>
      <c r="L2" s="279"/>
      <c r="M2" s="279"/>
      <c r="N2" s="180"/>
      <c r="O2" s="180"/>
    </row>
    <row r="3" spans="1:15" ht="15.75" x14ac:dyDescent="0.25">
      <c r="A3" s="184" t="s">
        <v>980</v>
      </c>
      <c r="J3" s="279"/>
      <c r="K3" s="279"/>
      <c r="L3" s="279"/>
      <c r="M3" s="279"/>
      <c r="N3" s="180"/>
      <c r="O3" s="180"/>
    </row>
    <row r="4" spans="1:15" s="179" customFormat="1" ht="15" customHeight="1" thickBot="1" x14ac:dyDescent="0.25">
      <c r="A4" s="275"/>
      <c r="G4" s="280"/>
      <c r="H4" s="280"/>
      <c r="I4" s="280"/>
      <c r="J4" s="280"/>
      <c r="K4" s="280"/>
      <c r="L4" s="280"/>
      <c r="M4" s="280"/>
    </row>
    <row r="5" spans="1:15" ht="94.5" customHeight="1" x14ac:dyDescent="0.25">
      <c r="A5" s="297" t="s">
        <v>932</v>
      </c>
      <c r="B5" s="298" t="s">
        <v>837</v>
      </c>
      <c r="C5" s="298" t="s">
        <v>836</v>
      </c>
      <c r="D5" s="298" t="s">
        <v>835</v>
      </c>
      <c r="E5" s="299" t="s">
        <v>12</v>
      </c>
      <c r="F5" s="299" t="s">
        <v>930</v>
      </c>
      <c r="G5" s="300" t="s">
        <v>982</v>
      </c>
      <c r="H5" s="300" t="s">
        <v>983</v>
      </c>
      <c r="I5" s="300" t="s">
        <v>984</v>
      </c>
      <c r="J5" s="300" t="s">
        <v>986</v>
      </c>
      <c r="K5" s="300" t="s">
        <v>987</v>
      </c>
      <c r="L5" s="300" t="s">
        <v>988</v>
      </c>
      <c r="M5" s="300" t="s">
        <v>989</v>
      </c>
      <c r="N5" s="301" t="s">
        <v>991</v>
      </c>
    </row>
    <row r="6" spans="1:15" ht="15.75" customHeight="1" x14ac:dyDescent="0.2">
      <c r="A6" s="302" t="s">
        <v>905</v>
      </c>
      <c r="B6" s="173" t="s">
        <v>32</v>
      </c>
      <c r="C6" s="170" t="s">
        <v>33</v>
      </c>
      <c r="D6" s="172" t="s">
        <v>26</v>
      </c>
      <c r="E6" s="169" t="s">
        <v>824</v>
      </c>
      <c r="F6" s="169" t="s">
        <v>910</v>
      </c>
      <c r="G6" s="276">
        <f>VLOOKUP(Table39[[#This Row],[District Code]],'20-21 ESSER I Alloc'!D:K,8,FALSE)</f>
        <v>1335032</v>
      </c>
      <c r="H6" s="276">
        <f>VLOOKUP(Table39[[#This Row],[District Code]],'20-21 ESSER II Alloc'!D:M,10,FALSE)</f>
        <v>5534823</v>
      </c>
      <c r="I6" s="276">
        <f>VLOOKUP(Table39[[#This Row],[District Code]],'2020-21 ESSER III Alloc'!D:U,18,FALSE)</f>
        <v>12439346</v>
      </c>
      <c r="J6" s="281">
        <f>VLOOKUP(Table39[[#This Row],[District Code]],'SB 117 Allocation'!C:AA,25,FALSE)</f>
        <v>28732</v>
      </c>
      <c r="K6" s="281">
        <f>VLOOKUP(Table39[[#This Row],[District Code]],'fy20 LLMF Allocations'!B:V,21,FALSE)</f>
        <v>4262384</v>
      </c>
      <c r="L6" s="281">
        <f>VLOOKUP(Table39[[#This Row],[District Code]],'IPI Grant -Rev Alloc'!B:K,10,FALSE)</f>
        <v>3077761</v>
      </c>
      <c r="M6" s="281">
        <f>VLOOKUP(Table39[[#This Row],[District Code]],'ELO RevAlloc (All LEAs)'!B:W,22,FALSE)</f>
        <v>6051201</v>
      </c>
      <c r="N6" s="303">
        <f>SUM(G6:M6)</f>
        <v>32729279</v>
      </c>
    </row>
    <row r="7" spans="1:15" ht="15.75" customHeight="1" x14ac:dyDescent="0.2">
      <c r="A7" s="302" t="s">
        <v>905</v>
      </c>
      <c r="B7" s="173" t="s">
        <v>32</v>
      </c>
      <c r="C7" s="170" t="s">
        <v>36</v>
      </c>
      <c r="D7" s="172" t="s">
        <v>26</v>
      </c>
      <c r="E7" s="169" t="s">
        <v>37</v>
      </c>
      <c r="F7" s="169" t="s">
        <v>906</v>
      </c>
      <c r="G7" s="291">
        <f>VLOOKUP(Table39[[#This Row],[District Code]],'20-21 ESSER I Alloc'!D:K,8,FALSE)</f>
        <v>120437</v>
      </c>
      <c r="H7" s="291">
        <f>VLOOKUP(Table39[[#This Row],[District Code]],'20-21 ESSER II Alloc'!D:M,10,FALSE)</f>
        <v>595344</v>
      </c>
      <c r="I7" s="291">
        <f>VLOOKUP(Table39[[#This Row],[District Code]],'2020-21 ESSER III Alloc'!D:U,18,FALSE)</f>
        <v>1338017</v>
      </c>
      <c r="J7" s="292">
        <f>VLOOKUP(Table39[[#This Row],[District Code]],'SB 117 Allocation'!C:AA,25,FALSE)</f>
        <v>27230</v>
      </c>
      <c r="K7" s="292">
        <f>VLOOKUP(Table39[[#This Row],[District Code]],'fy20 LLMF Allocations'!B:V,21,FALSE)</f>
        <v>889992</v>
      </c>
      <c r="L7" s="292">
        <f>VLOOKUP(Table39[[#This Row],[District Code]],'IPI Grant -Rev Alloc'!B:K,10,FALSE)</f>
        <v>543987</v>
      </c>
      <c r="M7" s="292">
        <f>VLOOKUP(Table39[[#This Row],[District Code]],'ELO RevAlloc (All LEAs)'!B:W,22,FALSE)</f>
        <v>1056056</v>
      </c>
      <c r="N7" s="304">
        <f t="shared" ref="N7:N48" si="0">SUM(G7:M7)</f>
        <v>4571063</v>
      </c>
    </row>
    <row r="8" spans="1:15" ht="15.75" customHeight="1" x14ac:dyDescent="0.2">
      <c r="A8" s="302" t="s">
        <v>905</v>
      </c>
      <c r="B8" s="173" t="s">
        <v>32</v>
      </c>
      <c r="C8" s="170" t="s">
        <v>39</v>
      </c>
      <c r="D8" s="172" t="s">
        <v>26</v>
      </c>
      <c r="E8" s="169" t="s">
        <v>40</v>
      </c>
      <c r="F8" s="169" t="s">
        <v>904</v>
      </c>
      <c r="G8" s="291">
        <f>VLOOKUP(Table39[[#This Row],[District Code]],'20-21 ESSER I Alloc'!D:K,8,FALSE)</f>
        <v>88385</v>
      </c>
      <c r="H8" s="291">
        <f>VLOOKUP(Table39[[#This Row],[District Code]],'20-21 ESSER II Alloc'!D:M,10,FALSE)</f>
        <v>305429</v>
      </c>
      <c r="I8" s="291">
        <f>VLOOKUP(Table39[[#This Row],[District Code]],'2020-21 ESSER III Alloc'!D:U,18,FALSE)</f>
        <v>686443</v>
      </c>
      <c r="J8" s="292">
        <f>VLOOKUP(Table39[[#This Row],[District Code]],'SB 117 Allocation'!C:AA,25,FALSE)</f>
        <v>6470</v>
      </c>
      <c r="K8" s="292">
        <f>VLOOKUP(Table39[[#This Row],[District Code]],'fy20 LLMF Allocations'!B:V,21,FALSE)</f>
        <v>526478</v>
      </c>
      <c r="L8" s="292">
        <f>VLOOKUP(Table39[[#This Row],[District Code]],'IPI Grant -Rev Alloc'!B:K,10,FALSE)</f>
        <v>182790</v>
      </c>
      <c r="M8" s="292">
        <f>VLOOKUP(Table39[[#This Row],[District Code]],'ELO RevAlloc (All LEAs)'!B:W,22,FALSE)</f>
        <v>330662</v>
      </c>
      <c r="N8" s="304">
        <f t="shared" si="0"/>
        <v>2126657</v>
      </c>
    </row>
    <row r="9" spans="1:15" ht="15.75" customHeight="1" x14ac:dyDescent="0.2">
      <c r="A9" s="302" t="s">
        <v>905</v>
      </c>
      <c r="B9" s="173" t="s">
        <v>32</v>
      </c>
      <c r="C9" s="170" t="s">
        <v>42</v>
      </c>
      <c r="D9" s="172" t="s">
        <v>26</v>
      </c>
      <c r="E9" s="169" t="s">
        <v>43</v>
      </c>
      <c r="F9" s="169" t="s">
        <v>906</v>
      </c>
      <c r="G9" s="291">
        <f>VLOOKUP(Table39[[#This Row],[District Code]],'20-21 ESSER I Alloc'!D:K,8,FALSE)</f>
        <v>5002169</v>
      </c>
      <c r="H9" s="291">
        <f>VLOOKUP(Table39[[#This Row],[District Code]],'20-21 ESSER II Alloc'!D:M,10,FALSE)</f>
        <v>23739702</v>
      </c>
      <c r="I9" s="291">
        <f>VLOOKUP(Table39[[#This Row],[District Code]],'2020-21 ESSER III Alloc'!D:U,18,FALSE)</f>
        <v>53354251</v>
      </c>
      <c r="J9" s="292">
        <f>VLOOKUP(Table39[[#This Row],[District Code]],'SB 117 Allocation'!C:AA,25,FALSE)</f>
        <v>276306</v>
      </c>
      <c r="K9" s="292">
        <f>VLOOKUP(Table39[[#This Row],[District Code]],'fy20 LLMF Allocations'!B:V,21,FALSE)</f>
        <v>15671264</v>
      </c>
      <c r="L9" s="292">
        <f>VLOOKUP(Table39[[#This Row],[District Code]],'IPI Grant -Rev Alloc'!B:K,10,FALSE)</f>
        <v>6098009</v>
      </c>
      <c r="M9" s="292">
        <f>VLOOKUP(Table39[[#This Row],[District Code]],'ELO RevAlloc (All LEAs)'!B:W,22,FALSE)</f>
        <v>11260113</v>
      </c>
      <c r="N9" s="304">
        <f t="shared" si="0"/>
        <v>115401814</v>
      </c>
    </row>
    <row r="10" spans="1:15" ht="15.75" customHeight="1" x14ac:dyDescent="0.2">
      <c r="A10" s="302" t="s">
        <v>905</v>
      </c>
      <c r="B10" s="173" t="s">
        <v>32</v>
      </c>
      <c r="C10" s="170" t="s">
        <v>45</v>
      </c>
      <c r="D10" s="172" t="s">
        <v>26</v>
      </c>
      <c r="E10" s="169" t="s">
        <v>46</v>
      </c>
      <c r="F10" s="169" t="s">
        <v>906</v>
      </c>
      <c r="G10" s="291">
        <f>VLOOKUP(Table39[[#This Row],[District Code]],'20-21 ESSER I Alloc'!D:K,8,FALSE)</f>
        <v>0</v>
      </c>
      <c r="H10" s="291">
        <f>VLOOKUP(Table39[[#This Row],[District Code]],'20-21 ESSER II Alloc'!D:M,10,FALSE)</f>
        <v>243125</v>
      </c>
      <c r="I10" s="291">
        <f>VLOOKUP(Table39[[#This Row],[District Code]],'2020-21 ESSER III Alloc'!D:U,18,FALSE)</f>
        <v>546415</v>
      </c>
      <c r="J10" s="292">
        <f>VLOOKUP(Table39[[#This Row],[District Code]],'SB 117 Allocation'!C:AA,25,FALSE)</f>
        <v>11563</v>
      </c>
      <c r="K10" s="292">
        <f>VLOOKUP(Table39[[#This Row],[District Code]],'fy20 LLMF Allocations'!B:V,21,FALSE)</f>
        <v>261932</v>
      </c>
      <c r="L10" s="292">
        <f>VLOOKUP(Table39[[#This Row],[District Code]],'IPI Grant -Rev Alloc'!B:K,10,FALSE)</f>
        <v>204501</v>
      </c>
      <c r="M10" s="292">
        <f>VLOOKUP(Table39[[#This Row],[District Code]],'ELO RevAlloc (All LEAs)'!B:W,22,FALSE)</f>
        <v>369937</v>
      </c>
      <c r="N10" s="304">
        <f t="shared" si="0"/>
        <v>1637473</v>
      </c>
    </row>
    <row r="11" spans="1:15" ht="15.75" customHeight="1" x14ac:dyDescent="0.2">
      <c r="A11" s="302" t="s">
        <v>905</v>
      </c>
      <c r="B11" s="173" t="s">
        <v>32</v>
      </c>
      <c r="C11" s="170" t="s">
        <v>48</v>
      </c>
      <c r="D11" s="172" t="s">
        <v>26</v>
      </c>
      <c r="E11" s="169" t="s">
        <v>49</v>
      </c>
      <c r="F11" s="169" t="s">
        <v>906</v>
      </c>
      <c r="G11" s="291">
        <f>VLOOKUP(Table39[[#This Row],[District Code]],'20-21 ESSER I Alloc'!D:K,8,FALSE)</f>
        <v>4489787</v>
      </c>
      <c r="H11" s="291">
        <f>VLOOKUP(Table39[[#This Row],[District Code]],'20-21 ESSER II Alloc'!D:M,10,FALSE)</f>
        <v>19825466</v>
      </c>
      <c r="I11" s="291">
        <f>VLOOKUP(Table39[[#This Row],[District Code]],'2020-21 ESSER III Alloc'!D:U,18,FALSE)</f>
        <v>44557127</v>
      </c>
      <c r="J11" s="292">
        <f>VLOOKUP(Table39[[#This Row],[District Code]],'SB 117 Allocation'!C:AA,25,FALSE)</f>
        <v>390507</v>
      </c>
      <c r="K11" s="292">
        <f>VLOOKUP(Table39[[#This Row],[District Code]],'fy20 LLMF Allocations'!B:V,21,FALSE)</f>
        <v>18370365</v>
      </c>
      <c r="L11" s="292">
        <f>VLOOKUP(Table39[[#This Row],[District Code]],'IPI Grant -Rev Alloc'!B:K,10,FALSE)</f>
        <v>7754520</v>
      </c>
      <c r="M11" s="292">
        <f>VLOOKUP(Table39[[#This Row],[District Code]],'ELO RevAlloc (All LEAs)'!B:W,22,FALSE)</f>
        <v>14850991</v>
      </c>
      <c r="N11" s="304">
        <f t="shared" si="0"/>
        <v>110238763</v>
      </c>
    </row>
    <row r="12" spans="1:15" ht="15.75" customHeight="1" x14ac:dyDescent="0.2">
      <c r="A12" s="302" t="s">
        <v>905</v>
      </c>
      <c r="B12" s="173" t="s">
        <v>32</v>
      </c>
      <c r="C12" s="170" t="s">
        <v>51</v>
      </c>
      <c r="D12" s="172" t="s">
        <v>26</v>
      </c>
      <c r="E12" s="169" t="s">
        <v>52</v>
      </c>
      <c r="F12" s="169" t="s">
        <v>904</v>
      </c>
      <c r="G12" s="291">
        <f>VLOOKUP(Table39[[#This Row],[District Code]],'20-21 ESSER I Alloc'!D:K,8,FALSE)</f>
        <v>143045</v>
      </c>
      <c r="H12" s="291">
        <f>VLOOKUP(Table39[[#This Row],[District Code]],'20-21 ESSER II Alloc'!D:M,10,FALSE)</f>
        <v>576642</v>
      </c>
      <c r="I12" s="291">
        <f>VLOOKUP(Table39[[#This Row],[District Code]],'2020-21 ESSER III Alloc'!D:U,18,FALSE)</f>
        <v>1295984</v>
      </c>
      <c r="J12" s="292">
        <f>VLOOKUP(Table39[[#This Row],[District Code]],'SB 117 Allocation'!C:AA,25,FALSE)</f>
        <v>51373</v>
      </c>
      <c r="K12" s="292">
        <f>VLOOKUP(Table39[[#This Row],[District Code]],'fy20 LLMF Allocations'!B:V,21,FALSE)</f>
        <v>1302534</v>
      </c>
      <c r="L12" s="292">
        <f>VLOOKUP(Table39[[#This Row],[District Code]],'IPI Grant -Rev Alloc'!B:K,10,FALSE)</f>
        <v>1019814</v>
      </c>
      <c r="M12" s="292">
        <f>VLOOKUP(Table39[[#This Row],[District Code]],'ELO RevAlloc (All LEAs)'!B:W,22,FALSE)</f>
        <v>1845813</v>
      </c>
      <c r="N12" s="304">
        <f t="shared" si="0"/>
        <v>6235205</v>
      </c>
    </row>
    <row r="13" spans="1:15" ht="15.75" customHeight="1" x14ac:dyDescent="0.2">
      <c r="A13" s="302" t="s">
        <v>905</v>
      </c>
      <c r="B13" s="173" t="s">
        <v>32</v>
      </c>
      <c r="C13" s="170" t="s">
        <v>54</v>
      </c>
      <c r="D13" s="172" t="s">
        <v>26</v>
      </c>
      <c r="E13" s="169" t="s">
        <v>55</v>
      </c>
      <c r="F13" s="169" t="s">
        <v>906</v>
      </c>
      <c r="G13" s="291">
        <f>VLOOKUP(Table39[[#This Row],[District Code]],'20-21 ESSER I Alloc'!D:K,8,FALSE)</f>
        <v>18296</v>
      </c>
      <c r="H13" s="291">
        <f>VLOOKUP(Table39[[#This Row],[District Code]],'20-21 ESSER II Alloc'!D:M,10,FALSE)</f>
        <v>74808</v>
      </c>
      <c r="I13" s="291">
        <f>VLOOKUP(Table39[[#This Row],[District Code]],'2020-21 ESSER III Alloc'!D:U,18,FALSE)</f>
        <v>168128</v>
      </c>
      <c r="J13" s="292">
        <f>VLOOKUP(Table39[[#This Row],[District Code]],'SB 117 Allocation'!C:AA,25,FALSE)</f>
        <v>2461</v>
      </c>
      <c r="K13" s="292">
        <f>VLOOKUP(Table39[[#This Row],[District Code]],'fy20 LLMF Allocations'!B:V,21,FALSE)</f>
        <v>112945</v>
      </c>
      <c r="L13" s="292">
        <f>VLOOKUP(Table39[[#This Row],[District Code]],'IPI Grant -Rev Alloc'!B:K,10,FALSE)</f>
        <v>48871</v>
      </c>
      <c r="M13" s="292">
        <f>VLOOKUP(Table39[[#This Row],[District Code]],'ELO RevAlloc (All LEAs)'!B:W,22,FALSE)</f>
        <v>93405</v>
      </c>
      <c r="N13" s="304">
        <f t="shared" si="0"/>
        <v>518914</v>
      </c>
    </row>
    <row r="14" spans="1:15" ht="15.75" customHeight="1" x14ac:dyDescent="0.2">
      <c r="A14" s="302" t="s">
        <v>905</v>
      </c>
      <c r="B14" s="173" t="s">
        <v>32</v>
      </c>
      <c r="C14" s="170" t="s">
        <v>57</v>
      </c>
      <c r="D14" s="172" t="s">
        <v>26</v>
      </c>
      <c r="E14" s="169" t="s">
        <v>58</v>
      </c>
      <c r="F14" s="169" t="s">
        <v>906</v>
      </c>
      <c r="G14" s="291">
        <f>VLOOKUP(Table39[[#This Row],[District Code]],'20-21 ESSER I Alloc'!D:K,8,FALSE)</f>
        <v>107469</v>
      </c>
      <c r="H14" s="291">
        <f>VLOOKUP(Table39[[#This Row],[District Code]],'20-21 ESSER II Alloc'!D:M,10,FALSE)</f>
        <v>810415</v>
      </c>
      <c r="I14" s="291">
        <f>VLOOKUP(Table39[[#This Row],[District Code]],'2020-21 ESSER III Alloc'!D:U,18,FALSE)</f>
        <v>1821384</v>
      </c>
      <c r="J14" s="292">
        <f>VLOOKUP(Table39[[#This Row],[District Code]],'SB 117 Allocation'!C:AA,25,FALSE)</f>
        <v>71989</v>
      </c>
      <c r="K14" s="292">
        <f>VLOOKUP(Table39[[#This Row],[District Code]],'fy20 LLMF Allocations'!B:V,21,FALSE)</f>
        <v>2073293</v>
      </c>
      <c r="L14" s="292">
        <f>VLOOKUP(Table39[[#This Row],[District Code]],'IPI Grant -Rev Alloc'!B:K,10,FALSE)</f>
        <v>1307100</v>
      </c>
      <c r="M14" s="292">
        <f>VLOOKUP(Table39[[#This Row],[District Code]],'ELO RevAlloc (All LEAs)'!B:W,22,FALSE)</f>
        <v>2367504</v>
      </c>
      <c r="N14" s="304">
        <f t="shared" si="0"/>
        <v>8559154</v>
      </c>
    </row>
    <row r="15" spans="1:15" ht="15.75" customHeight="1" x14ac:dyDescent="0.2">
      <c r="A15" s="302" t="s">
        <v>905</v>
      </c>
      <c r="B15" s="173" t="s">
        <v>32</v>
      </c>
      <c r="C15" s="170" t="s">
        <v>60</v>
      </c>
      <c r="D15" s="172" t="s">
        <v>26</v>
      </c>
      <c r="E15" s="169" t="s">
        <v>61</v>
      </c>
      <c r="F15" s="169" t="s">
        <v>906</v>
      </c>
      <c r="G15" s="291">
        <f>VLOOKUP(Table39[[#This Row],[District Code]],'20-21 ESSER I Alloc'!D:K,8,FALSE)</f>
        <v>348141</v>
      </c>
      <c r="H15" s="291">
        <f>VLOOKUP(Table39[[#This Row],[District Code]],'20-21 ESSER II Alloc'!D:M,10,FALSE)</f>
        <v>1376206</v>
      </c>
      <c r="I15" s="291">
        <f>VLOOKUP(Table39[[#This Row],[District Code]],'2020-21 ESSER III Alloc'!D:U,18,FALSE)</f>
        <v>3092980</v>
      </c>
      <c r="J15" s="292">
        <f>VLOOKUP(Table39[[#This Row],[District Code]],'SB 117 Allocation'!C:AA,25,FALSE)</f>
        <v>90004</v>
      </c>
      <c r="K15" s="292">
        <f>VLOOKUP(Table39[[#This Row],[District Code]],'fy20 LLMF Allocations'!B:V,21,FALSE)</f>
        <v>2603945</v>
      </c>
      <c r="L15" s="292">
        <f>VLOOKUP(Table39[[#This Row],[District Code]],'IPI Grant -Rev Alloc'!B:K,10,FALSE)</f>
        <v>1680433</v>
      </c>
      <c r="M15" s="292">
        <f>VLOOKUP(Table39[[#This Row],[District Code]],'ELO RevAlloc (All LEAs)'!B:W,22,FALSE)</f>
        <v>3049852</v>
      </c>
      <c r="N15" s="304">
        <f t="shared" si="0"/>
        <v>12241561</v>
      </c>
    </row>
    <row r="16" spans="1:15" ht="15.75" customHeight="1" x14ac:dyDescent="0.2">
      <c r="A16" s="302" t="s">
        <v>905</v>
      </c>
      <c r="B16" s="173" t="s">
        <v>32</v>
      </c>
      <c r="C16" s="170" t="s">
        <v>63</v>
      </c>
      <c r="D16" s="172" t="s">
        <v>26</v>
      </c>
      <c r="E16" s="169" t="s">
        <v>64</v>
      </c>
      <c r="F16" s="169" t="s">
        <v>906</v>
      </c>
      <c r="G16" s="291">
        <f>VLOOKUP(Table39[[#This Row],[District Code]],'20-21 ESSER I Alloc'!D:K,8,FALSE)</f>
        <v>4053718</v>
      </c>
      <c r="H16" s="291">
        <f>VLOOKUP(Table39[[#This Row],[District Code]],'20-21 ESSER II Alloc'!D:M,10,FALSE)</f>
        <v>16024400</v>
      </c>
      <c r="I16" s="291">
        <f>VLOOKUP(Table39[[#This Row],[District Code]],'2020-21 ESSER III Alloc'!D:U,18,FALSE)</f>
        <v>36014348</v>
      </c>
      <c r="J16" s="292">
        <f>VLOOKUP(Table39[[#This Row],[District Code]],'SB 117 Allocation'!C:AA,25,FALSE)</f>
        <v>249274</v>
      </c>
      <c r="K16" s="292">
        <f>VLOOKUP(Table39[[#This Row],[District Code]],'fy20 LLMF Allocations'!B:V,21,FALSE)</f>
        <v>16313868</v>
      </c>
      <c r="L16" s="292">
        <f>VLOOKUP(Table39[[#This Row],[District Code]],'IPI Grant -Rev Alloc'!B:K,10,FALSE)</f>
        <v>5771429</v>
      </c>
      <c r="M16" s="292">
        <f>VLOOKUP(Table39[[#This Row],[District Code]],'ELO RevAlloc (All LEAs)'!B:W,22,FALSE)</f>
        <v>11342340</v>
      </c>
      <c r="N16" s="304">
        <f t="shared" si="0"/>
        <v>89769377</v>
      </c>
    </row>
    <row r="17" spans="1:14" ht="15.75" customHeight="1" x14ac:dyDescent="0.2">
      <c r="A17" s="302" t="s">
        <v>905</v>
      </c>
      <c r="B17" s="173" t="s">
        <v>32</v>
      </c>
      <c r="C17" s="170" t="s">
        <v>66</v>
      </c>
      <c r="D17" s="172" t="s">
        <v>26</v>
      </c>
      <c r="E17" s="169" t="s">
        <v>67</v>
      </c>
      <c r="F17" s="169" t="s">
        <v>909</v>
      </c>
      <c r="G17" s="291">
        <f>VLOOKUP(Table39[[#This Row],[District Code]],'20-21 ESSER I Alloc'!D:K,8,FALSE)</f>
        <v>1618586</v>
      </c>
      <c r="H17" s="291">
        <f>VLOOKUP(Table39[[#This Row],[District Code]],'20-21 ESSER II Alloc'!D:M,10,FALSE)</f>
        <v>6398292</v>
      </c>
      <c r="I17" s="291">
        <f>VLOOKUP(Table39[[#This Row],[District Code]],'2020-21 ESSER III Alloc'!D:U,18,FALSE)</f>
        <v>14379964</v>
      </c>
      <c r="J17" s="292">
        <f>VLOOKUP(Table39[[#This Row],[District Code]],'SB 117 Allocation'!C:AA,25,FALSE)</f>
        <v>120331</v>
      </c>
      <c r="K17" s="292">
        <f>VLOOKUP(Table39[[#This Row],[District Code]],'fy20 LLMF Allocations'!B:V,21,FALSE)</f>
        <v>7717907</v>
      </c>
      <c r="L17" s="292">
        <f>VLOOKUP(Table39[[#This Row],[District Code]],'IPI Grant -Rev Alloc'!B:K,10,FALSE)</f>
        <v>3143865</v>
      </c>
      <c r="M17" s="292">
        <f>VLOOKUP(Table39[[#This Row],[District Code]],'ELO RevAlloc (All LEAs)'!B:W,22,FALSE)</f>
        <v>5903157</v>
      </c>
      <c r="N17" s="304">
        <f t="shared" si="0"/>
        <v>39282102</v>
      </c>
    </row>
    <row r="18" spans="1:14" ht="15.75" customHeight="1" x14ac:dyDescent="0.2">
      <c r="A18" s="302" t="s">
        <v>905</v>
      </c>
      <c r="B18" s="173" t="s">
        <v>32</v>
      </c>
      <c r="C18" s="170" t="s">
        <v>69</v>
      </c>
      <c r="D18" s="172" t="s">
        <v>26</v>
      </c>
      <c r="E18" s="169" t="s">
        <v>70</v>
      </c>
      <c r="F18" s="169" t="s">
        <v>906</v>
      </c>
      <c r="G18" s="291">
        <f>VLOOKUP(Table39[[#This Row],[District Code]],'20-21 ESSER I Alloc'!D:K,8,FALSE)</f>
        <v>1064318</v>
      </c>
      <c r="H18" s="291">
        <f>VLOOKUP(Table39[[#This Row],[District Code]],'20-21 ESSER II Alloc'!D:M,10,FALSE)</f>
        <v>4207263</v>
      </c>
      <c r="I18" s="291">
        <f>VLOOKUP(Table39[[#This Row],[District Code]],'2020-21 ESSER III Alloc'!D:U,18,FALSE)</f>
        <v>9455695</v>
      </c>
      <c r="J18" s="292">
        <f>VLOOKUP(Table39[[#This Row],[District Code]],'SB 117 Allocation'!C:AA,25,FALSE)</f>
        <v>88432</v>
      </c>
      <c r="K18" s="292">
        <f>VLOOKUP(Table39[[#This Row],[District Code]],'fy20 LLMF Allocations'!B:V,21,FALSE)</f>
        <v>5151961</v>
      </c>
      <c r="L18" s="292">
        <f>VLOOKUP(Table39[[#This Row],[District Code]],'IPI Grant -Rev Alloc'!B:K,10,FALSE)</f>
        <v>1988239</v>
      </c>
      <c r="M18" s="292">
        <f>VLOOKUP(Table39[[#This Row],[District Code]],'ELO RevAlloc (All LEAs)'!B:W,22,FALSE)</f>
        <v>3626664</v>
      </c>
      <c r="N18" s="304">
        <f t="shared" si="0"/>
        <v>25582572</v>
      </c>
    </row>
    <row r="19" spans="1:14" ht="15.75" customHeight="1" x14ac:dyDescent="0.2">
      <c r="A19" s="302" t="s">
        <v>905</v>
      </c>
      <c r="B19" s="173" t="s">
        <v>32</v>
      </c>
      <c r="C19" s="170" t="s">
        <v>72</v>
      </c>
      <c r="D19" s="172" t="s">
        <v>26</v>
      </c>
      <c r="E19" s="169" t="s">
        <v>73</v>
      </c>
      <c r="F19" s="169" t="s">
        <v>909</v>
      </c>
      <c r="G19" s="291">
        <f>VLOOKUP(Table39[[#This Row],[District Code]],'20-21 ESSER I Alloc'!D:K,8,FALSE)</f>
        <v>344614</v>
      </c>
      <c r="H19" s="291">
        <f>VLOOKUP(Table39[[#This Row],[District Code]],'20-21 ESSER II Alloc'!D:M,10,FALSE)</f>
        <v>1362265</v>
      </c>
      <c r="I19" s="291">
        <f>VLOOKUP(Table39[[#This Row],[District Code]],'2020-21 ESSER III Alloc'!D:U,18,FALSE)</f>
        <v>3061648</v>
      </c>
      <c r="J19" s="292">
        <f>VLOOKUP(Table39[[#This Row],[District Code]],'SB 117 Allocation'!C:AA,25,FALSE)</f>
        <v>35493</v>
      </c>
      <c r="K19" s="292">
        <f>VLOOKUP(Table39[[#This Row],[District Code]],'fy20 LLMF Allocations'!B:V,21,FALSE)</f>
        <v>1884004</v>
      </c>
      <c r="L19" s="292">
        <f>VLOOKUP(Table39[[#This Row],[District Code]],'IPI Grant -Rev Alloc'!B:K,10,FALSE)</f>
        <v>882262</v>
      </c>
      <c r="M19" s="292">
        <f>VLOOKUP(Table39[[#This Row],[District Code]],'ELO RevAlloc (All LEAs)'!B:W,22,FALSE)</f>
        <v>1732556</v>
      </c>
      <c r="N19" s="304">
        <f t="shared" si="0"/>
        <v>9302842</v>
      </c>
    </row>
    <row r="20" spans="1:14" ht="15.75" customHeight="1" x14ac:dyDescent="0.2">
      <c r="A20" s="302" t="s">
        <v>905</v>
      </c>
      <c r="B20" s="173" t="s">
        <v>32</v>
      </c>
      <c r="C20" s="170" t="s">
        <v>75</v>
      </c>
      <c r="D20" s="172" t="s">
        <v>26</v>
      </c>
      <c r="E20" s="169" t="s">
        <v>76</v>
      </c>
      <c r="F20" s="169" t="s">
        <v>909</v>
      </c>
      <c r="G20" s="291">
        <f>VLOOKUP(Table39[[#This Row],[District Code]],'20-21 ESSER I Alloc'!D:K,8,FALSE)</f>
        <v>3905454</v>
      </c>
      <c r="H20" s="291">
        <f>VLOOKUP(Table39[[#This Row],[District Code]],'20-21 ESSER II Alloc'!D:M,10,FALSE)</f>
        <v>16640035</v>
      </c>
      <c r="I20" s="291">
        <f>VLOOKUP(Table39[[#This Row],[District Code]],'2020-21 ESSER III Alloc'!D:U,18,FALSE)</f>
        <v>37397968</v>
      </c>
      <c r="J20" s="292">
        <f>VLOOKUP(Table39[[#This Row],[District Code]],'SB 117 Allocation'!C:AA,25,FALSE)</f>
        <v>273942</v>
      </c>
      <c r="K20" s="292">
        <f>VLOOKUP(Table39[[#This Row],[District Code]],'fy20 LLMF Allocations'!B:V,21,FALSE)</f>
        <v>14300052</v>
      </c>
      <c r="L20" s="292">
        <f>VLOOKUP(Table39[[#This Row],[District Code]],'IPI Grant -Rev Alloc'!B:K,10,FALSE)</f>
        <v>6825430</v>
      </c>
      <c r="M20" s="292">
        <f>VLOOKUP(Table39[[#This Row],[District Code]],'ELO RevAlloc (All LEAs)'!B:W,22,FALSE)</f>
        <v>12734996</v>
      </c>
      <c r="N20" s="304">
        <f t="shared" si="0"/>
        <v>92077877</v>
      </c>
    </row>
    <row r="21" spans="1:14" ht="15.75" customHeight="1" x14ac:dyDescent="0.2">
      <c r="A21" s="302" t="s">
        <v>905</v>
      </c>
      <c r="B21" s="173" t="s">
        <v>32</v>
      </c>
      <c r="C21" s="170" t="s">
        <v>78</v>
      </c>
      <c r="D21" s="172" t="s">
        <v>26</v>
      </c>
      <c r="E21" s="169" t="s">
        <v>79</v>
      </c>
      <c r="F21" s="169" t="s">
        <v>906</v>
      </c>
      <c r="G21" s="291">
        <f>VLOOKUP(Table39[[#This Row],[District Code]],'20-21 ESSER I Alloc'!D:K,8,FALSE)</f>
        <v>141628</v>
      </c>
      <c r="H21" s="291">
        <f>VLOOKUP(Table39[[#This Row],[District Code]],'20-21 ESSER II Alloc'!D:M,10,FALSE)</f>
        <v>559856</v>
      </c>
      <c r="I21" s="291">
        <f>VLOOKUP(Table39[[#This Row],[District Code]],'2020-21 ESSER III Alloc'!D:U,18,FALSE)</f>
        <v>1258260</v>
      </c>
      <c r="J21" s="292">
        <f>VLOOKUP(Table39[[#This Row],[District Code]],'SB 117 Allocation'!C:AA,25,FALSE)</f>
        <v>9483</v>
      </c>
      <c r="K21" s="292">
        <f>VLOOKUP(Table39[[#This Row],[District Code]],'fy20 LLMF Allocations'!B:V,21,FALSE)</f>
        <v>407574</v>
      </c>
      <c r="L21" s="292">
        <f>VLOOKUP(Table39[[#This Row],[District Code]],'IPI Grant -Rev Alloc'!B:K,10,FALSE)</f>
        <v>204523</v>
      </c>
      <c r="M21" s="292">
        <f>VLOOKUP(Table39[[#This Row],[District Code]],'ELO RevAlloc (All LEAs)'!B:W,22,FALSE)</f>
        <v>394976</v>
      </c>
      <c r="N21" s="304">
        <f t="shared" si="0"/>
        <v>2976300</v>
      </c>
    </row>
    <row r="22" spans="1:14" ht="15.75" customHeight="1" x14ac:dyDescent="0.2">
      <c r="A22" s="302" t="s">
        <v>905</v>
      </c>
      <c r="B22" s="173" t="s">
        <v>32</v>
      </c>
      <c r="C22" s="170" t="s">
        <v>81</v>
      </c>
      <c r="D22" s="172" t="s">
        <v>26</v>
      </c>
      <c r="E22" s="169" t="s">
        <v>82</v>
      </c>
      <c r="F22" s="169" t="s">
        <v>906</v>
      </c>
      <c r="G22" s="291">
        <f>VLOOKUP(Table39[[#This Row],[District Code]],'20-21 ESSER I Alloc'!D:K,8,FALSE)</f>
        <v>44435</v>
      </c>
      <c r="H22" s="291">
        <f>VLOOKUP(Table39[[#This Row],[District Code]],'20-21 ESSER II Alloc'!D:M,10,FALSE)</f>
        <v>150710</v>
      </c>
      <c r="I22" s="291">
        <f>VLOOKUP(Table39[[#This Row],[District Code]],'2020-21 ESSER III Alloc'!D:U,18,FALSE)</f>
        <v>338716</v>
      </c>
      <c r="J22" s="292">
        <f>VLOOKUP(Table39[[#This Row],[District Code]],'SB 117 Allocation'!C:AA,25,FALSE)</f>
        <v>4657</v>
      </c>
      <c r="K22" s="292">
        <f>VLOOKUP(Table39[[#This Row],[District Code]],'fy20 LLMF Allocations'!B:V,21,FALSE)</f>
        <v>248358</v>
      </c>
      <c r="L22" s="292">
        <f>VLOOKUP(Table39[[#This Row],[District Code]],'IPI Grant -Rev Alloc'!B:K,10,FALSE)</f>
        <v>98479</v>
      </c>
      <c r="M22" s="292">
        <f>VLOOKUP(Table39[[#This Row],[District Code]],'ELO RevAlloc (All LEAs)'!B:W,22,FALSE)</f>
        <v>225146</v>
      </c>
      <c r="N22" s="304">
        <f t="shared" si="0"/>
        <v>1110501</v>
      </c>
    </row>
    <row r="23" spans="1:14" ht="15.75" customHeight="1" x14ac:dyDescent="0.2">
      <c r="A23" s="302" t="s">
        <v>905</v>
      </c>
      <c r="B23" s="173" t="s">
        <v>32</v>
      </c>
      <c r="C23" s="170" t="s">
        <v>84</v>
      </c>
      <c r="D23" s="172" t="s">
        <v>26</v>
      </c>
      <c r="E23" s="169" t="s">
        <v>85</v>
      </c>
      <c r="F23" s="169" t="s">
        <v>909</v>
      </c>
      <c r="G23" s="291">
        <f>VLOOKUP(Table39[[#This Row],[District Code]],'20-21 ESSER I Alloc'!D:K,8,FALSE)</f>
        <v>29883</v>
      </c>
      <c r="H23" s="291">
        <f>VLOOKUP(Table39[[#This Row],[District Code]],'20-21 ESSER II Alloc'!D:M,10,FALSE)</f>
        <v>297822</v>
      </c>
      <c r="I23" s="291">
        <f>VLOOKUP(Table39[[#This Row],[District Code]],'2020-21 ESSER III Alloc'!D:U,18,FALSE)</f>
        <v>669345</v>
      </c>
      <c r="J23" s="292">
        <f>VLOOKUP(Table39[[#This Row],[District Code]],'SB 117 Allocation'!C:AA,25,FALSE)</f>
        <v>1756</v>
      </c>
      <c r="K23" s="292">
        <f>VLOOKUP(Table39[[#This Row],[District Code]],'fy20 LLMF Allocations'!B:V,21,FALSE)</f>
        <v>102493</v>
      </c>
      <c r="L23" s="292">
        <f>VLOOKUP(Table39[[#This Row],[District Code]],'IPI Grant -Rev Alloc'!B:K,10,FALSE)</f>
        <v>62307</v>
      </c>
      <c r="M23" s="292">
        <f>VLOOKUP(Table39[[#This Row],[District Code]],'ELO RevAlloc (All LEAs)'!B:W,22,FALSE)</f>
        <v>119712</v>
      </c>
      <c r="N23" s="304">
        <f t="shared" si="0"/>
        <v>1283318</v>
      </c>
    </row>
    <row r="24" spans="1:14" ht="15.75" customHeight="1" x14ac:dyDescent="0.2">
      <c r="A24" s="302" t="s">
        <v>905</v>
      </c>
      <c r="B24" s="173" t="s">
        <v>32</v>
      </c>
      <c r="C24" s="170" t="s">
        <v>87</v>
      </c>
      <c r="D24" s="172" t="s">
        <v>26</v>
      </c>
      <c r="E24" s="169" t="s">
        <v>28</v>
      </c>
      <c r="F24" s="169" t="s">
        <v>906</v>
      </c>
      <c r="G24" s="291">
        <f>VLOOKUP(Table39[[#This Row],[District Code]],'20-21 ESSER I Alloc'!D:K,8,FALSE)</f>
        <v>501124</v>
      </c>
      <c r="H24" s="291">
        <f>VLOOKUP(Table39[[#This Row],[District Code]],'20-21 ESSER II Alloc'!D:M,10,FALSE)</f>
        <v>2184159</v>
      </c>
      <c r="I24" s="291">
        <f>VLOOKUP(Table39[[#This Row],[District Code]],'2020-21 ESSER III Alloc'!D:U,18,FALSE)</f>
        <v>4908831</v>
      </c>
      <c r="J24" s="292">
        <f>VLOOKUP(Table39[[#This Row],[District Code]],'SB 117 Allocation'!C:AA,25,FALSE)</f>
        <v>84739</v>
      </c>
      <c r="K24" s="292">
        <f>VLOOKUP(Table39[[#This Row],[District Code]],'fy20 LLMF Allocations'!B:V,21,FALSE)</f>
        <v>3503758</v>
      </c>
      <c r="L24" s="292">
        <f>VLOOKUP(Table39[[#This Row],[District Code]],'IPI Grant -Rev Alloc'!B:K,10,FALSE)</f>
        <v>1679719</v>
      </c>
      <c r="M24" s="292">
        <f>VLOOKUP(Table39[[#This Row],[District Code]],'ELO RevAlloc (All LEAs)'!B:W,22,FALSE)</f>
        <v>3056561</v>
      </c>
      <c r="N24" s="304">
        <f t="shared" si="0"/>
        <v>15918891</v>
      </c>
    </row>
    <row r="25" spans="1:14" ht="15.75" customHeight="1" x14ac:dyDescent="0.2">
      <c r="A25" s="302" t="s">
        <v>905</v>
      </c>
      <c r="B25" s="173" t="s">
        <v>32</v>
      </c>
      <c r="C25" s="170" t="s">
        <v>89</v>
      </c>
      <c r="D25" s="172" t="s">
        <v>26</v>
      </c>
      <c r="E25" s="169" t="s">
        <v>90</v>
      </c>
      <c r="F25" s="169" t="s">
        <v>906</v>
      </c>
      <c r="G25" s="291">
        <f>VLOOKUP(Table39[[#This Row],[District Code]],'20-21 ESSER I Alloc'!D:K,8,FALSE)</f>
        <v>2078323</v>
      </c>
      <c r="H25" s="291">
        <f>VLOOKUP(Table39[[#This Row],[District Code]],'20-21 ESSER II Alloc'!D:M,10,FALSE)</f>
        <v>8975317</v>
      </c>
      <c r="I25" s="291">
        <f>VLOOKUP(Table39[[#This Row],[District Code]],'2020-21 ESSER III Alloc'!D:U,18,FALSE)</f>
        <v>20171748</v>
      </c>
      <c r="J25" s="292">
        <f>VLOOKUP(Table39[[#This Row],[District Code]],'SB 117 Allocation'!C:AA,25,FALSE)</f>
        <v>199403</v>
      </c>
      <c r="K25" s="292">
        <f>VLOOKUP(Table39[[#This Row],[District Code]],'fy20 LLMF Allocations'!B:V,21,FALSE)</f>
        <v>9922109</v>
      </c>
      <c r="L25" s="292">
        <f>VLOOKUP(Table39[[#This Row],[District Code]],'IPI Grant -Rev Alloc'!B:K,10,FALSE)</f>
        <v>4132014</v>
      </c>
      <c r="M25" s="292">
        <f>VLOOKUP(Table39[[#This Row],[District Code]],'ELO RevAlloc (All LEAs)'!B:W,22,FALSE)</f>
        <v>7870688</v>
      </c>
      <c r="N25" s="304">
        <f t="shared" si="0"/>
        <v>53349602</v>
      </c>
    </row>
    <row r="26" spans="1:14" ht="15.75" customHeight="1" x14ac:dyDescent="0.2">
      <c r="A26" s="302" t="s">
        <v>905</v>
      </c>
      <c r="B26" s="173" t="s">
        <v>32</v>
      </c>
      <c r="C26" s="170" t="s">
        <v>92</v>
      </c>
      <c r="D26" s="172" t="s">
        <v>26</v>
      </c>
      <c r="E26" s="169" t="s">
        <v>93</v>
      </c>
      <c r="F26" s="169" t="s">
        <v>906</v>
      </c>
      <c r="G26" s="291">
        <f>VLOOKUP(Table39[[#This Row],[District Code]],'20-21 ESSER I Alloc'!D:K,8,FALSE)</f>
        <v>690089</v>
      </c>
      <c r="H26" s="291">
        <f>VLOOKUP(Table39[[#This Row],[District Code]],'20-21 ESSER II Alloc'!D:M,10,FALSE)</f>
        <v>2792514</v>
      </c>
      <c r="I26" s="291">
        <f>VLOOKUP(Table39[[#This Row],[District Code]],'2020-21 ESSER III Alloc'!D:U,18,FALSE)</f>
        <v>6276091</v>
      </c>
      <c r="J26" s="292">
        <f>VLOOKUP(Table39[[#This Row],[District Code]],'SB 117 Allocation'!C:AA,25,FALSE)</f>
        <v>58970</v>
      </c>
      <c r="K26" s="292">
        <f>VLOOKUP(Table39[[#This Row],[District Code]],'fy20 LLMF Allocations'!B:V,21,FALSE)</f>
        <v>3702222</v>
      </c>
      <c r="L26" s="292">
        <f>VLOOKUP(Table39[[#This Row],[District Code]],'IPI Grant -Rev Alloc'!B:K,10,FALSE)</f>
        <v>1296652</v>
      </c>
      <c r="M26" s="292">
        <f>VLOOKUP(Table39[[#This Row],[District Code]],'ELO RevAlloc (All LEAs)'!B:W,22,FALSE)</f>
        <v>2370605</v>
      </c>
      <c r="N26" s="304">
        <f t="shared" si="0"/>
        <v>17187143</v>
      </c>
    </row>
    <row r="27" spans="1:14" ht="15.75" customHeight="1" x14ac:dyDescent="0.2">
      <c r="A27" s="302" t="s">
        <v>905</v>
      </c>
      <c r="B27" s="173" t="s">
        <v>32</v>
      </c>
      <c r="C27" s="170" t="s">
        <v>95</v>
      </c>
      <c r="D27" s="172" t="s">
        <v>26</v>
      </c>
      <c r="E27" s="169" t="s">
        <v>96</v>
      </c>
      <c r="F27" s="169" t="s">
        <v>904</v>
      </c>
      <c r="G27" s="291">
        <f>VLOOKUP(Table39[[#This Row],[District Code]],'20-21 ESSER I Alloc'!D:K,8,FALSE)</f>
        <v>332121</v>
      </c>
      <c r="H27" s="291">
        <f>VLOOKUP(Table39[[#This Row],[District Code]],'20-21 ESSER II Alloc'!D:M,10,FALSE)</f>
        <v>1786077</v>
      </c>
      <c r="I27" s="291">
        <f>VLOOKUP(Table39[[#This Row],[District Code]],'2020-21 ESSER III Alloc'!D:U,18,FALSE)</f>
        <v>4014153</v>
      </c>
      <c r="J27" s="292">
        <f>VLOOKUP(Table39[[#This Row],[District Code]],'SB 117 Allocation'!C:AA,25,FALSE)</f>
        <v>28173</v>
      </c>
      <c r="K27" s="292">
        <f>VLOOKUP(Table39[[#This Row],[District Code]],'fy20 LLMF Allocations'!B:V,21,FALSE)</f>
        <v>1726450</v>
      </c>
      <c r="L27" s="292">
        <f>VLOOKUP(Table39[[#This Row],[District Code]],'IPI Grant -Rev Alloc'!B:K,10,FALSE)</f>
        <v>666339</v>
      </c>
      <c r="M27" s="292">
        <f>VLOOKUP(Table39[[#This Row],[District Code]],'ELO RevAlloc (All LEAs)'!B:W,22,FALSE)</f>
        <v>1235388</v>
      </c>
      <c r="N27" s="304">
        <f t="shared" si="0"/>
        <v>9788701</v>
      </c>
    </row>
    <row r="28" spans="1:14" ht="15.75" customHeight="1" x14ac:dyDescent="0.2">
      <c r="A28" s="302" t="s">
        <v>905</v>
      </c>
      <c r="B28" s="173" t="s">
        <v>32</v>
      </c>
      <c r="C28" s="170" t="s">
        <v>98</v>
      </c>
      <c r="D28" s="172" t="s">
        <v>26</v>
      </c>
      <c r="E28" s="169" t="s">
        <v>99</v>
      </c>
      <c r="F28" s="169" t="s">
        <v>906</v>
      </c>
      <c r="G28" s="291">
        <f>VLOOKUP(Table39[[#This Row],[District Code]],'20-21 ESSER I Alloc'!D:K,8,FALSE)</f>
        <v>1291186</v>
      </c>
      <c r="H28" s="291">
        <f>VLOOKUP(Table39[[#This Row],[District Code]],'20-21 ESSER II Alloc'!D:M,10,FALSE)</f>
        <v>5392215</v>
      </c>
      <c r="I28" s="291">
        <f>VLOOKUP(Table39[[#This Row],[District Code]],'2020-21 ESSER III Alloc'!D:U,18,FALSE)</f>
        <v>12118838</v>
      </c>
      <c r="J28" s="292">
        <f>VLOOKUP(Table39[[#This Row],[District Code]],'SB 117 Allocation'!C:AA,25,FALSE)</f>
        <v>86507</v>
      </c>
      <c r="K28" s="292">
        <f>VLOOKUP(Table39[[#This Row],[District Code]],'fy20 LLMF Allocations'!B:V,21,FALSE)</f>
        <v>6271964</v>
      </c>
      <c r="L28" s="292">
        <f>VLOOKUP(Table39[[#This Row],[District Code]],'IPI Grant -Rev Alloc'!B:K,10,FALSE)</f>
        <v>1486818</v>
      </c>
      <c r="M28" s="292">
        <f>VLOOKUP(Table39[[#This Row],[District Code]],'ELO RevAlloc (All LEAs)'!B:W,22,FALSE)</f>
        <v>3995396</v>
      </c>
      <c r="N28" s="304">
        <f t="shared" si="0"/>
        <v>30642924</v>
      </c>
    </row>
    <row r="29" spans="1:14" ht="15.75" customHeight="1" x14ac:dyDescent="0.2">
      <c r="A29" s="302" t="s">
        <v>905</v>
      </c>
      <c r="B29" s="173" t="s">
        <v>32</v>
      </c>
      <c r="C29" s="170" t="s">
        <v>101</v>
      </c>
      <c r="D29" s="172" t="s">
        <v>26</v>
      </c>
      <c r="E29" s="169" t="s">
        <v>102</v>
      </c>
      <c r="F29" s="169" t="s">
        <v>904</v>
      </c>
      <c r="G29" s="291">
        <f>VLOOKUP(Table39[[#This Row],[District Code]],'20-21 ESSER I Alloc'!D:K,8,FALSE)</f>
        <v>1543259</v>
      </c>
      <c r="H29" s="291">
        <f>VLOOKUP(Table39[[#This Row],[District Code]],'20-21 ESSER II Alloc'!D:M,10,FALSE)</f>
        <v>7576548</v>
      </c>
      <c r="I29" s="291">
        <f>VLOOKUP(Table39[[#This Row],[District Code]],'2020-21 ESSER III Alloc'!D:U,18,FALSE)</f>
        <v>17028059</v>
      </c>
      <c r="J29" s="292">
        <f>VLOOKUP(Table39[[#This Row],[District Code]],'SB 117 Allocation'!C:AA,25,FALSE)</f>
        <v>617824</v>
      </c>
      <c r="K29" s="292">
        <f>VLOOKUP(Table39[[#This Row],[District Code]],'fy20 LLMF Allocations'!B:V,21,FALSE)</f>
        <v>18829451</v>
      </c>
      <c r="L29" s="292">
        <f>VLOOKUP(Table39[[#This Row],[District Code]],'IPI Grant -Rev Alloc'!B:K,10,FALSE)</f>
        <v>12342816</v>
      </c>
      <c r="M29" s="292">
        <f>VLOOKUP(Table39[[#This Row],[District Code]],'ELO RevAlloc (All LEAs)'!B:W,22,FALSE)</f>
        <v>23108780</v>
      </c>
      <c r="N29" s="304">
        <f t="shared" si="0"/>
        <v>81046737</v>
      </c>
    </row>
    <row r="30" spans="1:14" ht="15.75" customHeight="1" x14ac:dyDescent="0.2">
      <c r="A30" s="302" t="s">
        <v>905</v>
      </c>
      <c r="B30" s="173" t="s">
        <v>32</v>
      </c>
      <c r="C30" s="170" t="s">
        <v>104</v>
      </c>
      <c r="D30" s="172" t="s">
        <v>26</v>
      </c>
      <c r="E30" s="169" t="s">
        <v>105</v>
      </c>
      <c r="F30" s="169" t="s">
        <v>904</v>
      </c>
      <c r="G30" s="291">
        <f>VLOOKUP(Table39[[#This Row],[District Code]],'20-21 ESSER I Alloc'!D:K,8,FALSE)</f>
        <v>476179</v>
      </c>
      <c r="H30" s="291">
        <f>VLOOKUP(Table39[[#This Row],[District Code]],'20-21 ESSER II Alloc'!D:M,10,FALSE)</f>
        <v>2054091</v>
      </c>
      <c r="I30" s="291">
        <f>VLOOKUP(Table39[[#This Row],[District Code]],'2020-21 ESSER III Alloc'!D:U,18,FALSE)</f>
        <v>4616507</v>
      </c>
      <c r="J30" s="292">
        <f>VLOOKUP(Table39[[#This Row],[District Code]],'SB 117 Allocation'!C:AA,25,FALSE)</f>
        <v>89810</v>
      </c>
      <c r="K30" s="292">
        <f>VLOOKUP(Table39[[#This Row],[District Code]],'fy20 LLMF Allocations'!B:V,21,FALSE)</f>
        <v>3480171</v>
      </c>
      <c r="L30" s="292">
        <f>VLOOKUP(Table39[[#This Row],[District Code]],'IPI Grant -Rev Alloc'!B:K,10,FALSE)</f>
        <v>1881903</v>
      </c>
      <c r="M30" s="292">
        <f>VLOOKUP(Table39[[#This Row],[District Code]],'ELO RevAlloc (All LEAs)'!B:W,22,FALSE)</f>
        <v>3432305</v>
      </c>
      <c r="N30" s="304">
        <f t="shared" si="0"/>
        <v>16030966</v>
      </c>
    </row>
    <row r="31" spans="1:14" ht="15.75" customHeight="1" x14ac:dyDescent="0.2">
      <c r="A31" s="302" t="s">
        <v>905</v>
      </c>
      <c r="B31" s="173" t="s">
        <v>32</v>
      </c>
      <c r="C31" s="170" t="s">
        <v>107</v>
      </c>
      <c r="D31" s="172" t="s">
        <v>26</v>
      </c>
      <c r="E31" s="169" t="s">
        <v>108</v>
      </c>
      <c r="F31" s="169" t="s">
        <v>906</v>
      </c>
      <c r="G31" s="291">
        <f>VLOOKUP(Table39[[#This Row],[District Code]],'20-21 ESSER I Alloc'!D:K,8,FALSE)</f>
        <v>0</v>
      </c>
      <c r="H31" s="291">
        <f>VLOOKUP(Table39[[#This Row],[District Code]],'20-21 ESSER II Alloc'!D:M,10,FALSE)</f>
        <v>286957</v>
      </c>
      <c r="I31" s="291">
        <f>VLOOKUP(Table39[[#This Row],[District Code]],'2020-21 ESSER III Alloc'!D:U,18,FALSE)</f>
        <v>644927</v>
      </c>
      <c r="J31" s="292">
        <f>VLOOKUP(Table39[[#This Row],[District Code]],'SB 117 Allocation'!C:AA,25,FALSE)</f>
        <v>9849</v>
      </c>
      <c r="K31" s="292">
        <f>VLOOKUP(Table39[[#This Row],[District Code]],'fy20 LLMF Allocations'!B:V,21,FALSE)</f>
        <v>229196</v>
      </c>
      <c r="L31" s="292">
        <f>VLOOKUP(Table39[[#This Row],[District Code]],'IPI Grant -Rev Alloc'!B:K,10,FALSE)</f>
        <v>172137</v>
      </c>
      <c r="M31" s="292">
        <f>VLOOKUP(Table39[[#This Row],[District Code]],'ELO RevAlloc (All LEAs)'!B:W,22,FALSE)</f>
        <v>311391</v>
      </c>
      <c r="N31" s="304">
        <f t="shared" si="0"/>
        <v>1654457</v>
      </c>
    </row>
    <row r="32" spans="1:14" ht="15.75" customHeight="1" x14ac:dyDescent="0.2">
      <c r="A32" s="302" t="s">
        <v>905</v>
      </c>
      <c r="B32" s="173" t="s">
        <v>32</v>
      </c>
      <c r="C32" s="170" t="s">
        <v>110</v>
      </c>
      <c r="D32" s="172" t="s">
        <v>26</v>
      </c>
      <c r="E32" s="169" t="s">
        <v>111</v>
      </c>
      <c r="F32" s="169" t="s">
        <v>904</v>
      </c>
      <c r="G32" s="291">
        <f>VLOOKUP(Table39[[#This Row],[District Code]],'20-21 ESSER I Alloc'!D:K,8,FALSE)</f>
        <v>30717981</v>
      </c>
      <c r="H32" s="291">
        <f>VLOOKUP(Table39[[#This Row],[District Code]],'20-21 ESSER II Alloc'!D:M,10,FALSE)</f>
        <v>134729708</v>
      </c>
      <c r="I32" s="291">
        <f>VLOOKUP(Table39[[#This Row],[District Code]],'2020-21 ESSER III Alloc'!D:U,18,FALSE)</f>
        <v>302800882</v>
      </c>
      <c r="J32" s="292">
        <f>VLOOKUP(Table39[[#This Row],[District Code]],'SB 117 Allocation'!C:AA,25,FALSE)</f>
        <v>1710288</v>
      </c>
      <c r="K32" s="292">
        <f>VLOOKUP(Table39[[#This Row],[District Code]],'fy20 LLMF Allocations'!B:V,21,FALSE)</f>
        <v>83266060</v>
      </c>
      <c r="L32" s="292">
        <f>VLOOKUP(Table39[[#This Row],[District Code]],'IPI Grant -Rev Alloc'!B:K,10,FALSE)</f>
        <v>37561116</v>
      </c>
      <c r="M32" s="292">
        <f>VLOOKUP(Table39[[#This Row],[District Code]],'ELO RevAlloc (All LEAs)'!B:W,22,FALSE)</f>
        <v>77838075</v>
      </c>
      <c r="N32" s="304">
        <f t="shared" si="0"/>
        <v>668624110</v>
      </c>
    </row>
    <row r="33" spans="1:14" ht="15.75" customHeight="1" x14ac:dyDescent="0.2">
      <c r="A33" s="302" t="s">
        <v>905</v>
      </c>
      <c r="B33" s="173" t="s">
        <v>32</v>
      </c>
      <c r="C33" s="170" t="s">
        <v>113</v>
      </c>
      <c r="D33" s="172" t="s">
        <v>26</v>
      </c>
      <c r="E33" s="169" t="s">
        <v>114</v>
      </c>
      <c r="F33" s="169" t="s">
        <v>909</v>
      </c>
      <c r="G33" s="291">
        <f>VLOOKUP(Table39[[#This Row],[District Code]],'20-21 ESSER I Alloc'!D:K,8,FALSE)</f>
        <v>560470</v>
      </c>
      <c r="H33" s="291">
        <f>VLOOKUP(Table39[[#This Row],[District Code]],'20-21 ESSER II Alloc'!D:M,10,FALSE)</f>
        <v>2464667</v>
      </c>
      <c r="I33" s="291">
        <f>VLOOKUP(Table39[[#This Row],[District Code]],'2020-21 ESSER III Alloc'!D:U,18,FALSE)</f>
        <v>5539263</v>
      </c>
      <c r="J33" s="292">
        <f>VLOOKUP(Table39[[#This Row],[District Code]],'SB 117 Allocation'!C:AA,25,FALSE)</f>
        <v>221644</v>
      </c>
      <c r="K33" s="292">
        <f>VLOOKUP(Table39[[#This Row],[District Code]],'fy20 LLMF Allocations'!B:V,21,FALSE)</f>
        <v>5513375</v>
      </c>
      <c r="L33" s="292">
        <f>VLOOKUP(Table39[[#This Row],[District Code]],'IPI Grant -Rev Alloc'!B:K,10,FALSE)</f>
        <v>4641028</v>
      </c>
      <c r="M33" s="292">
        <f>VLOOKUP(Table39[[#This Row],[District Code]],'ELO RevAlloc (All LEAs)'!B:W,22,FALSE)</f>
        <v>8430478</v>
      </c>
      <c r="N33" s="304">
        <f t="shared" si="0"/>
        <v>27370925</v>
      </c>
    </row>
    <row r="34" spans="1:14" ht="15.75" customHeight="1" x14ac:dyDescent="0.2">
      <c r="A34" s="302" t="s">
        <v>905</v>
      </c>
      <c r="B34" s="173" t="s">
        <v>32</v>
      </c>
      <c r="C34" s="170" t="s">
        <v>116</v>
      </c>
      <c r="D34" s="172" t="s">
        <v>26</v>
      </c>
      <c r="E34" s="169" t="s">
        <v>117</v>
      </c>
      <c r="F34" s="169" t="s">
        <v>906</v>
      </c>
      <c r="G34" s="291">
        <f>VLOOKUP(Table39[[#This Row],[District Code]],'20-21 ESSER I Alloc'!D:K,8,FALSE)</f>
        <v>67189</v>
      </c>
      <c r="H34" s="291">
        <f>VLOOKUP(Table39[[#This Row],[District Code]],'20-21 ESSER II Alloc'!D:M,10,FALSE)</f>
        <v>227885</v>
      </c>
      <c r="I34" s="291">
        <f>VLOOKUP(Table39[[#This Row],[District Code]],'2020-21 ESSER III Alloc'!D:U,18,FALSE)</f>
        <v>512166</v>
      </c>
      <c r="J34" s="292">
        <f>VLOOKUP(Table39[[#This Row],[District Code]],'SB 117 Allocation'!C:AA,25,FALSE)</f>
        <v>9886</v>
      </c>
      <c r="K34" s="292">
        <f>VLOOKUP(Table39[[#This Row],[District Code]],'fy20 LLMF Allocations'!B:V,21,FALSE)</f>
        <v>256888</v>
      </c>
      <c r="L34" s="292">
        <f>VLOOKUP(Table39[[#This Row],[District Code]],'IPI Grant -Rev Alloc'!B:K,10,FALSE)</f>
        <v>180064</v>
      </c>
      <c r="M34" s="292">
        <f>VLOOKUP(Table39[[#This Row],[District Code]],'ELO RevAlloc (All LEAs)'!B:W,22,FALSE)</f>
        <v>354731</v>
      </c>
      <c r="N34" s="304">
        <f t="shared" si="0"/>
        <v>1608809</v>
      </c>
    </row>
    <row r="35" spans="1:14" ht="15.75" customHeight="1" x14ac:dyDescent="0.2">
      <c r="A35" s="302" t="s">
        <v>905</v>
      </c>
      <c r="B35" s="173" t="s">
        <v>32</v>
      </c>
      <c r="C35" s="170" t="s">
        <v>119</v>
      </c>
      <c r="D35" s="172" t="s">
        <v>26</v>
      </c>
      <c r="E35" s="169" t="s">
        <v>120</v>
      </c>
      <c r="F35" s="169" t="s">
        <v>906</v>
      </c>
      <c r="G35" s="291">
        <f>VLOOKUP(Table39[[#This Row],[District Code]],'20-21 ESSER I Alloc'!D:K,8,FALSE)</f>
        <v>446244</v>
      </c>
      <c r="H35" s="291">
        <f>VLOOKUP(Table39[[#This Row],[District Code]],'20-21 ESSER II Alloc'!D:M,10,FALSE)</f>
        <v>2075910</v>
      </c>
      <c r="I35" s="291">
        <f>VLOOKUP(Table39[[#This Row],[District Code]],'2020-21 ESSER III Alloc'!D:U,18,FALSE)</f>
        <v>4665544</v>
      </c>
      <c r="J35" s="292">
        <f>VLOOKUP(Table39[[#This Row],[District Code]],'SB 117 Allocation'!C:AA,25,FALSE)</f>
        <v>114602</v>
      </c>
      <c r="K35" s="292">
        <f>VLOOKUP(Table39[[#This Row],[District Code]],'fy20 LLMF Allocations'!B:V,21,FALSE)</f>
        <v>4390058</v>
      </c>
      <c r="L35" s="292">
        <f>VLOOKUP(Table39[[#This Row],[District Code]],'IPI Grant -Rev Alloc'!B:K,10,FALSE)</f>
        <v>2265754</v>
      </c>
      <c r="M35" s="292">
        <f>VLOOKUP(Table39[[#This Row],[District Code]],'ELO RevAlloc (All LEAs)'!B:W,22,FALSE)</f>
        <v>4246680</v>
      </c>
      <c r="N35" s="304">
        <f t="shared" si="0"/>
        <v>18204792</v>
      </c>
    </row>
    <row r="36" spans="1:14" ht="15.75" customHeight="1" x14ac:dyDescent="0.2">
      <c r="A36" s="302" t="s">
        <v>905</v>
      </c>
      <c r="B36" s="173" t="s">
        <v>32</v>
      </c>
      <c r="C36" s="170" t="s">
        <v>122</v>
      </c>
      <c r="D36" s="172" t="s">
        <v>26</v>
      </c>
      <c r="E36" s="169" t="s">
        <v>123</v>
      </c>
      <c r="F36" s="169" t="s">
        <v>906</v>
      </c>
      <c r="G36" s="291">
        <f>VLOOKUP(Table39[[#This Row],[District Code]],'20-21 ESSER I Alloc'!D:K,8,FALSE)</f>
        <v>1148009</v>
      </c>
      <c r="H36" s="291">
        <f>VLOOKUP(Table39[[#This Row],[District Code]],'20-21 ESSER II Alloc'!D:M,10,FALSE)</f>
        <v>4674862</v>
      </c>
      <c r="I36" s="291">
        <f>VLOOKUP(Table39[[#This Row],[District Code]],'2020-21 ESSER III Alloc'!D:U,18,FALSE)</f>
        <v>10506608</v>
      </c>
      <c r="J36" s="292">
        <f>VLOOKUP(Table39[[#This Row],[District Code]],'SB 117 Allocation'!C:AA,25,FALSE)</f>
        <v>75563</v>
      </c>
      <c r="K36" s="292">
        <f>VLOOKUP(Table39[[#This Row],[District Code]],'fy20 LLMF Allocations'!B:V,21,FALSE)</f>
        <v>5219672</v>
      </c>
      <c r="L36" s="292">
        <f>VLOOKUP(Table39[[#This Row],[District Code]],'IPI Grant -Rev Alloc'!B:K,10,FALSE)</f>
        <v>1661523</v>
      </c>
      <c r="M36" s="292">
        <f>VLOOKUP(Table39[[#This Row],[District Code]],'ELO RevAlloc (All LEAs)'!B:W,22,FALSE)</f>
        <v>4132836</v>
      </c>
      <c r="N36" s="304">
        <f t="shared" si="0"/>
        <v>27419073</v>
      </c>
    </row>
    <row r="37" spans="1:14" ht="15.75" customHeight="1" x14ac:dyDescent="0.2">
      <c r="A37" s="302" t="s">
        <v>905</v>
      </c>
      <c r="B37" s="173" t="s">
        <v>32</v>
      </c>
      <c r="C37" s="170" t="s">
        <v>125</v>
      </c>
      <c r="D37" s="172" t="s">
        <v>26</v>
      </c>
      <c r="E37" s="169" t="s">
        <v>126</v>
      </c>
      <c r="F37" s="169" t="s">
        <v>906</v>
      </c>
      <c r="G37" s="291">
        <f>VLOOKUP(Table39[[#This Row],[District Code]],'20-21 ESSER I Alloc'!D:K,8,FALSE)</f>
        <v>139930</v>
      </c>
      <c r="H37" s="291">
        <f>VLOOKUP(Table39[[#This Row],[District Code]],'20-21 ESSER II Alloc'!D:M,10,FALSE)</f>
        <v>589110</v>
      </c>
      <c r="I37" s="291">
        <f>VLOOKUP(Table39[[#This Row],[District Code]],'2020-21 ESSER III Alloc'!D:U,18,FALSE)</f>
        <v>1324006</v>
      </c>
      <c r="J37" s="292">
        <f>VLOOKUP(Table39[[#This Row],[District Code]],'SB 117 Allocation'!C:AA,25,FALSE)</f>
        <v>50238</v>
      </c>
      <c r="K37" s="292">
        <f>VLOOKUP(Table39[[#This Row],[District Code]],'fy20 LLMF Allocations'!B:V,21,FALSE)</f>
        <v>1260372</v>
      </c>
      <c r="L37" s="292">
        <f>VLOOKUP(Table39[[#This Row],[District Code]],'IPI Grant -Rev Alloc'!B:K,10,FALSE)</f>
        <v>964443</v>
      </c>
      <c r="M37" s="292">
        <f>VLOOKUP(Table39[[#This Row],[District Code]],'ELO RevAlloc (All LEAs)'!B:W,22,FALSE)</f>
        <v>1754648</v>
      </c>
      <c r="N37" s="304">
        <f t="shared" si="0"/>
        <v>6082747</v>
      </c>
    </row>
    <row r="38" spans="1:14" ht="15.75" customHeight="1" x14ac:dyDescent="0.2">
      <c r="A38" s="302" t="s">
        <v>905</v>
      </c>
      <c r="B38" s="173" t="s">
        <v>32</v>
      </c>
      <c r="C38" s="170" t="s">
        <v>128</v>
      </c>
      <c r="D38" s="172" t="s">
        <v>26</v>
      </c>
      <c r="E38" s="169" t="s">
        <v>129</v>
      </c>
      <c r="F38" s="169" t="s">
        <v>906</v>
      </c>
      <c r="G38" s="291">
        <f>VLOOKUP(Table39[[#This Row],[District Code]],'20-21 ESSER I Alloc'!D:K,8,FALSE)</f>
        <v>1696355</v>
      </c>
      <c r="H38" s="291">
        <f>VLOOKUP(Table39[[#This Row],[District Code]],'20-21 ESSER II Alloc'!D:M,10,FALSE)</f>
        <v>7168177</v>
      </c>
      <c r="I38" s="291">
        <f>VLOOKUP(Table39[[#This Row],[District Code]],'2020-21 ESSER III Alloc'!D:U,18,FALSE)</f>
        <v>16110259</v>
      </c>
      <c r="J38" s="292">
        <f>VLOOKUP(Table39[[#This Row],[District Code]],'SB 117 Allocation'!C:AA,25,FALSE)</f>
        <v>84868</v>
      </c>
      <c r="K38" s="292">
        <f>VLOOKUP(Table39[[#This Row],[District Code]],'fy20 LLMF Allocations'!B:V,21,FALSE)</f>
        <v>6394482</v>
      </c>
      <c r="L38" s="292">
        <f>VLOOKUP(Table39[[#This Row],[District Code]],'IPI Grant -Rev Alloc'!B:K,10,FALSE)</f>
        <v>0</v>
      </c>
      <c r="M38" s="292">
        <f>VLOOKUP(Table39[[#This Row],[District Code]],'ELO RevAlloc (All LEAs)'!B:W,22,FALSE)</f>
        <v>3821589</v>
      </c>
      <c r="N38" s="304">
        <f t="shared" si="0"/>
        <v>35275730</v>
      </c>
    </row>
    <row r="39" spans="1:14" ht="15.75" customHeight="1" x14ac:dyDescent="0.2">
      <c r="A39" s="302" t="s">
        <v>905</v>
      </c>
      <c r="B39" s="173" t="s">
        <v>32</v>
      </c>
      <c r="C39" s="170" t="s">
        <v>131</v>
      </c>
      <c r="D39" s="172" t="s">
        <v>26</v>
      </c>
      <c r="E39" s="169" t="s">
        <v>132</v>
      </c>
      <c r="F39" s="169" t="s">
        <v>906</v>
      </c>
      <c r="G39" s="291">
        <f>VLOOKUP(Table39[[#This Row],[District Code]],'20-21 ESSER I Alloc'!D:K,8,FALSE)</f>
        <v>0</v>
      </c>
      <c r="H39" s="291">
        <f>VLOOKUP(Table39[[#This Row],[District Code]],'20-21 ESSER II Alloc'!D:M,10,FALSE)</f>
        <v>0</v>
      </c>
      <c r="I39" s="291">
        <f>VLOOKUP(Table39[[#This Row],[District Code]],'2020-21 ESSER III Alloc'!D:U,18,FALSE)</f>
        <v>0</v>
      </c>
      <c r="J39" s="292">
        <f>VLOOKUP(Table39[[#This Row],[District Code]],'SB 117 Allocation'!C:AA,25,FALSE)</f>
        <v>742</v>
      </c>
      <c r="K39" s="292">
        <f>VLOOKUP(Table39[[#This Row],[District Code]],'fy20 LLMF Allocations'!B:V,21,FALSE)</f>
        <v>17213</v>
      </c>
      <c r="L39" s="292">
        <f>VLOOKUP(Table39[[#This Row],[District Code]],'IPI Grant -Rev Alloc'!B:K,10,FALSE)</f>
        <v>15035</v>
      </c>
      <c r="M39" s="292">
        <f>VLOOKUP(Table39[[#This Row],[District Code]],'ELO RevAlloc (All LEAs)'!B:W,22,FALSE)</f>
        <v>27198</v>
      </c>
      <c r="N39" s="304">
        <f t="shared" si="0"/>
        <v>60188</v>
      </c>
    </row>
    <row r="40" spans="1:14" ht="15.75" customHeight="1" x14ac:dyDescent="0.2">
      <c r="A40" s="302" t="s">
        <v>905</v>
      </c>
      <c r="B40" s="173" t="s">
        <v>32</v>
      </c>
      <c r="C40" s="170" t="s">
        <v>134</v>
      </c>
      <c r="D40" s="172" t="s">
        <v>26</v>
      </c>
      <c r="E40" s="169" t="s">
        <v>135</v>
      </c>
      <c r="F40" s="169" t="s">
        <v>909</v>
      </c>
      <c r="G40" s="291">
        <f>VLOOKUP(Table39[[#This Row],[District Code]],'20-21 ESSER I Alloc'!D:K,8,FALSE)</f>
        <v>8316940</v>
      </c>
      <c r="H40" s="291">
        <f>VLOOKUP(Table39[[#This Row],[District Code]],'20-21 ESSER II Alloc'!D:M,10,FALSE)</f>
        <v>34886333</v>
      </c>
      <c r="I40" s="291">
        <f>VLOOKUP(Table39[[#This Row],[District Code]],'2020-21 ESSER III Alloc'!D:U,18,FALSE)</f>
        <v>78405961</v>
      </c>
      <c r="J40" s="292">
        <f>VLOOKUP(Table39[[#This Row],[District Code]],'SB 117 Allocation'!C:AA,25,FALSE)</f>
        <v>644126</v>
      </c>
      <c r="K40" s="292">
        <f>VLOOKUP(Table39[[#This Row],[District Code]],'fy20 LLMF Allocations'!B:V,21,FALSE)</f>
        <v>32320837</v>
      </c>
      <c r="L40" s="292">
        <f>VLOOKUP(Table39[[#This Row],[District Code]],'IPI Grant -Rev Alloc'!B:K,10,FALSE)</f>
        <v>14178670</v>
      </c>
      <c r="M40" s="292">
        <f>VLOOKUP(Table39[[#This Row],[District Code]],'ELO RevAlloc (All LEAs)'!B:W,22,FALSE)</f>
        <v>27443721</v>
      </c>
      <c r="N40" s="304">
        <f t="shared" si="0"/>
        <v>196196588</v>
      </c>
    </row>
    <row r="41" spans="1:14" ht="15.75" customHeight="1" x14ac:dyDescent="0.2">
      <c r="A41" s="302" t="s">
        <v>905</v>
      </c>
      <c r="B41" s="173" t="s">
        <v>32</v>
      </c>
      <c r="C41" s="170" t="s">
        <v>137</v>
      </c>
      <c r="D41" s="172" t="s">
        <v>26</v>
      </c>
      <c r="E41" s="169" t="s">
        <v>138</v>
      </c>
      <c r="F41" s="169" t="s">
        <v>906</v>
      </c>
      <c r="G41" s="291">
        <f>VLOOKUP(Table39[[#This Row],[District Code]],'20-21 ESSER I Alloc'!D:K,8,FALSE)</f>
        <v>45003</v>
      </c>
      <c r="H41" s="291">
        <f>VLOOKUP(Table39[[#This Row],[District Code]],'20-21 ESSER II Alloc'!D:M,10,FALSE)</f>
        <v>177794</v>
      </c>
      <c r="I41" s="291">
        <f>VLOOKUP(Table39[[#This Row],[District Code]],'2020-21 ESSER III Alloc'!D:U,18,FALSE)</f>
        <v>399588</v>
      </c>
      <c r="J41" s="292">
        <f>VLOOKUP(Table39[[#This Row],[District Code]],'SB 117 Allocation'!C:AA,25,FALSE)</f>
        <v>3434</v>
      </c>
      <c r="K41" s="292">
        <f>VLOOKUP(Table39[[#This Row],[District Code]],'fy20 LLMF Allocations'!B:V,21,FALSE)</f>
        <v>273808</v>
      </c>
      <c r="L41" s="292">
        <f>VLOOKUP(Table39[[#This Row],[District Code]],'IPI Grant -Rev Alloc'!B:K,10,FALSE)</f>
        <v>83199</v>
      </c>
      <c r="M41" s="292">
        <f>VLOOKUP(Table39[[#This Row],[District Code]],'ELO RevAlloc (All LEAs)'!B:W,22,FALSE)</f>
        <v>153504</v>
      </c>
      <c r="N41" s="304">
        <f t="shared" si="0"/>
        <v>1136330</v>
      </c>
    </row>
    <row r="42" spans="1:14" ht="15.75" customHeight="1" x14ac:dyDescent="0.2">
      <c r="A42" s="302" t="s">
        <v>905</v>
      </c>
      <c r="B42" s="173" t="s">
        <v>32</v>
      </c>
      <c r="C42" s="170" t="s">
        <v>140</v>
      </c>
      <c r="D42" s="172" t="s">
        <v>26</v>
      </c>
      <c r="E42" s="169" t="s">
        <v>141</v>
      </c>
      <c r="F42" s="169" t="s">
        <v>904</v>
      </c>
      <c r="G42" s="291">
        <f>VLOOKUP(Table39[[#This Row],[District Code]],'20-21 ESSER I Alloc'!D:K,8,FALSE)</f>
        <v>4076611</v>
      </c>
      <c r="H42" s="291">
        <f>VLOOKUP(Table39[[#This Row],[District Code]],'20-21 ESSER II Alloc'!D:M,10,FALSE)</f>
        <v>18320373</v>
      </c>
      <c r="I42" s="291">
        <f>VLOOKUP(Table39[[#This Row],[District Code]],'2020-21 ESSER III Alloc'!D:U,18,FALSE)</f>
        <v>41174476</v>
      </c>
      <c r="J42" s="292">
        <f>VLOOKUP(Table39[[#This Row],[District Code]],'SB 117 Allocation'!C:AA,25,FALSE)</f>
        <v>342807</v>
      </c>
      <c r="K42" s="292">
        <f>VLOOKUP(Table39[[#This Row],[District Code]],'fy20 LLMF Allocations'!B:V,21,FALSE)</f>
        <v>17961902</v>
      </c>
      <c r="L42" s="292">
        <f>VLOOKUP(Table39[[#This Row],[District Code]],'IPI Grant -Rev Alloc'!B:K,10,FALSE)</f>
        <v>7791642</v>
      </c>
      <c r="M42" s="292">
        <f>VLOOKUP(Table39[[#This Row],[District Code]],'ELO RevAlloc (All LEAs)'!B:W,22,FALSE)</f>
        <v>15020844</v>
      </c>
      <c r="N42" s="304">
        <f t="shared" si="0"/>
        <v>104688655</v>
      </c>
    </row>
    <row r="43" spans="1:14" ht="15.75" customHeight="1" x14ac:dyDescent="0.2">
      <c r="A43" s="302" t="s">
        <v>905</v>
      </c>
      <c r="B43" s="173" t="s">
        <v>32</v>
      </c>
      <c r="C43" s="170" t="s">
        <v>143</v>
      </c>
      <c r="D43" s="172" t="s">
        <v>26</v>
      </c>
      <c r="E43" s="169" t="s">
        <v>144</v>
      </c>
      <c r="F43" s="169" t="s">
        <v>904</v>
      </c>
      <c r="G43" s="291">
        <f>VLOOKUP(Table39[[#This Row],[District Code]],'20-21 ESSER I Alloc'!D:K,8,FALSE)</f>
        <v>841472</v>
      </c>
      <c r="H43" s="291">
        <f>VLOOKUP(Table39[[#This Row],[District Code]],'20-21 ESSER II Alloc'!D:M,10,FALSE)</f>
        <v>3326351</v>
      </c>
      <c r="I43" s="291">
        <f>VLOOKUP(Table39[[#This Row],[District Code]],'2020-21 ESSER III Alloc'!D:U,18,FALSE)</f>
        <v>7475872</v>
      </c>
      <c r="J43" s="292">
        <f>VLOOKUP(Table39[[#This Row],[District Code]],'SB 117 Allocation'!C:AA,25,FALSE)</f>
        <v>192510</v>
      </c>
      <c r="K43" s="292">
        <f>VLOOKUP(Table39[[#This Row],[District Code]],'fy20 LLMF Allocations'!B:V,21,FALSE)</f>
        <v>6095748</v>
      </c>
      <c r="L43" s="292">
        <f>VLOOKUP(Table39[[#This Row],[District Code]],'IPI Grant -Rev Alloc'!B:K,10,FALSE)</f>
        <v>3874594</v>
      </c>
      <c r="M43" s="292">
        <f>VLOOKUP(Table39[[#This Row],[District Code]],'ELO RevAlloc (All LEAs)'!B:W,22,FALSE)</f>
        <v>7028023</v>
      </c>
      <c r="N43" s="304">
        <f t="shared" si="0"/>
        <v>28834570</v>
      </c>
    </row>
    <row r="44" spans="1:14" ht="15.75" customHeight="1" x14ac:dyDescent="0.2">
      <c r="A44" s="302" t="s">
        <v>905</v>
      </c>
      <c r="B44" s="173" t="s">
        <v>32</v>
      </c>
      <c r="C44" s="170" t="s">
        <v>146</v>
      </c>
      <c r="D44" s="172" t="s">
        <v>26</v>
      </c>
      <c r="E44" s="169" t="s">
        <v>147</v>
      </c>
      <c r="F44" s="169" t="s">
        <v>904</v>
      </c>
      <c r="G44" s="291">
        <f>VLOOKUP(Table39[[#This Row],[District Code]],'20-21 ESSER I Alloc'!D:K,8,FALSE)</f>
        <v>3154843</v>
      </c>
      <c r="H44" s="291">
        <f>VLOOKUP(Table39[[#This Row],[District Code]],'20-21 ESSER II Alloc'!D:M,10,FALSE)</f>
        <v>12471135</v>
      </c>
      <c r="I44" s="291">
        <f>VLOOKUP(Table39[[#This Row],[District Code]],'2020-21 ESSER III Alloc'!D:U,18,FALSE)</f>
        <v>28028491</v>
      </c>
      <c r="J44" s="292">
        <f>VLOOKUP(Table39[[#This Row],[District Code]],'SB 117 Allocation'!C:AA,25,FALSE)</f>
        <v>289781</v>
      </c>
      <c r="K44" s="292">
        <f>VLOOKUP(Table39[[#This Row],[District Code]],'fy20 LLMF Allocations'!B:V,21,FALSE)</f>
        <v>14911655</v>
      </c>
      <c r="L44" s="292">
        <f>VLOOKUP(Table39[[#This Row],[District Code]],'IPI Grant -Rev Alloc'!B:K,10,FALSE)</f>
        <v>6429478</v>
      </c>
      <c r="M44" s="292">
        <f>VLOOKUP(Table39[[#This Row],[District Code]],'ELO RevAlloc (All LEAs)'!B:W,22,FALSE)</f>
        <v>11662731</v>
      </c>
      <c r="N44" s="304">
        <f t="shared" si="0"/>
        <v>76948114</v>
      </c>
    </row>
    <row r="45" spans="1:14" ht="15.75" customHeight="1" x14ac:dyDescent="0.2">
      <c r="A45" s="302" t="s">
        <v>905</v>
      </c>
      <c r="B45" s="173" t="s">
        <v>32</v>
      </c>
      <c r="C45" s="170" t="s">
        <v>149</v>
      </c>
      <c r="D45" s="172" t="s">
        <v>26</v>
      </c>
      <c r="E45" s="169" t="s">
        <v>150</v>
      </c>
      <c r="F45" s="169" t="s">
        <v>904</v>
      </c>
      <c r="G45" s="291">
        <f>VLOOKUP(Table39[[#This Row],[District Code]],'20-21 ESSER I Alloc'!D:K,8,FALSE)</f>
        <v>2047100</v>
      </c>
      <c r="H45" s="291">
        <f>VLOOKUP(Table39[[#This Row],[District Code]],'20-21 ESSER II Alloc'!D:M,10,FALSE)</f>
        <v>8208482</v>
      </c>
      <c r="I45" s="291">
        <f>VLOOKUP(Table39[[#This Row],[District Code]],'2020-21 ESSER III Alloc'!D:U,18,FALSE)</f>
        <v>18448311</v>
      </c>
      <c r="J45" s="292">
        <f>VLOOKUP(Table39[[#This Row],[District Code]],'SB 117 Allocation'!C:AA,25,FALSE)</f>
        <v>350583</v>
      </c>
      <c r="K45" s="292">
        <f>VLOOKUP(Table39[[#This Row],[District Code]],'fy20 LLMF Allocations'!B:V,21,FALSE)</f>
        <v>12676247</v>
      </c>
      <c r="L45" s="292">
        <f>VLOOKUP(Table39[[#This Row],[District Code]],'IPI Grant -Rev Alloc'!B:K,10,FALSE)</f>
        <v>7176600</v>
      </c>
      <c r="M45" s="292">
        <f>VLOOKUP(Table39[[#This Row],[District Code]],'ELO RevAlloc (All LEAs)'!B:W,22,FALSE)</f>
        <v>13183252</v>
      </c>
      <c r="N45" s="304">
        <f t="shared" si="0"/>
        <v>62090575</v>
      </c>
    </row>
    <row r="46" spans="1:14" ht="15.75" customHeight="1" x14ac:dyDescent="0.2">
      <c r="A46" s="302" t="s">
        <v>905</v>
      </c>
      <c r="B46" s="173" t="s">
        <v>32</v>
      </c>
      <c r="C46" s="170" t="s">
        <v>152</v>
      </c>
      <c r="D46" s="172" t="s">
        <v>26</v>
      </c>
      <c r="E46" s="169" t="s">
        <v>153</v>
      </c>
      <c r="F46" s="169" t="s">
        <v>904</v>
      </c>
      <c r="G46" s="291">
        <f>VLOOKUP(Table39[[#This Row],[District Code]],'20-21 ESSER I Alloc'!D:K,8,FALSE)</f>
        <v>76415</v>
      </c>
      <c r="H46" s="291">
        <f>VLOOKUP(Table39[[#This Row],[District Code]],'20-21 ESSER II Alloc'!D:M,10,FALSE)</f>
        <v>377572</v>
      </c>
      <c r="I46" s="291">
        <f>VLOOKUP(Table39[[#This Row],[District Code]],'2020-21 ESSER III Alloc'!D:U,18,FALSE)</f>
        <v>848580</v>
      </c>
      <c r="J46" s="292">
        <f>VLOOKUP(Table39[[#This Row],[District Code]],'SB 117 Allocation'!C:AA,25,FALSE)</f>
        <v>3169</v>
      </c>
      <c r="K46" s="292">
        <f>VLOOKUP(Table39[[#This Row],[District Code]],'fy20 LLMF Allocations'!B:V,21,FALSE)</f>
        <v>245404</v>
      </c>
      <c r="L46" s="292">
        <f>VLOOKUP(Table39[[#This Row],[District Code]],'IPI Grant -Rev Alloc'!B:K,10,FALSE)</f>
        <v>102774</v>
      </c>
      <c r="M46" s="292">
        <f>VLOOKUP(Table39[[#This Row],[District Code]],'ELO RevAlloc (All LEAs)'!B:W,22,FALSE)</f>
        <v>186916</v>
      </c>
      <c r="N46" s="304">
        <f t="shared" si="0"/>
        <v>1840830</v>
      </c>
    </row>
    <row r="47" spans="1:14" ht="15.75" customHeight="1" x14ac:dyDescent="0.2">
      <c r="A47" s="302" t="s">
        <v>905</v>
      </c>
      <c r="B47" s="173" t="s">
        <v>32</v>
      </c>
      <c r="C47" s="170" t="s">
        <v>155</v>
      </c>
      <c r="D47" s="172" t="s">
        <v>26</v>
      </c>
      <c r="E47" s="169" t="s">
        <v>156</v>
      </c>
      <c r="F47" s="169" t="s">
        <v>904</v>
      </c>
      <c r="G47" s="291">
        <f>VLOOKUP(Table39[[#This Row],[District Code]],'20-21 ESSER I Alloc'!D:K,8,FALSE)</f>
        <v>585626</v>
      </c>
      <c r="H47" s="291">
        <f>VLOOKUP(Table39[[#This Row],[District Code]],'20-21 ESSER II Alloc'!D:M,10,FALSE)</f>
        <v>2269945</v>
      </c>
      <c r="I47" s="291">
        <f>VLOOKUP(Table39[[#This Row],[District Code]],'2020-21 ESSER III Alloc'!D:U,18,FALSE)</f>
        <v>5101632</v>
      </c>
      <c r="J47" s="292">
        <f>VLOOKUP(Table39[[#This Row],[District Code]],'SB 117 Allocation'!C:AA,25,FALSE)</f>
        <v>65673</v>
      </c>
      <c r="K47" s="292">
        <f>VLOOKUP(Table39[[#This Row],[District Code]],'fy20 LLMF Allocations'!B:V,21,FALSE)</f>
        <v>3054377</v>
      </c>
      <c r="L47" s="292">
        <f>VLOOKUP(Table39[[#This Row],[District Code]],'IPI Grant -Rev Alloc'!B:K,10,FALSE)</f>
        <v>1416309</v>
      </c>
      <c r="M47" s="292">
        <f>VLOOKUP(Table39[[#This Row],[District Code]],'ELO RevAlloc (All LEAs)'!B:W,22,FALSE)</f>
        <v>2577060</v>
      </c>
      <c r="N47" s="304">
        <f t="shared" si="0"/>
        <v>15070622</v>
      </c>
    </row>
    <row r="48" spans="1:14" ht="15.75" customHeight="1" x14ac:dyDescent="0.2">
      <c r="A48" s="302" t="s">
        <v>905</v>
      </c>
      <c r="B48" s="173" t="s">
        <v>32</v>
      </c>
      <c r="C48" s="170" t="s">
        <v>158</v>
      </c>
      <c r="D48" s="172" t="s">
        <v>26</v>
      </c>
      <c r="E48" s="169" t="s">
        <v>159</v>
      </c>
      <c r="F48" s="169" t="s">
        <v>904</v>
      </c>
      <c r="G48" s="291">
        <f>VLOOKUP(Table39[[#This Row],[District Code]],'20-21 ESSER I Alloc'!D:K,8,FALSE)</f>
        <v>327347</v>
      </c>
      <c r="H48" s="291">
        <f>VLOOKUP(Table39[[#This Row],[District Code]],'20-21 ESSER II Alloc'!D:M,10,FALSE)</f>
        <v>1206882</v>
      </c>
      <c r="I48" s="291">
        <f>VLOOKUP(Table39[[#This Row],[District Code]],'2020-21 ESSER III Alloc'!D:U,18,FALSE)</f>
        <v>2712430</v>
      </c>
      <c r="J48" s="292">
        <f>VLOOKUP(Table39[[#This Row],[District Code]],'SB 117 Allocation'!C:AA,25,FALSE)</f>
        <v>40515</v>
      </c>
      <c r="K48" s="292">
        <f>VLOOKUP(Table39[[#This Row],[District Code]],'fy20 LLMF Allocations'!B:V,21,FALSE)</f>
        <v>1454214</v>
      </c>
      <c r="L48" s="292">
        <f>VLOOKUP(Table39[[#This Row],[District Code]],'IPI Grant -Rev Alloc'!B:K,10,FALSE)</f>
        <v>796670</v>
      </c>
      <c r="M48" s="292">
        <f>VLOOKUP(Table39[[#This Row],[District Code]],'ELO RevAlloc (All LEAs)'!B:W,22,FALSE)</f>
        <v>1697152</v>
      </c>
      <c r="N48" s="304">
        <f t="shared" si="0"/>
        <v>8235210</v>
      </c>
    </row>
    <row r="49" spans="1:14" ht="16.5" thickBot="1" x14ac:dyDescent="0.3">
      <c r="A49" s="305" t="s">
        <v>764</v>
      </c>
      <c r="B49" s="306"/>
      <c r="C49" s="306"/>
      <c r="D49" s="306"/>
      <c r="E49" s="307"/>
      <c r="F49" s="307"/>
      <c r="G49" s="308">
        <f>SUM(G6:G48)</f>
        <v>84015213</v>
      </c>
      <c r="H49" s="308">
        <f t="shared" ref="H49:J49" si="1">SUM(H6:H48)</f>
        <v>362945667</v>
      </c>
      <c r="I49" s="308">
        <f t="shared" si="1"/>
        <v>815709242</v>
      </c>
      <c r="J49" s="308">
        <f t="shared" si="1"/>
        <v>7115707</v>
      </c>
      <c r="K49" s="309">
        <f>SUM(K6:K48)</f>
        <v>335178982</v>
      </c>
      <c r="L49" s="309">
        <f t="shared" ref="L49:M49" si="2">SUM(L6:L48)</f>
        <v>153691617</v>
      </c>
      <c r="M49" s="309">
        <f t="shared" si="2"/>
        <v>302295633</v>
      </c>
      <c r="N49" s="310">
        <f>SUM(N6:N48)</f>
        <v>2060952061</v>
      </c>
    </row>
    <row r="50" spans="1:14" ht="15.75" x14ac:dyDescent="0.25">
      <c r="A50" s="295" t="s">
        <v>903</v>
      </c>
      <c r="B50" s="157"/>
      <c r="G50" s="283">
        <f>Table39[[#Totals],[ESSER I
(Federal CARES Act)]]-'20-21 ESSER I Alloc'!K173</f>
        <v>0</v>
      </c>
      <c r="H50" s="283">
        <f>Table39[[#Totals],[ESSER II
(Federal CRRSA Act)]]-'20-21 ESSER II Alloc'!M173</f>
        <v>0</v>
      </c>
      <c r="I50" s="283">
        <f>Table39[[#Totals],[ESSER III
(Federal ARP Act)]]-'2020-21 ESSER III Alloc'!U173</f>
        <v>0</v>
      </c>
      <c r="J50" s="288">
        <f>Table39[[#Totals],[SB 117 COVID-19 LEA Response Funds (State)]]-Table3[[#Totals],[SB 117 Allocation (greater of  $17.3779235 x E.2, or $250)]]</f>
        <v>0</v>
      </c>
      <c r="K50" s="288">
        <f>K49-'fy20 LLMF Allocations'!V185</f>
        <v>0</v>
      </c>
      <c r="L50" s="288">
        <f>L49-'IPI Grant -Rev Alloc'!K185</f>
        <v>0</v>
      </c>
      <c r="M50" s="288">
        <f>M49-'ELO RevAlloc (All LEAs)'!W184</f>
        <v>0</v>
      </c>
    </row>
    <row r="51" spans="1:14" x14ac:dyDescent="0.2">
      <c r="A51" s="295" t="s">
        <v>34</v>
      </c>
      <c r="B51" s="155"/>
    </row>
    <row r="52" spans="1:14" x14ac:dyDescent="0.2">
      <c r="A52" s="295" t="s">
        <v>990</v>
      </c>
      <c r="B52" s="155"/>
    </row>
    <row r="53" spans="1:14" x14ac:dyDescent="0.2">
      <c r="A53" s="296" t="s">
        <v>981</v>
      </c>
      <c r="B53" s="153"/>
    </row>
  </sheetData>
  <printOptions horizontalCentered="1"/>
  <pageMargins left="0.5" right="0.5" top="0.5" bottom="0.5" header="0.25" footer="0.25"/>
  <pageSetup paperSize="5" scale="51" pageOrder="overThenDown" orientation="landscape" horizontalDpi="1200" verticalDpi="1200" r:id="rId1"/>
  <headerFooter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7129D-D0B9-4721-BE27-037D27624F25}">
  <sheetPr>
    <pageSetUpPr fitToPage="1"/>
  </sheetPr>
  <dimension ref="A1:R175"/>
  <sheetViews>
    <sheetView zoomScaleNormal="100" workbookViewId="0">
      <pane ySplit="5" topLeftCell="A150" activePane="bottomLeft" state="frozen"/>
      <selection pane="bottomLeft" activeCell="A173" sqref="A173"/>
    </sheetView>
  </sheetViews>
  <sheetFormatPr defaultColWidth="8.88671875" defaultRowHeight="15" x14ac:dyDescent="0.2"/>
  <cols>
    <col min="1" max="1" width="14" style="111" customWidth="1"/>
    <col min="2" max="2" width="16.33203125" style="111" customWidth="1"/>
    <col min="3" max="3" width="7.88671875" style="110" customWidth="1"/>
    <col min="4" max="4" width="7.33203125" style="109" bestFit="1" customWidth="1"/>
    <col min="5" max="5" width="9.6640625" style="109" customWidth="1"/>
    <col min="6" max="6" width="8" style="109" bestFit="1" customWidth="1"/>
    <col min="7" max="7" width="12.109375" style="109" customWidth="1"/>
    <col min="8" max="8" width="65.109375" style="109" customWidth="1"/>
    <col min="9" max="10" width="14.33203125" style="109" customWidth="1"/>
    <col min="11" max="11" width="14.5546875" bestFit="1" customWidth="1"/>
    <col min="12" max="13" width="17.33203125" bestFit="1" customWidth="1"/>
    <col min="14" max="14" width="17.33203125" style="108" bestFit="1" customWidth="1"/>
    <col min="15" max="15" width="17.33203125" style="108" customWidth="1"/>
    <col min="16" max="17" width="13.6640625" style="108" customWidth="1"/>
    <col min="18" max="18" width="17.33203125" style="108" customWidth="1"/>
    <col min="19" max="16384" width="8.88671875" style="107"/>
  </cols>
  <sheetData>
    <row r="1" spans="1:17" customFormat="1" ht="18" x14ac:dyDescent="0.25">
      <c r="A1" s="149" t="s">
        <v>900</v>
      </c>
      <c r="I1" s="147"/>
      <c r="J1" s="147"/>
    </row>
    <row r="2" spans="1:17" customFormat="1" ht="15.75" x14ac:dyDescent="0.25">
      <c r="A2" s="77" t="s">
        <v>899</v>
      </c>
      <c r="I2" s="147"/>
      <c r="J2" s="147"/>
    </row>
    <row r="3" spans="1:17" customFormat="1" x14ac:dyDescent="0.2">
      <c r="A3" s="148" t="s">
        <v>898</v>
      </c>
      <c r="I3" s="147"/>
      <c r="J3" s="147"/>
    </row>
    <row r="4" spans="1:17" customFormat="1" x14ac:dyDescent="0.2">
      <c r="A4" s="148" t="s">
        <v>897</v>
      </c>
      <c r="I4" s="147"/>
      <c r="J4" s="147"/>
      <c r="K4" t="s">
        <v>896</v>
      </c>
    </row>
    <row r="5" spans="1:17" s="143" customFormat="1" ht="79.5" thickBot="1" x14ac:dyDescent="0.3">
      <c r="A5" s="146" t="s">
        <v>895</v>
      </c>
      <c r="B5" s="146" t="s">
        <v>6</v>
      </c>
      <c r="C5" s="144" t="s">
        <v>7</v>
      </c>
      <c r="D5" s="144" t="s">
        <v>8</v>
      </c>
      <c r="E5" s="144" t="s">
        <v>9</v>
      </c>
      <c r="F5" s="144" t="s">
        <v>10</v>
      </c>
      <c r="G5" s="144" t="s">
        <v>894</v>
      </c>
      <c r="H5" s="146" t="s">
        <v>12</v>
      </c>
      <c r="I5" s="144" t="s">
        <v>893</v>
      </c>
      <c r="J5" s="144" t="s">
        <v>892</v>
      </c>
      <c r="K5" s="145" t="s">
        <v>891</v>
      </c>
      <c r="L5" s="144" t="s">
        <v>890</v>
      </c>
      <c r="M5" s="144" t="s">
        <v>889</v>
      </c>
      <c r="N5" s="144" t="s">
        <v>888</v>
      </c>
      <c r="O5" s="144" t="s">
        <v>887</v>
      </c>
      <c r="P5" s="144" t="s">
        <v>25</v>
      </c>
      <c r="Q5" s="144" t="s">
        <v>773</v>
      </c>
    </row>
    <row r="6" spans="1:17" s="125" customFormat="1" x14ac:dyDescent="0.2">
      <c r="A6" s="136" t="s">
        <v>30</v>
      </c>
      <c r="B6" s="136" t="s">
        <v>31</v>
      </c>
      <c r="C6" s="138" t="s">
        <v>32</v>
      </c>
      <c r="D6" s="138" t="s">
        <v>33</v>
      </c>
      <c r="E6" s="138" t="s">
        <v>26</v>
      </c>
      <c r="F6" s="138" t="s">
        <v>27</v>
      </c>
      <c r="G6" s="132" t="s">
        <v>33</v>
      </c>
      <c r="H6" s="136" t="s">
        <v>34</v>
      </c>
      <c r="I6" s="130" t="s">
        <v>768</v>
      </c>
      <c r="J6" s="130" t="s">
        <v>768</v>
      </c>
      <c r="K6" s="128">
        <v>1335032</v>
      </c>
      <c r="L6" s="127">
        <v>331529</v>
      </c>
      <c r="M6" s="127">
        <v>968246</v>
      </c>
      <c r="N6" s="127">
        <v>24857</v>
      </c>
      <c r="O6" s="127">
        <v>10400</v>
      </c>
      <c r="P6" s="126">
        <v>1335032</v>
      </c>
      <c r="Q6" s="126">
        <v>0</v>
      </c>
    </row>
    <row r="7" spans="1:17" s="125" customFormat="1" x14ac:dyDescent="0.2">
      <c r="A7" s="136" t="s">
        <v>30</v>
      </c>
      <c r="B7" s="136" t="s">
        <v>35</v>
      </c>
      <c r="C7" s="138" t="s">
        <v>32</v>
      </c>
      <c r="D7" s="138" t="s">
        <v>36</v>
      </c>
      <c r="E7" s="138" t="s">
        <v>26</v>
      </c>
      <c r="F7" s="138" t="s">
        <v>27</v>
      </c>
      <c r="G7" s="132" t="s">
        <v>36</v>
      </c>
      <c r="H7" s="136" t="s">
        <v>37</v>
      </c>
      <c r="I7" s="130" t="s">
        <v>768</v>
      </c>
      <c r="J7" s="130" t="s">
        <v>768</v>
      </c>
      <c r="K7" s="128">
        <v>120437</v>
      </c>
      <c r="L7" s="127">
        <v>29908</v>
      </c>
      <c r="M7" s="127">
        <v>90392</v>
      </c>
      <c r="N7" s="127">
        <v>0</v>
      </c>
      <c r="O7" s="127">
        <v>137</v>
      </c>
      <c r="P7" s="126">
        <v>120437</v>
      </c>
      <c r="Q7" s="126">
        <v>0</v>
      </c>
    </row>
    <row r="8" spans="1:17" s="125" customFormat="1" x14ac:dyDescent="0.2">
      <c r="A8" s="136" t="s">
        <v>30</v>
      </c>
      <c r="B8" s="136" t="s">
        <v>38</v>
      </c>
      <c r="C8" s="138" t="s">
        <v>32</v>
      </c>
      <c r="D8" s="138" t="s">
        <v>39</v>
      </c>
      <c r="E8" s="138" t="s">
        <v>26</v>
      </c>
      <c r="F8" s="138" t="s">
        <v>27</v>
      </c>
      <c r="G8" s="132" t="s">
        <v>39</v>
      </c>
      <c r="H8" s="136" t="s">
        <v>40</v>
      </c>
      <c r="I8" s="130" t="s">
        <v>768</v>
      </c>
      <c r="J8" s="130" t="s">
        <v>768</v>
      </c>
      <c r="K8" s="128">
        <v>88385</v>
      </c>
      <c r="L8" s="127">
        <v>21949</v>
      </c>
      <c r="M8" s="127">
        <v>37690</v>
      </c>
      <c r="N8" s="127">
        <v>9246</v>
      </c>
      <c r="O8" s="127">
        <v>19500</v>
      </c>
      <c r="P8" s="126">
        <v>88385</v>
      </c>
      <c r="Q8" s="126">
        <v>0</v>
      </c>
    </row>
    <row r="9" spans="1:17" s="125" customFormat="1" x14ac:dyDescent="0.2">
      <c r="A9" s="136" t="s">
        <v>30</v>
      </c>
      <c r="B9" s="136" t="s">
        <v>41</v>
      </c>
      <c r="C9" s="138" t="s">
        <v>32</v>
      </c>
      <c r="D9" s="138" t="s">
        <v>42</v>
      </c>
      <c r="E9" s="138" t="s">
        <v>26</v>
      </c>
      <c r="F9" s="138" t="s">
        <v>27</v>
      </c>
      <c r="G9" s="132" t="s">
        <v>42</v>
      </c>
      <c r="H9" s="136" t="s">
        <v>43</v>
      </c>
      <c r="I9" s="130" t="s">
        <v>768</v>
      </c>
      <c r="J9" s="130" t="s">
        <v>768</v>
      </c>
      <c r="K9" s="128">
        <v>5002169</v>
      </c>
      <c r="L9" s="127">
        <v>1242189</v>
      </c>
      <c r="M9" s="127">
        <v>3471175</v>
      </c>
      <c r="N9" s="127">
        <v>208057</v>
      </c>
      <c r="O9" s="127">
        <v>80748</v>
      </c>
      <c r="P9" s="126">
        <v>5002169</v>
      </c>
      <c r="Q9" s="126">
        <v>0</v>
      </c>
    </row>
    <row r="10" spans="1:17" s="125" customFormat="1" x14ac:dyDescent="0.2">
      <c r="A10" s="136" t="s">
        <v>30</v>
      </c>
      <c r="B10" s="136" t="s">
        <v>44</v>
      </c>
      <c r="C10" s="138" t="s">
        <v>32</v>
      </c>
      <c r="D10" s="138" t="s">
        <v>45</v>
      </c>
      <c r="E10" s="138" t="s">
        <v>26</v>
      </c>
      <c r="F10" s="138" t="s">
        <v>27</v>
      </c>
      <c r="G10" s="132" t="s">
        <v>45</v>
      </c>
      <c r="H10" s="136" t="s">
        <v>46</v>
      </c>
      <c r="I10" s="129" t="s">
        <v>768</v>
      </c>
      <c r="J10" s="130" t="s">
        <v>769</v>
      </c>
      <c r="K10" s="128">
        <v>0</v>
      </c>
      <c r="L10" s="127">
        <v>0</v>
      </c>
      <c r="M10" s="127">
        <v>0</v>
      </c>
      <c r="N10" s="127">
        <v>0</v>
      </c>
      <c r="O10" s="127">
        <v>0</v>
      </c>
      <c r="P10" s="126">
        <v>0</v>
      </c>
      <c r="Q10" s="126">
        <v>0</v>
      </c>
    </row>
    <row r="11" spans="1:17" s="125" customFormat="1" x14ac:dyDescent="0.2">
      <c r="A11" s="136" t="s">
        <v>30</v>
      </c>
      <c r="B11" s="136" t="s">
        <v>47</v>
      </c>
      <c r="C11" s="138" t="s">
        <v>32</v>
      </c>
      <c r="D11" s="138" t="s">
        <v>48</v>
      </c>
      <c r="E11" s="138" t="s">
        <v>26</v>
      </c>
      <c r="F11" s="138" t="s">
        <v>27</v>
      </c>
      <c r="G11" s="132" t="s">
        <v>48</v>
      </c>
      <c r="H11" s="136" t="s">
        <v>49</v>
      </c>
      <c r="I11" s="130" t="s">
        <v>768</v>
      </c>
      <c r="J11" s="130" t="s">
        <v>768</v>
      </c>
      <c r="K11" s="128">
        <v>4489787</v>
      </c>
      <c r="L11" s="127">
        <v>1114949</v>
      </c>
      <c r="M11" s="127">
        <v>740204</v>
      </c>
      <c r="N11" s="127">
        <v>1146420</v>
      </c>
      <c r="O11" s="127">
        <v>1301842</v>
      </c>
      <c r="P11" s="126">
        <v>4303415</v>
      </c>
      <c r="Q11" s="126">
        <v>186372</v>
      </c>
    </row>
    <row r="12" spans="1:17" s="125" customFormat="1" x14ac:dyDescent="0.2">
      <c r="A12" s="136" t="s">
        <v>30</v>
      </c>
      <c r="B12" s="136" t="s">
        <v>50</v>
      </c>
      <c r="C12" s="138" t="s">
        <v>32</v>
      </c>
      <c r="D12" s="138" t="s">
        <v>51</v>
      </c>
      <c r="E12" s="138" t="s">
        <v>26</v>
      </c>
      <c r="F12" s="138" t="s">
        <v>27</v>
      </c>
      <c r="G12" s="132" t="s">
        <v>51</v>
      </c>
      <c r="H12" s="136" t="s">
        <v>52</v>
      </c>
      <c r="I12" s="130" t="s">
        <v>768</v>
      </c>
      <c r="J12" s="130" t="s">
        <v>768</v>
      </c>
      <c r="K12" s="128">
        <v>143045</v>
      </c>
      <c r="L12" s="127">
        <v>35522</v>
      </c>
      <c r="M12" s="127">
        <v>2467</v>
      </c>
      <c r="N12" s="127">
        <v>0</v>
      </c>
      <c r="O12" s="127">
        <v>44036</v>
      </c>
      <c r="P12" s="126">
        <v>82025</v>
      </c>
      <c r="Q12" s="126">
        <v>61020</v>
      </c>
    </row>
    <row r="13" spans="1:17" s="125" customFormat="1" x14ac:dyDescent="0.2">
      <c r="A13" s="136" t="s">
        <v>30</v>
      </c>
      <c r="B13" s="136" t="s">
        <v>53</v>
      </c>
      <c r="C13" s="138" t="s">
        <v>32</v>
      </c>
      <c r="D13" s="138" t="s">
        <v>54</v>
      </c>
      <c r="E13" s="138" t="s">
        <v>26</v>
      </c>
      <c r="F13" s="138" t="s">
        <v>27</v>
      </c>
      <c r="G13" s="132" t="s">
        <v>54</v>
      </c>
      <c r="H13" s="136" t="s">
        <v>55</v>
      </c>
      <c r="I13" s="130" t="s">
        <v>768</v>
      </c>
      <c r="J13" s="130" t="s">
        <v>768</v>
      </c>
      <c r="K13" s="128">
        <v>18296</v>
      </c>
      <c r="L13" s="127">
        <v>4544</v>
      </c>
      <c r="M13" s="127">
        <v>25</v>
      </c>
      <c r="N13" s="127">
        <v>1052</v>
      </c>
      <c r="O13" s="127">
        <v>5</v>
      </c>
      <c r="P13" s="126">
        <v>5626</v>
      </c>
      <c r="Q13" s="126">
        <v>12670</v>
      </c>
    </row>
    <row r="14" spans="1:17" s="125" customFormat="1" x14ac:dyDescent="0.2">
      <c r="A14" s="136" t="s">
        <v>30</v>
      </c>
      <c r="B14" s="136" t="s">
        <v>56</v>
      </c>
      <c r="C14" s="138" t="s">
        <v>32</v>
      </c>
      <c r="D14" s="138" t="s">
        <v>57</v>
      </c>
      <c r="E14" s="138" t="s">
        <v>26</v>
      </c>
      <c r="F14" s="138" t="s">
        <v>27</v>
      </c>
      <c r="G14" s="132" t="s">
        <v>57</v>
      </c>
      <c r="H14" s="136" t="s">
        <v>58</v>
      </c>
      <c r="I14" s="130" t="s">
        <v>768</v>
      </c>
      <c r="J14" s="130" t="s">
        <v>768</v>
      </c>
      <c r="K14" s="128">
        <v>107469</v>
      </c>
      <c r="L14" s="127">
        <v>26688</v>
      </c>
      <c r="M14" s="127">
        <v>4973</v>
      </c>
      <c r="N14" s="127">
        <v>9806</v>
      </c>
      <c r="O14" s="127">
        <v>66002</v>
      </c>
      <c r="P14" s="126">
        <v>107469</v>
      </c>
      <c r="Q14" s="126">
        <v>0</v>
      </c>
    </row>
    <row r="15" spans="1:17" s="125" customFormat="1" x14ac:dyDescent="0.2">
      <c r="A15" s="136" t="s">
        <v>30</v>
      </c>
      <c r="B15" s="136" t="s">
        <v>59</v>
      </c>
      <c r="C15" s="138" t="s">
        <v>32</v>
      </c>
      <c r="D15" s="138" t="s">
        <v>60</v>
      </c>
      <c r="E15" s="138" t="s">
        <v>26</v>
      </c>
      <c r="F15" s="138" t="s">
        <v>27</v>
      </c>
      <c r="G15" s="132" t="s">
        <v>60</v>
      </c>
      <c r="H15" s="136" t="s">
        <v>61</v>
      </c>
      <c r="I15" s="130" t="s">
        <v>768</v>
      </c>
      <c r="J15" s="130" t="s">
        <v>768</v>
      </c>
      <c r="K15" s="128">
        <v>348141</v>
      </c>
      <c r="L15" s="127">
        <v>86454</v>
      </c>
      <c r="M15" s="127">
        <v>482</v>
      </c>
      <c r="N15" s="127">
        <v>1030</v>
      </c>
      <c r="O15" s="127">
        <v>41993</v>
      </c>
      <c r="P15" s="126">
        <v>129959</v>
      </c>
      <c r="Q15" s="126">
        <v>218182</v>
      </c>
    </row>
    <row r="16" spans="1:17" s="125" customFormat="1" x14ac:dyDescent="0.2">
      <c r="A16" s="136" t="s">
        <v>30</v>
      </c>
      <c r="B16" s="136" t="s">
        <v>62</v>
      </c>
      <c r="C16" s="138" t="s">
        <v>32</v>
      </c>
      <c r="D16" s="138" t="s">
        <v>63</v>
      </c>
      <c r="E16" s="138" t="s">
        <v>26</v>
      </c>
      <c r="F16" s="138" t="s">
        <v>27</v>
      </c>
      <c r="G16" s="132" t="s">
        <v>63</v>
      </c>
      <c r="H16" s="136" t="s">
        <v>64</v>
      </c>
      <c r="I16" s="130" t="s">
        <v>768</v>
      </c>
      <c r="J16" s="130" t="s">
        <v>768</v>
      </c>
      <c r="K16" s="128">
        <v>4053718</v>
      </c>
      <c r="L16" s="127">
        <v>1006660</v>
      </c>
      <c r="M16" s="127">
        <v>5619</v>
      </c>
      <c r="N16" s="127">
        <v>0</v>
      </c>
      <c r="O16" s="127">
        <v>1778316</v>
      </c>
      <c r="P16" s="126">
        <v>2790595</v>
      </c>
      <c r="Q16" s="126">
        <v>1263123</v>
      </c>
    </row>
    <row r="17" spans="1:17" s="125" customFormat="1" x14ac:dyDescent="0.2">
      <c r="A17" s="136" t="s">
        <v>30</v>
      </c>
      <c r="B17" s="136" t="s">
        <v>65</v>
      </c>
      <c r="C17" s="138" t="s">
        <v>32</v>
      </c>
      <c r="D17" s="138" t="s">
        <v>66</v>
      </c>
      <c r="E17" s="138" t="s">
        <v>26</v>
      </c>
      <c r="F17" s="138" t="s">
        <v>27</v>
      </c>
      <c r="G17" s="132" t="s">
        <v>66</v>
      </c>
      <c r="H17" s="136" t="s">
        <v>67</v>
      </c>
      <c r="I17" s="137" t="s">
        <v>768</v>
      </c>
      <c r="J17" s="137" t="s">
        <v>768</v>
      </c>
      <c r="K17" s="128">
        <v>1618586</v>
      </c>
      <c r="L17" s="127">
        <v>401944</v>
      </c>
      <c r="M17" s="127">
        <v>284984</v>
      </c>
      <c r="N17" s="127">
        <v>434709</v>
      </c>
      <c r="O17" s="127">
        <v>427654</v>
      </c>
      <c r="P17" s="126">
        <v>1549291</v>
      </c>
      <c r="Q17" s="126">
        <v>69295</v>
      </c>
    </row>
    <row r="18" spans="1:17" s="125" customFormat="1" x14ac:dyDescent="0.2">
      <c r="A18" s="136" t="s">
        <v>30</v>
      </c>
      <c r="B18" s="136" t="s">
        <v>68</v>
      </c>
      <c r="C18" s="138" t="s">
        <v>32</v>
      </c>
      <c r="D18" s="138" t="s">
        <v>69</v>
      </c>
      <c r="E18" s="138" t="s">
        <v>26</v>
      </c>
      <c r="F18" s="138" t="s">
        <v>27</v>
      </c>
      <c r="G18" s="132" t="s">
        <v>69</v>
      </c>
      <c r="H18" s="136" t="s">
        <v>70</v>
      </c>
      <c r="I18" s="130" t="s">
        <v>768</v>
      </c>
      <c r="J18" s="130" t="s">
        <v>768</v>
      </c>
      <c r="K18" s="128">
        <v>1064318</v>
      </c>
      <c r="L18" s="127">
        <v>264302</v>
      </c>
      <c r="M18" s="127">
        <v>1475</v>
      </c>
      <c r="N18" s="127">
        <v>0</v>
      </c>
      <c r="O18" s="127">
        <v>798541</v>
      </c>
      <c r="P18" s="126">
        <v>1064318</v>
      </c>
      <c r="Q18" s="126">
        <v>0</v>
      </c>
    </row>
    <row r="19" spans="1:17" s="125" customFormat="1" x14ac:dyDescent="0.2">
      <c r="A19" s="136" t="s">
        <v>30</v>
      </c>
      <c r="B19" s="136" t="s">
        <v>71</v>
      </c>
      <c r="C19" s="138" t="s">
        <v>32</v>
      </c>
      <c r="D19" s="138" t="s">
        <v>72</v>
      </c>
      <c r="E19" s="138" t="s">
        <v>26</v>
      </c>
      <c r="F19" s="138" t="s">
        <v>27</v>
      </c>
      <c r="G19" s="132" t="s">
        <v>72</v>
      </c>
      <c r="H19" s="136" t="s">
        <v>73</v>
      </c>
      <c r="I19" s="130" t="s">
        <v>768</v>
      </c>
      <c r="J19" s="130" t="s">
        <v>768</v>
      </c>
      <c r="K19" s="128">
        <v>344614</v>
      </c>
      <c r="L19" s="127">
        <v>85578</v>
      </c>
      <c r="M19" s="127">
        <v>48087</v>
      </c>
      <c r="N19" s="127">
        <v>139280</v>
      </c>
      <c r="O19" s="127">
        <v>32082</v>
      </c>
      <c r="P19" s="126">
        <v>305027</v>
      </c>
      <c r="Q19" s="126">
        <v>39587</v>
      </c>
    </row>
    <row r="20" spans="1:17" s="125" customFormat="1" x14ac:dyDescent="0.2">
      <c r="A20" s="136" t="s">
        <v>30</v>
      </c>
      <c r="B20" s="136" t="s">
        <v>74</v>
      </c>
      <c r="C20" s="138" t="s">
        <v>32</v>
      </c>
      <c r="D20" s="138" t="s">
        <v>75</v>
      </c>
      <c r="E20" s="138" t="s">
        <v>26</v>
      </c>
      <c r="F20" s="138" t="s">
        <v>27</v>
      </c>
      <c r="G20" s="132" t="s">
        <v>75</v>
      </c>
      <c r="H20" s="136" t="s">
        <v>76</v>
      </c>
      <c r="I20" s="130" t="s">
        <v>768</v>
      </c>
      <c r="J20" s="130" t="s">
        <v>768</v>
      </c>
      <c r="K20" s="128">
        <v>3905454</v>
      </c>
      <c r="L20" s="127">
        <v>969841</v>
      </c>
      <c r="M20" s="127">
        <v>5414</v>
      </c>
      <c r="N20" s="127">
        <v>11360</v>
      </c>
      <c r="O20" s="127">
        <v>2918839</v>
      </c>
      <c r="P20" s="126">
        <v>3905454</v>
      </c>
      <c r="Q20" s="126">
        <v>0</v>
      </c>
    </row>
    <row r="21" spans="1:17" s="125" customFormat="1" x14ac:dyDescent="0.2">
      <c r="A21" s="136" t="s">
        <v>30</v>
      </c>
      <c r="B21" s="136" t="s">
        <v>77</v>
      </c>
      <c r="C21" s="138" t="s">
        <v>32</v>
      </c>
      <c r="D21" s="138" t="s">
        <v>78</v>
      </c>
      <c r="E21" s="138" t="s">
        <v>26</v>
      </c>
      <c r="F21" s="138" t="s">
        <v>27</v>
      </c>
      <c r="G21" s="132" t="s">
        <v>78</v>
      </c>
      <c r="H21" s="136" t="s">
        <v>79</v>
      </c>
      <c r="I21" s="130" t="s">
        <v>768</v>
      </c>
      <c r="J21" s="130" t="s">
        <v>768</v>
      </c>
      <c r="K21" s="128">
        <v>141628</v>
      </c>
      <c r="L21" s="127">
        <v>35171</v>
      </c>
      <c r="M21" s="127">
        <v>196</v>
      </c>
      <c r="N21" s="127">
        <v>75270</v>
      </c>
      <c r="O21" s="127">
        <v>30991</v>
      </c>
      <c r="P21" s="126">
        <v>141628</v>
      </c>
      <c r="Q21" s="126">
        <v>0</v>
      </c>
    </row>
    <row r="22" spans="1:17" s="125" customFormat="1" x14ac:dyDescent="0.2">
      <c r="A22" s="136" t="s">
        <v>30</v>
      </c>
      <c r="B22" s="136" t="s">
        <v>80</v>
      </c>
      <c r="C22" s="138" t="s">
        <v>32</v>
      </c>
      <c r="D22" s="138" t="s">
        <v>81</v>
      </c>
      <c r="E22" s="138" t="s">
        <v>26</v>
      </c>
      <c r="F22" s="138" t="s">
        <v>27</v>
      </c>
      <c r="G22" s="132" t="s">
        <v>81</v>
      </c>
      <c r="H22" s="136" t="s">
        <v>82</v>
      </c>
      <c r="I22" s="130" t="s">
        <v>768</v>
      </c>
      <c r="J22" s="130" t="s">
        <v>768</v>
      </c>
      <c r="K22" s="128">
        <v>44435</v>
      </c>
      <c r="L22" s="127">
        <v>11035</v>
      </c>
      <c r="M22" s="127">
        <v>61</v>
      </c>
      <c r="N22" s="127">
        <v>0</v>
      </c>
      <c r="O22" s="127">
        <v>2636</v>
      </c>
      <c r="P22" s="126">
        <v>13732</v>
      </c>
      <c r="Q22" s="126">
        <v>30703</v>
      </c>
    </row>
    <row r="23" spans="1:17" s="125" customFormat="1" x14ac:dyDescent="0.2">
      <c r="A23" s="136" t="s">
        <v>30</v>
      </c>
      <c r="B23" s="136" t="s">
        <v>83</v>
      </c>
      <c r="C23" s="138" t="s">
        <v>32</v>
      </c>
      <c r="D23" s="138" t="s">
        <v>84</v>
      </c>
      <c r="E23" s="138" t="s">
        <v>26</v>
      </c>
      <c r="F23" s="138" t="s">
        <v>27</v>
      </c>
      <c r="G23" s="132" t="s">
        <v>84</v>
      </c>
      <c r="H23" s="136" t="s">
        <v>85</v>
      </c>
      <c r="I23" s="130" t="s">
        <v>768</v>
      </c>
      <c r="J23" s="130" t="s">
        <v>768</v>
      </c>
      <c r="K23" s="128">
        <v>29883</v>
      </c>
      <c r="L23" s="127">
        <v>7421</v>
      </c>
      <c r="M23" s="127">
        <v>22431</v>
      </c>
      <c r="N23" s="127">
        <v>0</v>
      </c>
      <c r="O23" s="127">
        <v>31</v>
      </c>
      <c r="P23" s="126">
        <v>29883</v>
      </c>
      <c r="Q23" s="126">
        <v>0</v>
      </c>
    </row>
    <row r="24" spans="1:17" s="125" customFormat="1" x14ac:dyDescent="0.2">
      <c r="A24" s="136" t="s">
        <v>30</v>
      </c>
      <c r="B24" s="136" t="s">
        <v>86</v>
      </c>
      <c r="C24" s="138" t="s">
        <v>32</v>
      </c>
      <c r="D24" s="138" t="s">
        <v>87</v>
      </c>
      <c r="E24" s="138" t="s">
        <v>26</v>
      </c>
      <c r="F24" s="138" t="s">
        <v>27</v>
      </c>
      <c r="G24" s="132" t="s">
        <v>87</v>
      </c>
      <c r="H24" s="136" t="s">
        <v>28</v>
      </c>
      <c r="I24" s="130" t="s">
        <v>768</v>
      </c>
      <c r="J24" s="130" t="s">
        <v>768</v>
      </c>
      <c r="K24" s="128">
        <v>501124</v>
      </c>
      <c r="L24" s="127">
        <v>124444</v>
      </c>
      <c r="M24" s="127">
        <v>2942</v>
      </c>
      <c r="N24" s="127">
        <v>71423</v>
      </c>
      <c r="O24" s="127">
        <v>250945</v>
      </c>
      <c r="P24" s="126">
        <v>449754</v>
      </c>
      <c r="Q24" s="126">
        <v>51370</v>
      </c>
    </row>
    <row r="25" spans="1:17" s="125" customFormat="1" x14ac:dyDescent="0.2">
      <c r="A25" s="136" t="s">
        <v>30</v>
      </c>
      <c r="B25" s="136" t="s">
        <v>88</v>
      </c>
      <c r="C25" s="138" t="s">
        <v>32</v>
      </c>
      <c r="D25" s="138" t="s">
        <v>89</v>
      </c>
      <c r="E25" s="138" t="s">
        <v>26</v>
      </c>
      <c r="F25" s="138" t="s">
        <v>27</v>
      </c>
      <c r="G25" s="132" t="s">
        <v>89</v>
      </c>
      <c r="H25" s="136" t="s">
        <v>90</v>
      </c>
      <c r="I25" s="137" t="s">
        <v>768</v>
      </c>
      <c r="J25" s="137" t="s">
        <v>768</v>
      </c>
      <c r="K25" s="128">
        <v>2078323</v>
      </c>
      <c r="L25" s="127">
        <v>516110</v>
      </c>
      <c r="M25" s="127">
        <v>1559852</v>
      </c>
      <c r="N25" s="127">
        <v>0</v>
      </c>
      <c r="O25" s="127">
        <v>2361</v>
      </c>
      <c r="P25" s="126">
        <v>2078323</v>
      </c>
      <c r="Q25" s="126">
        <v>0</v>
      </c>
    </row>
    <row r="26" spans="1:17" s="125" customFormat="1" x14ac:dyDescent="0.2">
      <c r="A26" s="136" t="s">
        <v>30</v>
      </c>
      <c r="B26" s="136" t="s">
        <v>91</v>
      </c>
      <c r="C26" s="138" t="s">
        <v>32</v>
      </c>
      <c r="D26" s="138" t="s">
        <v>92</v>
      </c>
      <c r="E26" s="138" t="s">
        <v>26</v>
      </c>
      <c r="F26" s="138" t="s">
        <v>27</v>
      </c>
      <c r="G26" s="132" t="s">
        <v>92</v>
      </c>
      <c r="H26" s="136" t="s">
        <v>93</v>
      </c>
      <c r="I26" s="130" t="s">
        <v>768</v>
      </c>
      <c r="J26" s="130" t="s">
        <v>768</v>
      </c>
      <c r="K26" s="128">
        <v>690089</v>
      </c>
      <c r="L26" s="127">
        <v>171370</v>
      </c>
      <c r="M26" s="127">
        <v>957</v>
      </c>
      <c r="N26" s="127">
        <v>0</v>
      </c>
      <c r="O26" s="127">
        <v>1590</v>
      </c>
      <c r="P26" s="126">
        <v>173917</v>
      </c>
      <c r="Q26" s="126">
        <v>516172</v>
      </c>
    </row>
    <row r="27" spans="1:17" s="125" customFormat="1" x14ac:dyDescent="0.2">
      <c r="A27" s="136" t="s">
        <v>30</v>
      </c>
      <c r="B27" s="136" t="s">
        <v>94</v>
      </c>
      <c r="C27" s="138" t="s">
        <v>32</v>
      </c>
      <c r="D27" s="138" t="s">
        <v>95</v>
      </c>
      <c r="E27" s="138" t="s">
        <v>26</v>
      </c>
      <c r="F27" s="138" t="s">
        <v>27</v>
      </c>
      <c r="G27" s="132" t="s">
        <v>95</v>
      </c>
      <c r="H27" s="136" t="s">
        <v>96</v>
      </c>
      <c r="I27" s="130" t="s">
        <v>768</v>
      </c>
      <c r="J27" s="130" t="s">
        <v>768</v>
      </c>
      <c r="K27" s="128">
        <v>332121</v>
      </c>
      <c r="L27" s="127">
        <v>82476</v>
      </c>
      <c r="M27" s="127">
        <v>249268</v>
      </c>
      <c r="N27" s="127">
        <v>0</v>
      </c>
      <c r="O27" s="127">
        <v>377</v>
      </c>
      <c r="P27" s="126">
        <v>332121</v>
      </c>
      <c r="Q27" s="126">
        <v>0</v>
      </c>
    </row>
    <row r="28" spans="1:17" s="125" customFormat="1" x14ac:dyDescent="0.2">
      <c r="A28" s="136" t="s">
        <v>30</v>
      </c>
      <c r="B28" s="136" t="s">
        <v>97</v>
      </c>
      <c r="C28" s="138" t="s">
        <v>32</v>
      </c>
      <c r="D28" s="138" t="s">
        <v>98</v>
      </c>
      <c r="E28" s="138" t="s">
        <v>26</v>
      </c>
      <c r="F28" s="138" t="s">
        <v>27</v>
      </c>
      <c r="G28" s="132" t="s">
        <v>98</v>
      </c>
      <c r="H28" s="136" t="s">
        <v>99</v>
      </c>
      <c r="I28" s="130" t="s">
        <v>768</v>
      </c>
      <c r="J28" s="130" t="s">
        <v>768</v>
      </c>
      <c r="K28" s="128">
        <v>1291186</v>
      </c>
      <c r="L28" s="127">
        <v>320640</v>
      </c>
      <c r="M28" s="127">
        <v>1790</v>
      </c>
      <c r="N28" s="127">
        <v>0</v>
      </c>
      <c r="O28" s="127">
        <v>968756</v>
      </c>
      <c r="P28" s="126">
        <v>1291186</v>
      </c>
      <c r="Q28" s="126">
        <v>0</v>
      </c>
    </row>
    <row r="29" spans="1:17" s="125" customFormat="1" x14ac:dyDescent="0.2">
      <c r="A29" s="136" t="s">
        <v>30</v>
      </c>
      <c r="B29" s="136" t="s">
        <v>100</v>
      </c>
      <c r="C29" s="138" t="s">
        <v>32</v>
      </c>
      <c r="D29" s="138" t="s">
        <v>101</v>
      </c>
      <c r="E29" s="138" t="s">
        <v>26</v>
      </c>
      <c r="F29" s="138" t="s">
        <v>27</v>
      </c>
      <c r="G29" s="132" t="s">
        <v>101</v>
      </c>
      <c r="H29" s="136" t="s">
        <v>102</v>
      </c>
      <c r="I29" s="130" t="s">
        <v>768</v>
      </c>
      <c r="J29" s="130" t="s">
        <v>768</v>
      </c>
      <c r="K29" s="128">
        <v>1543259</v>
      </c>
      <c r="L29" s="127">
        <v>383238</v>
      </c>
      <c r="M29" s="127">
        <v>144156</v>
      </c>
      <c r="N29" s="127">
        <v>0</v>
      </c>
      <c r="O29" s="127">
        <v>43506</v>
      </c>
      <c r="P29" s="126">
        <v>570900</v>
      </c>
      <c r="Q29" s="126">
        <v>972359</v>
      </c>
    </row>
    <row r="30" spans="1:17" s="125" customFormat="1" x14ac:dyDescent="0.2">
      <c r="A30" s="136" t="s">
        <v>30</v>
      </c>
      <c r="B30" s="136" t="s">
        <v>103</v>
      </c>
      <c r="C30" s="138" t="s">
        <v>32</v>
      </c>
      <c r="D30" s="138" t="s">
        <v>104</v>
      </c>
      <c r="E30" s="138" t="s">
        <v>26</v>
      </c>
      <c r="F30" s="138" t="s">
        <v>27</v>
      </c>
      <c r="G30" s="132" t="s">
        <v>104</v>
      </c>
      <c r="H30" s="136" t="s">
        <v>105</v>
      </c>
      <c r="I30" s="130" t="s">
        <v>768</v>
      </c>
      <c r="J30" s="130" t="s">
        <v>768</v>
      </c>
      <c r="K30" s="128">
        <v>476179</v>
      </c>
      <c r="L30" s="127">
        <v>118250</v>
      </c>
      <c r="M30" s="127">
        <v>145562</v>
      </c>
      <c r="N30" s="127">
        <v>68154</v>
      </c>
      <c r="O30" s="127">
        <v>57796</v>
      </c>
      <c r="P30" s="126">
        <v>389762</v>
      </c>
      <c r="Q30" s="126">
        <v>86417</v>
      </c>
    </row>
    <row r="31" spans="1:17" s="125" customFormat="1" x14ac:dyDescent="0.2">
      <c r="A31" s="136" t="s">
        <v>30</v>
      </c>
      <c r="B31" s="136" t="s">
        <v>106</v>
      </c>
      <c r="C31" s="138" t="s">
        <v>32</v>
      </c>
      <c r="D31" s="138" t="s">
        <v>107</v>
      </c>
      <c r="E31" s="138" t="s">
        <v>26</v>
      </c>
      <c r="F31" s="138" t="s">
        <v>27</v>
      </c>
      <c r="G31" s="132" t="s">
        <v>107</v>
      </c>
      <c r="H31" s="136" t="s">
        <v>108</v>
      </c>
      <c r="I31" s="130" t="s">
        <v>769</v>
      </c>
      <c r="J31" s="130" t="s">
        <v>769</v>
      </c>
      <c r="K31" s="128">
        <v>0</v>
      </c>
      <c r="L31" s="127">
        <v>0</v>
      </c>
      <c r="M31" s="127">
        <v>0</v>
      </c>
      <c r="N31" s="127">
        <v>0</v>
      </c>
      <c r="O31" s="127">
        <v>0</v>
      </c>
      <c r="P31" s="126">
        <v>0</v>
      </c>
      <c r="Q31" s="126">
        <v>0</v>
      </c>
    </row>
    <row r="32" spans="1:17" s="125" customFormat="1" x14ac:dyDescent="0.2">
      <c r="A32" s="136" t="s">
        <v>30</v>
      </c>
      <c r="B32" s="136" t="s">
        <v>109</v>
      </c>
      <c r="C32" s="138" t="s">
        <v>32</v>
      </c>
      <c r="D32" s="138" t="s">
        <v>110</v>
      </c>
      <c r="E32" s="138" t="s">
        <v>26</v>
      </c>
      <c r="F32" s="138" t="s">
        <v>27</v>
      </c>
      <c r="G32" s="132" t="s">
        <v>110</v>
      </c>
      <c r="H32" s="136" t="s">
        <v>111</v>
      </c>
      <c r="I32" s="130" t="s">
        <v>768</v>
      </c>
      <c r="J32" s="130" t="s">
        <v>768</v>
      </c>
      <c r="K32" s="128">
        <v>30717981</v>
      </c>
      <c r="L32" s="127">
        <v>7628196</v>
      </c>
      <c r="M32" s="127">
        <v>546109</v>
      </c>
      <c r="N32" s="127">
        <v>1330208</v>
      </c>
      <c r="O32" s="127">
        <v>179505</v>
      </c>
      <c r="P32" s="126">
        <v>9684018</v>
      </c>
      <c r="Q32" s="126">
        <v>21033963</v>
      </c>
    </row>
    <row r="33" spans="1:17" s="125" customFormat="1" x14ac:dyDescent="0.2">
      <c r="A33" s="136" t="s">
        <v>30</v>
      </c>
      <c r="B33" s="136" t="s">
        <v>112</v>
      </c>
      <c r="C33" s="138" t="s">
        <v>32</v>
      </c>
      <c r="D33" s="138" t="s">
        <v>113</v>
      </c>
      <c r="E33" s="138" t="s">
        <v>26</v>
      </c>
      <c r="F33" s="138" t="s">
        <v>27</v>
      </c>
      <c r="G33" s="132" t="s">
        <v>113</v>
      </c>
      <c r="H33" s="136" t="s">
        <v>114</v>
      </c>
      <c r="I33" s="130" t="s">
        <v>768</v>
      </c>
      <c r="J33" s="130" t="s">
        <v>768</v>
      </c>
      <c r="K33" s="128">
        <v>560470</v>
      </c>
      <c r="L33" s="127">
        <v>139182</v>
      </c>
      <c r="M33" s="127">
        <v>776</v>
      </c>
      <c r="N33" s="127">
        <v>0</v>
      </c>
      <c r="O33" s="127">
        <v>192089</v>
      </c>
      <c r="P33" s="126">
        <v>332047</v>
      </c>
      <c r="Q33" s="126">
        <v>228423</v>
      </c>
    </row>
    <row r="34" spans="1:17" s="125" customFormat="1" x14ac:dyDescent="0.2">
      <c r="A34" s="136" t="s">
        <v>30</v>
      </c>
      <c r="B34" s="136" t="s">
        <v>115</v>
      </c>
      <c r="C34" s="138" t="s">
        <v>32</v>
      </c>
      <c r="D34" s="138" t="s">
        <v>116</v>
      </c>
      <c r="E34" s="138" t="s">
        <v>26</v>
      </c>
      <c r="F34" s="138" t="s">
        <v>27</v>
      </c>
      <c r="G34" s="132" t="s">
        <v>116</v>
      </c>
      <c r="H34" s="136" t="s">
        <v>117</v>
      </c>
      <c r="I34" s="130" t="s">
        <v>768</v>
      </c>
      <c r="J34" s="130" t="s">
        <v>768</v>
      </c>
      <c r="K34" s="128">
        <v>67189</v>
      </c>
      <c r="L34" s="127">
        <v>16685</v>
      </c>
      <c r="M34" s="127">
        <v>93</v>
      </c>
      <c r="N34" s="127">
        <v>0</v>
      </c>
      <c r="O34" s="127">
        <v>6499</v>
      </c>
      <c r="P34" s="126">
        <v>23277</v>
      </c>
      <c r="Q34" s="126">
        <v>43912</v>
      </c>
    </row>
    <row r="35" spans="1:17" s="125" customFormat="1" x14ac:dyDescent="0.2">
      <c r="A35" s="136" t="s">
        <v>30</v>
      </c>
      <c r="B35" s="136" t="s">
        <v>118</v>
      </c>
      <c r="C35" s="138" t="s">
        <v>32</v>
      </c>
      <c r="D35" s="138" t="s">
        <v>119</v>
      </c>
      <c r="E35" s="138" t="s">
        <v>26</v>
      </c>
      <c r="F35" s="138" t="s">
        <v>27</v>
      </c>
      <c r="G35" s="132" t="s">
        <v>119</v>
      </c>
      <c r="H35" s="136" t="s">
        <v>120</v>
      </c>
      <c r="I35" s="130" t="s">
        <v>768</v>
      </c>
      <c r="J35" s="130" t="s">
        <v>768</v>
      </c>
      <c r="K35" s="128">
        <v>446244</v>
      </c>
      <c r="L35" s="127">
        <v>110816</v>
      </c>
      <c r="M35" s="127">
        <v>327783</v>
      </c>
      <c r="N35" s="127">
        <v>7139</v>
      </c>
      <c r="O35" s="127">
        <v>506</v>
      </c>
      <c r="P35" s="126">
        <v>446244</v>
      </c>
      <c r="Q35" s="126">
        <v>0</v>
      </c>
    </row>
    <row r="36" spans="1:17" s="125" customFormat="1" x14ac:dyDescent="0.2">
      <c r="A36" s="136" t="s">
        <v>30</v>
      </c>
      <c r="B36" s="136" t="s">
        <v>121</v>
      </c>
      <c r="C36" s="138" t="s">
        <v>32</v>
      </c>
      <c r="D36" s="138" t="s">
        <v>122</v>
      </c>
      <c r="E36" s="138" t="s">
        <v>26</v>
      </c>
      <c r="F36" s="138" t="s">
        <v>27</v>
      </c>
      <c r="G36" s="132" t="s">
        <v>122</v>
      </c>
      <c r="H36" s="136" t="s">
        <v>123</v>
      </c>
      <c r="I36" s="130" t="s">
        <v>768</v>
      </c>
      <c r="J36" s="130" t="s">
        <v>768</v>
      </c>
      <c r="K36" s="128">
        <v>1148009</v>
      </c>
      <c r="L36" s="127">
        <v>285085</v>
      </c>
      <c r="M36" s="127">
        <v>323601</v>
      </c>
      <c r="N36" s="127">
        <v>335733</v>
      </c>
      <c r="O36" s="127">
        <v>203590</v>
      </c>
      <c r="P36" s="126">
        <v>1148009</v>
      </c>
      <c r="Q36" s="126">
        <v>0</v>
      </c>
    </row>
    <row r="37" spans="1:17" s="125" customFormat="1" x14ac:dyDescent="0.2">
      <c r="A37" s="136" t="s">
        <v>30</v>
      </c>
      <c r="B37" s="136" t="s">
        <v>124</v>
      </c>
      <c r="C37" s="138" t="s">
        <v>32</v>
      </c>
      <c r="D37" s="138" t="s">
        <v>125</v>
      </c>
      <c r="E37" s="138" t="s">
        <v>26</v>
      </c>
      <c r="F37" s="138" t="s">
        <v>27</v>
      </c>
      <c r="G37" s="132" t="s">
        <v>125</v>
      </c>
      <c r="H37" s="136" t="s">
        <v>126</v>
      </c>
      <c r="I37" s="130" t="s">
        <v>768</v>
      </c>
      <c r="J37" s="130" t="s">
        <v>768</v>
      </c>
      <c r="K37" s="128">
        <v>139930</v>
      </c>
      <c r="L37" s="127">
        <v>34749</v>
      </c>
      <c r="M37" s="127">
        <v>35242</v>
      </c>
      <c r="N37" s="127">
        <v>56000</v>
      </c>
      <c r="O37" s="127">
        <v>13939</v>
      </c>
      <c r="P37" s="126">
        <v>139930</v>
      </c>
      <c r="Q37" s="126">
        <v>0</v>
      </c>
    </row>
    <row r="38" spans="1:17" s="125" customFormat="1" x14ac:dyDescent="0.2">
      <c r="A38" s="136" t="s">
        <v>30</v>
      </c>
      <c r="B38" s="136" t="s">
        <v>127</v>
      </c>
      <c r="C38" s="138" t="s">
        <v>32</v>
      </c>
      <c r="D38" s="138" t="s">
        <v>128</v>
      </c>
      <c r="E38" s="138" t="s">
        <v>26</v>
      </c>
      <c r="F38" s="138" t="s">
        <v>27</v>
      </c>
      <c r="G38" s="132" t="s">
        <v>128</v>
      </c>
      <c r="H38" s="136" t="s">
        <v>129</v>
      </c>
      <c r="I38" s="130" t="s">
        <v>768</v>
      </c>
      <c r="J38" s="130" t="s">
        <v>768</v>
      </c>
      <c r="K38" s="128">
        <v>1696355</v>
      </c>
      <c r="L38" s="127">
        <v>421256</v>
      </c>
      <c r="M38" s="127">
        <v>6304</v>
      </c>
      <c r="N38" s="127">
        <v>875691</v>
      </c>
      <c r="O38" s="127">
        <v>393104</v>
      </c>
      <c r="P38" s="126">
        <v>1696355</v>
      </c>
      <c r="Q38" s="126">
        <v>0</v>
      </c>
    </row>
    <row r="39" spans="1:17" s="125" customFormat="1" x14ac:dyDescent="0.2">
      <c r="A39" s="136" t="s">
        <v>30</v>
      </c>
      <c r="B39" s="136" t="s">
        <v>130</v>
      </c>
      <c r="C39" s="138" t="s">
        <v>32</v>
      </c>
      <c r="D39" s="138" t="s">
        <v>131</v>
      </c>
      <c r="E39" s="138" t="s">
        <v>26</v>
      </c>
      <c r="F39" s="138" t="s">
        <v>27</v>
      </c>
      <c r="G39" s="132" t="s">
        <v>131</v>
      </c>
      <c r="H39" s="136" t="s">
        <v>132</v>
      </c>
      <c r="I39" s="130" t="s">
        <v>769</v>
      </c>
      <c r="J39" s="130" t="s">
        <v>769</v>
      </c>
      <c r="K39" s="128">
        <v>0</v>
      </c>
      <c r="L39" s="127">
        <v>0</v>
      </c>
      <c r="M39" s="127">
        <v>0</v>
      </c>
      <c r="N39" s="127">
        <v>0</v>
      </c>
      <c r="O39" s="127">
        <v>0</v>
      </c>
      <c r="P39" s="126">
        <v>0</v>
      </c>
      <c r="Q39" s="126">
        <v>0</v>
      </c>
    </row>
    <row r="40" spans="1:17" s="125" customFormat="1" x14ac:dyDescent="0.2">
      <c r="A40" s="136" t="s">
        <v>30</v>
      </c>
      <c r="B40" s="136" t="s">
        <v>133</v>
      </c>
      <c r="C40" s="138" t="s">
        <v>32</v>
      </c>
      <c r="D40" s="138" t="s">
        <v>134</v>
      </c>
      <c r="E40" s="138" t="s">
        <v>26</v>
      </c>
      <c r="F40" s="138" t="s">
        <v>27</v>
      </c>
      <c r="G40" s="132" t="s">
        <v>134</v>
      </c>
      <c r="H40" s="136" t="s">
        <v>135</v>
      </c>
      <c r="I40" s="130" t="s">
        <v>768</v>
      </c>
      <c r="J40" s="130" t="s">
        <v>768</v>
      </c>
      <c r="K40" s="128">
        <v>8316940</v>
      </c>
      <c r="L40" s="127">
        <v>2065346</v>
      </c>
      <c r="M40" s="127">
        <v>1265189</v>
      </c>
      <c r="N40" s="127">
        <v>568969</v>
      </c>
      <c r="O40" s="127">
        <v>884721</v>
      </c>
      <c r="P40" s="126">
        <v>4784225</v>
      </c>
      <c r="Q40" s="126">
        <v>3532715</v>
      </c>
    </row>
    <row r="41" spans="1:17" s="125" customFormat="1" x14ac:dyDescent="0.2">
      <c r="A41" s="136" t="s">
        <v>30</v>
      </c>
      <c r="B41" s="136" t="s">
        <v>136</v>
      </c>
      <c r="C41" s="138" t="s">
        <v>32</v>
      </c>
      <c r="D41" s="138" t="s">
        <v>137</v>
      </c>
      <c r="E41" s="138" t="s">
        <v>26</v>
      </c>
      <c r="F41" s="138" t="s">
        <v>27</v>
      </c>
      <c r="G41" s="132" t="s">
        <v>137</v>
      </c>
      <c r="H41" s="136" t="s">
        <v>138</v>
      </c>
      <c r="I41" s="130" t="s">
        <v>768</v>
      </c>
      <c r="J41" s="130" t="s">
        <v>768</v>
      </c>
      <c r="K41" s="128">
        <v>45003</v>
      </c>
      <c r="L41" s="127">
        <v>11176</v>
      </c>
      <c r="M41" s="127">
        <v>62</v>
      </c>
      <c r="N41" s="127">
        <v>135</v>
      </c>
      <c r="O41" s="127">
        <v>13</v>
      </c>
      <c r="P41" s="126">
        <v>11386</v>
      </c>
      <c r="Q41" s="126">
        <v>33617</v>
      </c>
    </row>
    <row r="42" spans="1:17" s="125" customFormat="1" x14ac:dyDescent="0.2">
      <c r="A42" s="136" t="s">
        <v>30</v>
      </c>
      <c r="B42" s="136" t="s">
        <v>139</v>
      </c>
      <c r="C42" s="138" t="s">
        <v>32</v>
      </c>
      <c r="D42" s="138" t="s">
        <v>140</v>
      </c>
      <c r="E42" s="138" t="s">
        <v>26</v>
      </c>
      <c r="F42" s="138" t="s">
        <v>27</v>
      </c>
      <c r="G42" s="132" t="s">
        <v>140</v>
      </c>
      <c r="H42" s="136" t="s">
        <v>141</v>
      </c>
      <c r="I42" s="130" t="s">
        <v>768</v>
      </c>
      <c r="J42" s="130" t="s">
        <v>768</v>
      </c>
      <c r="K42" s="128">
        <v>4076611</v>
      </c>
      <c r="L42" s="127">
        <v>1012345</v>
      </c>
      <c r="M42" s="127">
        <v>159665</v>
      </c>
      <c r="N42" s="127">
        <v>1244939</v>
      </c>
      <c r="O42" s="127">
        <v>1262105</v>
      </c>
      <c r="P42" s="126">
        <v>3679054</v>
      </c>
      <c r="Q42" s="126">
        <v>397557</v>
      </c>
    </row>
    <row r="43" spans="1:17" s="125" customFormat="1" x14ac:dyDescent="0.2">
      <c r="A43" s="136" t="s">
        <v>30</v>
      </c>
      <c r="B43" s="136" t="s">
        <v>142</v>
      </c>
      <c r="C43" s="138" t="s">
        <v>32</v>
      </c>
      <c r="D43" s="138" t="s">
        <v>143</v>
      </c>
      <c r="E43" s="138" t="s">
        <v>26</v>
      </c>
      <c r="F43" s="138" t="s">
        <v>27</v>
      </c>
      <c r="G43" s="132" t="s">
        <v>143</v>
      </c>
      <c r="H43" s="136" t="s">
        <v>144</v>
      </c>
      <c r="I43" s="130" t="s">
        <v>768</v>
      </c>
      <c r="J43" s="130" t="s">
        <v>768</v>
      </c>
      <c r="K43" s="128">
        <v>841472</v>
      </c>
      <c r="L43" s="127">
        <v>208963</v>
      </c>
      <c r="M43" s="127">
        <v>183102</v>
      </c>
      <c r="N43" s="127">
        <v>29413</v>
      </c>
      <c r="O43" s="127">
        <v>121232</v>
      </c>
      <c r="P43" s="126">
        <v>542710</v>
      </c>
      <c r="Q43" s="126">
        <v>298762</v>
      </c>
    </row>
    <row r="44" spans="1:17" s="125" customFormat="1" x14ac:dyDescent="0.2">
      <c r="A44" s="136" t="s">
        <v>30</v>
      </c>
      <c r="B44" s="136" t="s">
        <v>145</v>
      </c>
      <c r="C44" s="138" t="s">
        <v>32</v>
      </c>
      <c r="D44" s="138" t="s">
        <v>146</v>
      </c>
      <c r="E44" s="138" t="s">
        <v>26</v>
      </c>
      <c r="F44" s="138" t="s">
        <v>27</v>
      </c>
      <c r="G44" s="132" t="s">
        <v>146</v>
      </c>
      <c r="H44" s="136" t="s">
        <v>147</v>
      </c>
      <c r="I44" s="137" t="s">
        <v>768</v>
      </c>
      <c r="J44" s="137" t="s">
        <v>768</v>
      </c>
      <c r="K44" s="128">
        <v>3154843</v>
      </c>
      <c r="L44" s="127">
        <v>783442</v>
      </c>
      <c r="M44" s="127">
        <v>383994</v>
      </c>
      <c r="N44" s="127">
        <v>214064</v>
      </c>
      <c r="O44" s="127">
        <v>304699</v>
      </c>
      <c r="P44" s="126">
        <v>1686199</v>
      </c>
      <c r="Q44" s="126">
        <v>1468644</v>
      </c>
    </row>
    <row r="45" spans="1:17" s="125" customFormat="1" x14ac:dyDescent="0.2">
      <c r="A45" s="136" t="s">
        <v>30</v>
      </c>
      <c r="B45" s="136" t="s">
        <v>148</v>
      </c>
      <c r="C45" s="138" t="s">
        <v>32</v>
      </c>
      <c r="D45" s="138" t="s">
        <v>149</v>
      </c>
      <c r="E45" s="138" t="s">
        <v>26</v>
      </c>
      <c r="F45" s="138" t="s">
        <v>27</v>
      </c>
      <c r="G45" s="132" t="s">
        <v>149</v>
      </c>
      <c r="H45" s="136" t="s">
        <v>150</v>
      </c>
      <c r="I45" s="137" t="s">
        <v>768</v>
      </c>
      <c r="J45" s="137" t="s">
        <v>768</v>
      </c>
      <c r="K45" s="128">
        <v>2047100</v>
      </c>
      <c r="L45" s="127">
        <v>508356</v>
      </c>
      <c r="M45" s="127">
        <v>2839</v>
      </c>
      <c r="N45" s="127">
        <v>12570</v>
      </c>
      <c r="O45" s="127">
        <v>49929</v>
      </c>
      <c r="P45" s="126">
        <v>573694</v>
      </c>
      <c r="Q45" s="126">
        <v>1473406</v>
      </c>
    </row>
    <row r="46" spans="1:17" s="125" customFormat="1" x14ac:dyDescent="0.2">
      <c r="A46" s="136" t="s">
        <v>30</v>
      </c>
      <c r="B46" s="136" t="s">
        <v>151</v>
      </c>
      <c r="C46" s="138" t="s">
        <v>32</v>
      </c>
      <c r="D46" s="138" t="s">
        <v>152</v>
      </c>
      <c r="E46" s="138" t="s">
        <v>26</v>
      </c>
      <c r="F46" s="138" t="s">
        <v>27</v>
      </c>
      <c r="G46" s="132" t="s">
        <v>152</v>
      </c>
      <c r="H46" s="136" t="s">
        <v>153</v>
      </c>
      <c r="I46" s="130" t="s">
        <v>768</v>
      </c>
      <c r="J46" s="130" t="s">
        <v>768</v>
      </c>
      <c r="K46" s="128">
        <v>76415</v>
      </c>
      <c r="L46" s="127">
        <v>18976</v>
      </c>
      <c r="M46" s="127">
        <v>33607</v>
      </c>
      <c r="N46" s="127">
        <v>23753</v>
      </c>
      <c r="O46" s="127">
        <v>79</v>
      </c>
      <c r="P46" s="126">
        <v>76415</v>
      </c>
      <c r="Q46" s="126">
        <v>0</v>
      </c>
    </row>
    <row r="47" spans="1:17" s="125" customFormat="1" x14ac:dyDescent="0.2">
      <c r="A47" s="136" t="s">
        <v>30</v>
      </c>
      <c r="B47" s="136" t="s">
        <v>154</v>
      </c>
      <c r="C47" s="138" t="s">
        <v>32</v>
      </c>
      <c r="D47" s="138" t="s">
        <v>155</v>
      </c>
      <c r="E47" s="138" t="s">
        <v>26</v>
      </c>
      <c r="F47" s="138" t="s">
        <v>27</v>
      </c>
      <c r="G47" s="132" t="s">
        <v>155</v>
      </c>
      <c r="H47" s="136" t="s">
        <v>156</v>
      </c>
      <c r="I47" s="130" t="s">
        <v>768</v>
      </c>
      <c r="J47" s="130" t="s">
        <v>768</v>
      </c>
      <c r="K47" s="128">
        <v>585626</v>
      </c>
      <c r="L47" s="127">
        <v>145429</v>
      </c>
      <c r="M47" s="127">
        <v>59328</v>
      </c>
      <c r="N47" s="127">
        <v>10798</v>
      </c>
      <c r="O47" s="127">
        <v>370071</v>
      </c>
      <c r="P47" s="126">
        <v>585626</v>
      </c>
      <c r="Q47" s="126">
        <v>0</v>
      </c>
    </row>
    <row r="48" spans="1:17" s="125" customFormat="1" x14ac:dyDescent="0.2">
      <c r="A48" s="136" t="s">
        <v>30</v>
      </c>
      <c r="B48" s="136" t="s">
        <v>157</v>
      </c>
      <c r="C48" s="138" t="s">
        <v>32</v>
      </c>
      <c r="D48" s="138" t="s">
        <v>158</v>
      </c>
      <c r="E48" s="138" t="s">
        <v>26</v>
      </c>
      <c r="F48" s="138" t="s">
        <v>27</v>
      </c>
      <c r="G48" s="132" t="s">
        <v>158</v>
      </c>
      <c r="H48" s="136" t="s">
        <v>159</v>
      </c>
      <c r="I48" s="130" t="s">
        <v>768</v>
      </c>
      <c r="J48" s="130" t="s">
        <v>768</v>
      </c>
      <c r="K48" s="128">
        <v>327347</v>
      </c>
      <c r="L48" s="127">
        <v>81290</v>
      </c>
      <c r="M48" s="127">
        <v>134136</v>
      </c>
      <c r="N48" s="127">
        <v>0</v>
      </c>
      <c r="O48" s="127">
        <v>0</v>
      </c>
      <c r="P48" s="126">
        <v>215426</v>
      </c>
      <c r="Q48" s="126">
        <v>111921</v>
      </c>
    </row>
    <row r="49" spans="1:17" s="125" customFormat="1" x14ac:dyDescent="0.2">
      <c r="A49" s="136" t="s">
        <v>30</v>
      </c>
      <c r="B49" s="136" t="s">
        <v>160</v>
      </c>
      <c r="C49" s="138" t="s">
        <v>32</v>
      </c>
      <c r="D49" s="138" t="s">
        <v>110</v>
      </c>
      <c r="E49" s="138" t="s">
        <v>161</v>
      </c>
      <c r="F49" s="138" t="s">
        <v>162</v>
      </c>
      <c r="G49" s="132" t="s">
        <v>163</v>
      </c>
      <c r="H49" s="136" t="s">
        <v>164</v>
      </c>
      <c r="I49" s="130" t="s">
        <v>768</v>
      </c>
      <c r="J49" s="130" t="s">
        <v>768</v>
      </c>
      <c r="K49" s="128">
        <v>336114</v>
      </c>
      <c r="L49" s="127">
        <v>83467</v>
      </c>
      <c r="M49" s="127">
        <v>6370</v>
      </c>
      <c r="N49" s="127">
        <v>49840</v>
      </c>
      <c r="O49" s="127">
        <v>196437</v>
      </c>
      <c r="P49" s="126">
        <v>336114</v>
      </c>
      <c r="Q49" s="126">
        <v>0</v>
      </c>
    </row>
    <row r="50" spans="1:17" s="125" customFormat="1" x14ac:dyDescent="0.2">
      <c r="A50" s="136" t="s">
        <v>30</v>
      </c>
      <c r="B50" s="136" t="s">
        <v>165</v>
      </c>
      <c r="C50" s="138" t="s">
        <v>32</v>
      </c>
      <c r="D50" s="138" t="s">
        <v>110</v>
      </c>
      <c r="E50" s="138" t="s">
        <v>166</v>
      </c>
      <c r="F50" s="138" t="s">
        <v>167</v>
      </c>
      <c r="G50" s="132" t="s">
        <v>168</v>
      </c>
      <c r="H50" s="136" t="s">
        <v>169</v>
      </c>
      <c r="I50" s="137" t="s">
        <v>768</v>
      </c>
      <c r="J50" s="137" t="s">
        <v>768</v>
      </c>
      <c r="K50" s="128">
        <v>195055</v>
      </c>
      <c r="L50" s="127">
        <v>48438</v>
      </c>
      <c r="M50" s="127">
        <v>146395</v>
      </c>
      <c r="N50" s="127">
        <v>0</v>
      </c>
      <c r="O50" s="127">
        <v>222</v>
      </c>
      <c r="P50" s="126">
        <v>195055</v>
      </c>
      <c r="Q50" s="126">
        <v>0</v>
      </c>
    </row>
    <row r="51" spans="1:17" s="125" customFormat="1" x14ac:dyDescent="0.2">
      <c r="A51" s="136" t="s">
        <v>30</v>
      </c>
      <c r="B51" s="136" t="s">
        <v>170</v>
      </c>
      <c r="C51" s="138" t="s">
        <v>32</v>
      </c>
      <c r="D51" s="138" t="s">
        <v>110</v>
      </c>
      <c r="E51" s="138" t="s">
        <v>171</v>
      </c>
      <c r="F51" s="138" t="s">
        <v>172</v>
      </c>
      <c r="G51" s="132" t="s">
        <v>173</v>
      </c>
      <c r="H51" s="136" t="s">
        <v>174</v>
      </c>
      <c r="I51" s="137" t="s">
        <v>768</v>
      </c>
      <c r="J51" s="137" t="s">
        <v>768</v>
      </c>
      <c r="K51" s="128">
        <v>146956</v>
      </c>
      <c r="L51" s="127">
        <v>36494</v>
      </c>
      <c r="M51" s="127">
        <v>203</v>
      </c>
      <c r="N51" s="127">
        <v>110092</v>
      </c>
      <c r="O51" s="127">
        <v>167</v>
      </c>
      <c r="P51" s="126">
        <v>146956</v>
      </c>
      <c r="Q51" s="126">
        <v>0</v>
      </c>
    </row>
    <row r="52" spans="1:17" s="125" customFormat="1" x14ac:dyDescent="0.2">
      <c r="A52" s="136" t="s">
        <v>30</v>
      </c>
      <c r="B52" s="136" t="s">
        <v>175</v>
      </c>
      <c r="C52" s="138" t="s">
        <v>32</v>
      </c>
      <c r="D52" s="138" t="s">
        <v>110</v>
      </c>
      <c r="E52" s="138" t="s">
        <v>176</v>
      </c>
      <c r="F52" s="138" t="s">
        <v>177</v>
      </c>
      <c r="G52" s="132" t="s">
        <v>178</v>
      </c>
      <c r="H52" s="136" t="s">
        <v>179</v>
      </c>
      <c r="I52" s="137" t="s">
        <v>768</v>
      </c>
      <c r="J52" s="137" t="s">
        <v>768</v>
      </c>
      <c r="K52" s="128">
        <v>407130</v>
      </c>
      <c r="L52" s="127">
        <v>101103</v>
      </c>
      <c r="M52" s="127">
        <v>564</v>
      </c>
      <c r="N52" s="127">
        <v>305000</v>
      </c>
      <c r="O52" s="127">
        <v>463</v>
      </c>
      <c r="P52" s="126">
        <v>407130</v>
      </c>
      <c r="Q52" s="126">
        <v>0</v>
      </c>
    </row>
    <row r="53" spans="1:17" s="125" customFormat="1" x14ac:dyDescent="0.2">
      <c r="A53" s="136" t="s">
        <v>30</v>
      </c>
      <c r="B53" s="136" t="s">
        <v>180</v>
      </c>
      <c r="C53" s="138" t="s">
        <v>32</v>
      </c>
      <c r="D53" s="138" t="s">
        <v>140</v>
      </c>
      <c r="E53" s="138" t="s">
        <v>181</v>
      </c>
      <c r="F53" s="138" t="s">
        <v>182</v>
      </c>
      <c r="G53" s="132" t="s">
        <v>183</v>
      </c>
      <c r="H53" s="136" t="s">
        <v>184</v>
      </c>
      <c r="I53" s="130" t="s">
        <v>768</v>
      </c>
      <c r="J53" s="130" t="s">
        <v>768</v>
      </c>
      <c r="K53" s="128">
        <v>263580</v>
      </c>
      <c r="L53" s="127">
        <v>65455</v>
      </c>
      <c r="M53" s="127">
        <v>5155</v>
      </c>
      <c r="N53" s="127">
        <v>0</v>
      </c>
      <c r="O53" s="127">
        <v>75</v>
      </c>
      <c r="P53" s="126">
        <v>70685</v>
      </c>
      <c r="Q53" s="126">
        <v>192895</v>
      </c>
    </row>
    <row r="54" spans="1:17" s="125" customFormat="1" x14ac:dyDescent="0.2">
      <c r="A54" s="136" t="s">
        <v>30</v>
      </c>
      <c r="B54" s="136" t="s">
        <v>185</v>
      </c>
      <c r="C54" s="138" t="s">
        <v>32</v>
      </c>
      <c r="D54" s="138" t="s">
        <v>48</v>
      </c>
      <c r="E54" s="138" t="s">
        <v>186</v>
      </c>
      <c r="F54" s="138" t="s">
        <v>187</v>
      </c>
      <c r="G54" s="132" t="s">
        <v>188</v>
      </c>
      <c r="H54" s="136" t="s">
        <v>189</v>
      </c>
      <c r="I54" s="137" t="s">
        <v>768</v>
      </c>
      <c r="J54" s="137" t="s">
        <v>768</v>
      </c>
      <c r="K54" s="128">
        <v>83582</v>
      </c>
      <c r="L54" s="127">
        <v>20756</v>
      </c>
      <c r="M54" s="127">
        <v>1467</v>
      </c>
      <c r="N54" s="127">
        <v>0</v>
      </c>
      <c r="O54" s="127">
        <v>6159</v>
      </c>
      <c r="P54" s="126">
        <v>28382</v>
      </c>
      <c r="Q54" s="126">
        <v>55200</v>
      </c>
    </row>
    <row r="55" spans="1:17" s="125" customFormat="1" x14ac:dyDescent="0.2">
      <c r="A55" s="136" t="s">
        <v>30</v>
      </c>
      <c r="B55" s="136" t="s">
        <v>190</v>
      </c>
      <c r="C55" s="138" t="s">
        <v>32</v>
      </c>
      <c r="D55" s="138" t="s">
        <v>48</v>
      </c>
      <c r="E55" s="138" t="s">
        <v>191</v>
      </c>
      <c r="F55" s="138" t="s">
        <v>192</v>
      </c>
      <c r="G55" s="132" t="s">
        <v>193</v>
      </c>
      <c r="H55" s="136" t="s">
        <v>194</v>
      </c>
      <c r="I55" s="130" t="s">
        <v>768</v>
      </c>
      <c r="J55" s="130" t="s">
        <v>768</v>
      </c>
      <c r="K55" s="128">
        <v>409698</v>
      </c>
      <c r="L55" s="127">
        <v>101740</v>
      </c>
      <c r="M55" s="127">
        <v>568</v>
      </c>
      <c r="N55" s="127">
        <v>194304</v>
      </c>
      <c r="O55" s="127">
        <v>108630</v>
      </c>
      <c r="P55" s="126">
        <v>405242</v>
      </c>
      <c r="Q55" s="126">
        <v>4456</v>
      </c>
    </row>
    <row r="56" spans="1:17" s="125" customFormat="1" x14ac:dyDescent="0.2">
      <c r="A56" s="136" t="s">
        <v>30</v>
      </c>
      <c r="B56" s="136" t="s">
        <v>195</v>
      </c>
      <c r="C56" s="138" t="s">
        <v>32</v>
      </c>
      <c r="D56" s="138" t="s">
        <v>110</v>
      </c>
      <c r="E56" s="138" t="s">
        <v>196</v>
      </c>
      <c r="F56" s="138" t="s">
        <v>197</v>
      </c>
      <c r="G56" s="132" t="s">
        <v>198</v>
      </c>
      <c r="H56" s="136" t="s">
        <v>199</v>
      </c>
      <c r="I56" s="130" t="s">
        <v>768</v>
      </c>
      <c r="J56" s="130" t="s">
        <v>768</v>
      </c>
      <c r="K56" s="128">
        <v>10649</v>
      </c>
      <c r="L56" s="127">
        <v>2644</v>
      </c>
      <c r="M56" s="127">
        <v>7995</v>
      </c>
      <c r="N56" s="127">
        <v>0</v>
      </c>
      <c r="O56" s="127">
        <v>10</v>
      </c>
      <c r="P56" s="126">
        <v>10649</v>
      </c>
      <c r="Q56" s="126">
        <v>0</v>
      </c>
    </row>
    <row r="57" spans="1:17" s="125" customFormat="1" x14ac:dyDescent="0.2">
      <c r="A57" s="136" t="s">
        <v>30</v>
      </c>
      <c r="B57" s="136" t="s">
        <v>200</v>
      </c>
      <c r="C57" s="138" t="s">
        <v>32</v>
      </c>
      <c r="D57" s="138" t="s">
        <v>110</v>
      </c>
      <c r="E57" s="138" t="s">
        <v>201</v>
      </c>
      <c r="F57" s="138" t="s">
        <v>202</v>
      </c>
      <c r="G57" s="132" t="s">
        <v>203</v>
      </c>
      <c r="H57" s="136" t="s">
        <v>204</v>
      </c>
      <c r="I57" s="130" t="s">
        <v>768</v>
      </c>
      <c r="J57" s="130" t="s">
        <v>768</v>
      </c>
      <c r="K57" s="128">
        <v>54418</v>
      </c>
      <c r="L57" s="127">
        <v>13514</v>
      </c>
      <c r="M57" s="127">
        <v>76</v>
      </c>
      <c r="N57" s="127">
        <v>0</v>
      </c>
      <c r="O57" s="127">
        <v>40828</v>
      </c>
      <c r="P57" s="126">
        <v>54418</v>
      </c>
      <c r="Q57" s="126">
        <v>0</v>
      </c>
    </row>
    <row r="58" spans="1:17" s="125" customFormat="1" x14ac:dyDescent="0.2">
      <c r="A58" s="136" t="s">
        <v>30</v>
      </c>
      <c r="B58" s="136" t="s">
        <v>205</v>
      </c>
      <c r="C58" s="138" t="s">
        <v>32</v>
      </c>
      <c r="D58" s="138" t="s">
        <v>66</v>
      </c>
      <c r="E58" s="138" t="s">
        <v>206</v>
      </c>
      <c r="F58" s="138" t="s">
        <v>207</v>
      </c>
      <c r="G58" s="132" t="s">
        <v>208</v>
      </c>
      <c r="H58" s="136" t="s">
        <v>209</v>
      </c>
      <c r="I58" s="130" t="s">
        <v>769</v>
      </c>
      <c r="J58" s="130" t="s">
        <v>769</v>
      </c>
      <c r="K58" s="128">
        <v>0</v>
      </c>
      <c r="L58" s="127">
        <v>0</v>
      </c>
      <c r="M58" s="127">
        <v>0</v>
      </c>
      <c r="N58" s="127">
        <v>0</v>
      </c>
      <c r="O58" s="127">
        <v>0</v>
      </c>
      <c r="P58" s="126">
        <v>0</v>
      </c>
      <c r="Q58" s="126">
        <v>0</v>
      </c>
    </row>
    <row r="59" spans="1:17" s="125" customFormat="1" x14ac:dyDescent="0.2">
      <c r="A59" s="136" t="s">
        <v>30</v>
      </c>
      <c r="B59" s="136" t="s">
        <v>210</v>
      </c>
      <c r="C59" s="138" t="s">
        <v>32</v>
      </c>
      <c r="D59" s="138" t="s">
        <v>87</v>
      </c>
      <c r="E59" s="138" t="s">
        <v>211</v>
      </c>
      <c r="F59" s="138" t="s">
        <v>212</v>
      </c>
      <c r="G59" s="132" t="s">
        <v>213</v>
      </c>
      <c r="H59" s="136" t="s">
        <v>214</v>
      </c>
      <c r="I59" s="137" t="s">
        <v>769</v>
      </c>
      <c r="J59" s="137" t="s">
        <v>769</v>
      </c>
      <c r="K59" s="128">
        <v>0</v>
      </c>
      <c r="L59" s="127">
        <v>0</v>
      </c>
      <c r="M59" s="127">
        <v>0</v>
      </c>
      <c r="N59" s="127">
        <v>0</v>
      </c>
      <c r="O59" s="127">
        <v>0</v>
      </c>
      <c r="P59" s="126">
        <v>0</v>
      </c>
      <c r="Q59" s="126">
        <v>0</v>
      </c>
    </row>
    <row r="60" spans="1:17" s="125" customFormat="1" x14ac:dyDescent="0.2">
      <c r="A60" s="136" t="s">
        <v>30</v>
      </c>
      <c r="B60" s="136" t="s">
        <v>215</v>
      </c>
      <c r="C60" s="138" t="s">
        <v>32</v>
      </c>
      <c r="D60" s="138" t="s">
        <v>48</v>
      </c>
      <c r="E60" s="138" t="s">
        <v>216</v>
      </c>
      <c r="F60" s="138" t="s">
        <v>217</v>
      </c>
      <c r="G60" s="132" t="s">
        <v>218</v>
      </c>
      <c r="H60" s="136" t="s">
        <v>219</v>
      </c>
      <c r="I60" s="130" t="s">
        <v>768</v>
      </c>
      <c r="J60" s="130" t="s">
        <v>768</v>
      </c>
      <c r="K60" s="128">
        <v>379148</v>
      </c>
      <c r="L60" s="127">
        <v>94154</v>
      </c>
      <c r="M60" s="127">
        <v>525</v>
      </c>
      <c r="N60" s="127">
        <v>0</v>
      </c>
      <c r="O60" s="127">
        <v>108</v>
      </c>
      <c r="P60" s="126">
        <v>94787</v>
      </c>
      <c r="Q60" s="126">
        <v>284361</v>
      </c>
    </row>
    <row r="61" spans="1:17" s="125" customFormat="1" x14ac:dyDescent="0.2">
      <c r="A61" s="136" t="s">
        <v>30</v>
      </c>
      <c r="B61" s="136" t="s">
        <v>220</v>
      </c>
      <c r="C61" s="138" t="s">
        <v>32</v>
      </c>
      <c r="D61" s="138" t="s">
        <v>48</v>
      </c>
      <c r="E61" s="138" t="s">
        <v>221</v>
      </c>
      <c r="F61" s="138" t="s">
        <v>222</v>
      </c>
      <c r="G61" s="132" t="s">
        <v>223</v>
      </c>
      <c r="H61" s="136" t="s">
        <v>224</v>
      </c>
      <c r="I61" s="130" t="s">
        <v>768</v>
      </c>
      <c r="J61" s="130" t="s">
        <v>768</v>
      </c>
      <c r="K61" s="128">
        <v>316645</v>
      </c>
      <c r="L61" s="127">
        <v>78632</v>
      </c>
      <c r="M61" s="127">
        <v>13594</v>
      </c>
      <c r="N61" s="127">
        <v>106669</v>
      </c>
      <c r="O61" s="127">
        <v>74346</v>
      </c>
      <c r="P61" s="126">
        <v>273241</v>
      </c>
      <c r="Q61" s="126">
        <v>43404</v>
      </c>
    </row>
    <row r="62" spans="1:17" s="125" customFormat="1" x14ac:dyDescent="0.2">
      <c r="A62" s="136" t="s">
        <v>30</v>
      </c>
      <c r="B62" s="136" t="s">
        <v>225</v>
      </c>
      <c r="C62" s="138" t="s">
        <v>32</v>
      </c>
      <c r="D62" s="138" t="s">
        <v>75</v>
      </c>
      <c r="E62" s="138" t="s">
        <v>226</v>
      </c>
      <c r="F62" s="138" t="s">
        <v>227</v>
      </c>
      <c r="G62" s="132" t="s">
        <v>228</v>
      </c>
      <c r="H62" s="136" t="s">
        <v>229</v>
      </c>
      <c r="I62" s="137" t="s">
        <v>768</v>
      </c>
      <c r="J62" s="137" t="s">
        <v>768</v>
      </c>
      <c r="K62" s="128">
        <v>455450</v>
      </c>
      <c r="L62" s="127">
        <v>113102</v>
      </c>
      <c r="M62" s="127">
        <v>57133</v>
      </c>
      <c r="N62" s="127">
        <v>34557</v>
      </c>
      <c r="O62" s="127">
        <v>250658</v>
      </c>
      <c r="P62" s="126">
        <v>455450</v>
      </c>
      <c r="Q62" s="126">
        <v>0</v>
      </c>
    </row>
    <row r="63" spans="1:17" s="125" customFormat="1" x14ac:dyDescent="0.2">
      <c r="A63" s="136" t="s">
        <v>30</v>
      </c>
      <c r="B63" s="136" t="s">
        <v>230</v>
      </c>
      <c r="C63" s="138" t="s">
        <v>32</v>
      </c>
      <c r="D63" s="138" t="s">
        <v>110</v>
      </c>
      <c r="E63" s="138" t="s">
        <v>231</v>
      </c>
      <c r="F63" s="138" t="s">
        <v>232</v>
      </c>
      <c r="G63" s="132" t="s">
        <v>233</v>
      </c>
      <c r="H63" s="136" t="s">
        <v>234</v>
      </c>
      <c r="I63" s="130" t="s">
        <v>768</v>
      </c>
      <c r="J63" s="130" t="s">
        <v>768</v>
      </c>
      <c r="K63" s="128">
        <v>299790</v>
      </c>
      <c r="L63" s="127">
        <v>74447</v>
      </c>
      <c r="M63" s="127">
        <v>415</v>
      </c>
      <c r="N63" s="127">
        <v>0</v>
      </c>
      <c r="O63" s="127">
        <v>224928</v>
      </c>
      <c r="P63" s="126">
        <v>299790</v>
      </c>
      <c r="Q63" s="126">
        <v>0</v>
      </c>
    </row>
    <row r="64" spans="1:17" s="125" customFormat="1" x14ac:dyDescent="0.2">
      <c r="A64" s="136" t="s">
        <v>30</v>
      </c>
      <c r="B64" s="136" t="s">
        <v>235</v>
      </c>
      <c r="C64" s="138" t="s">
        <v>32</v>
      </c>
      <c r="D64" s="138" t="s">
        <v>63</v>
      </c>
      <c r="E64" s="138" t="s">
        <v>236</v>
      </c>
      <c r="F64" s="138" t="s">
        <v>237</v>
      </c>
      <c r="G64" s="132" t="s">
        <v>238</v>
      </c>
      <c r="H64" s="136" t="s">
        <v>239</v>
      </c>
      <c r="I64" s="130" t="s">
        <v>769</v>
      </c>
      <c r="J64" s="130" t="s">
        <v>769</v>
      </c>
      <c r="K64" s="128">
        <v>0</v>
      </c>
      <c r="L64" s="127">
        <v>0</v>
      </c>
      <c r="M64" s="127">
        <v>0</v>
      </c>
      <c r="N64" s="127">
        <v>0</v>
      </c>
      <c r="O64" s="127">
        <v>0</v>
      </c>
      <c r="P64" s="126">
        <v>0</v>
      </c>
      <c r="Q64" s="126">
        <v>0</v>
      </c>
    </row>
    <row r="65" spans="1:17" s="125" customFormat="1" x14ac:dyDescent="0.2">
      <c r="A65" s="136" t="s">
        <v>30</v>
      </c>
      <c r="B65" s="140" t="s">
        <v>240</v>
      </c>
      <c r="C65" s="138" t="s">
        <v>32</v>
      </c>
      <c r="D65" s="138" t="s">
        <v>146</v>
      </c>
      <c r="E65" s="138" t="s">
        <v>241</v>
      </c>
      <c r="F65" s="141" t="s">
        <v>242</v>
      </c>
      <c r="G65" s="132" t="s">
        <v>243</v>
      </c>
      <c r="H65" s="139" t="s">
        <v>244</v>
      </c>
      <c r="I65" s="130" t="s">
        <v>769</v>
      </c>
      <c r="J65" s="130" t="s">
        <v>769</v>
      </c>
      <c r="K65" s="128">
        <v>0</v>
      </c>
      <c r="L65" s="127">
        <v>0</v>
      </c>
      <c r="M65" s="127">
        <v>0</v>
      </c>
      <c r="N65" s="127">
        <v>0</v>
      </c>
      <c r="O65" s="127">
        <v>0</v>
      </c>
      <c r="P65" s="126">
        <v>0</v>
      </c>
      <c r="Q65" s="126">
        <v>0</v>
      </c>
    </row>
    <row r="66" spans="1:17" s="125" customFormat="1" x14ac:dyDescent="0.2">
      <c r="A66" s="136" t="s">
        <v>30</v>
      </c>
      <c r="B66" s="140" t="s">
        <v>245</v>
      </c>
      <c r="C66" s="138" t="s">
        <v>32</v>
      </c>
      <c r="D66" s="138" t="s">
        <v>78</v>
      </c>
      <c r="E66" s="138" t="s">
        <v>246</v>
      </c>
      <c r="F66" s="142" t="s">
        <v>247</v>
      </c>
      <c r="G66" s="132" t="s">
        <v>248</v>
      </c>
      <c r="H66" s="139" t="s">
        <v>249</v>
      </c>
      <c r="I66" s="137" t="s">
        <v>769</v>
      </c>
      <c r="J66" s="137" t="s">
        <v>769</v>
      </c>
      <c r="K66" s="128">
        <v>0</v>
      </c>
      <c r="L66" s="127">
        <v>0</v>
      </c>
      <c r="M66" s="127">
        <v>0</v>
      </c>
      <c r="N66" s="127">
        <v>0</v>
      </c>
      <c r="O66" s="127">
        <v>0</v>
      </c>
      <c r="P66" s="126">
        <v>0</v>
      </c>
      <c r="Q66" s="126">
        <v>0</v>
      </c>
    </row>
    <row r="67" spans="1:17" s="125" customFormat="1" x14ac:dyDescent="0.2">
      <c r="A67" s="136" t="s">
        <v>30</v>
      </c>
      <c r="B67" s="140" t="s">
        <v>250</v>
      </c>
      <c r="C67" s="138" t="s">
        <v>32</v>
      </c>
      <c r="D67" s="138" t="s">
        <v>110</v>
      </c>
      <c r="E67" s="138" t="s">
        <v>251</v>
      </c>
      <c r="F67" s="142" t="s">
        <v>252</v>
      </c>
      <c r="G67" s="132" t="s">
        <v>253</v>
      </c>
      <c r="H67" s="139" t="s">
        <v>254</v>
      </c>
      <c r="I67" s="130" t="s">
        <v>768</v>
      </c>
      <c r="J67" s="130" t="s">
        <v>768</v>
      </c>
      <c r="K67" s="128">
        <v>48585</v>
      </c>
      <c r="L67" s="127">
        <v>12065</v>
      </c>
      <c r="M67" s="127">
        <v>68</v>
      </c>
      <c r="N67" s="127">
        <v>0</v>
      </c>
      <c r="O67" s="127">
        <v>20782</v>
      </c>
      <c r="P67" s="126">
        <v>32915</v>
      </c>
      <c r="Q67" s="126">
        <v>15670</v>
      </c>
    </row>
    <row r="68" spans="1:17" s="125" customFormat="1" x14ac:dyDescent="0.2">
      <c r="A68" s="136" t="s">
        <v>30</v>
      </c>
      <c r="B68" s="136" t="s">
        <v>255</v>
      </c>
      <c r="C68" s="138" t="s">
        <v>32</v>
      </c>
      <c r="D68" s="138" t="s">
        <v>81</v>
      </c>
      <c r="E68" s="138" t="s">
        <v>256</v>
      </c>
      <c r="F68" s="138" t="s">
        <v>257</v>
      </c>
      <c r="G68" s="132" t="s">
        <v>258</v>
      </c>
      <c r="H68" s="136" t="s">
        <v>259</v>
      </c>
      <c r="I68" s="130" t="s">
        <v>769</v>
      </c>
      <c r="J68" s="130" t="s">
        <v>769</v>
      </c>
      <c r="K68" s="128">
        <v>0</v>
      </c>
      <c r="L68" s="127">
        <v>0</v>
      </c>
      <c r="M68" s="127">
        <v>0</v>
      </c>
      <c r="N68" s="127">
        <v>0</v>
      </c>
      <c r="O68" s="127">
        <v>0</v>
      </c>
      <c r="P68" s="126">
        <v>0</v>
      </c>
      <c r="Q68" s="126">
        <v>0</v>
      </c>
    </row>
    <row r="69" spans="1:17" s="125" customFormat="1" x14ac:dyDescent="0.2">
      <c r="A69" s="136" t="s">
        <v>30</v>
      </c>
      <c r="B69" s="136" t="s">
        <v>260</v>
      </c>
      <c r="C69" s="138" t="s">
        <v>32</v>
      </c>
      <c r="D69" s="138" t="s">
        <v>110</v>
      </c>
      <c r="E69" s="138" t="s">
        <v>261</v>
      </c>
      <c r="F69" s="138" t="s">
        <v>262</v>
      </c>
      <c r="G69" s="132" t="s">
        <v>263</v>
      </c>
      <c r="H69" s="136" t="s">
        <v>264</v>
      </c>
      <c r="I69" s="130" t="s">
        <v>768</v>
      </c>
      <c r="J69" s="130" t="s">
        <v>768</v>
      </c>
      <c r="K69" s="128">
        <v>62064</v>
      </c>
      <c r="L69" s="127">
        <v>15412</v>
      </c>
      <c r="M69" s="127">
        <v>86</v>
      </c>
      <c r="N69" s="127">
        <v>0</v>
      </c>
      <c r="O69" s="127">
        <v>3042</v>
      </c>
      <c r="P69" s="126">
        <v>18540</v>
      </c>
      <c r="Q69" s="126">
        <v>43524</v>
      </c>
    </row>
    <row r="70" spans="1:17" s="125" customFormat="1" x14ac:dyDescent="0.2">
      <c r="A70" s="136" t="s">
        <v>30</v>
      </c>
      <c r="B70" s="136" t="s">
        <v>265</v>
      </c>
      <c r="C70" s="138" t="s">
        <v>32</v>
      </c>
      <c r="D70" s="138" t="s">
        <v>110</v>
      </c>
      <c r="E70" s="138" t="s">
        <v>266</v>
      </c>
      <c r="F70" s="138" t="s">
        <v>267</v>
      </c>
      <c r="G70" s="132" t="s">
        <v>268</v>
      </c>
      <c r="H70" s="136" t="s">
        <v>269</v>
      </c>
      <c r="I70" s="137" t="s">
        <v>768</v>
      </c>
      <c r="J70" s="137" t="s">
        <v>768</v>
      </c>
      <c r="K70" s="128">
        <v>43478</v>
      </c>
      <c r="L70" s="127">
        <v>10797</v>
      </c>
      <c r="M70" s="127">
        <v>62</v>
      </c>
      <c r="N70" s="127">
        <v>0</v>
      </c>
      <c r="O70" s="127">
        <v>1220</v>
      </c>
      <c r="P70" s="126">
        <v>12079</v>
      </c>
      <c r="Q70" s="126">
        <v>31399</v>
      </c>
    </row>
    <row r="71" spans="1:17" s="125" customFormat="1" x14ac:dyDescent="0.2">
      <c r="A71" s="136" t="s">
        <v>30</v>
      </c>
      <c r="B71" s="136" t="s">
        <v>270</v>
      </c>
      <c r="C71" s="138" t="s">
        <v>32</v>
      </c>
      <c r="D71" s="138" t="s">
        <v>134</v>
      </c>
      <c r="E71" s="138" t="s">
        <v>271</v>
      </c>
      <c r="F71" s="138" t="s">
        <v>272</v>
      </c>
      <c r="G71" s="132" t="s">
        <v>273</v>
      </c>
      <c r="H71" s="136" t="s">
        <v>274</v>
      </c>
      <c r="I71" s="130" t="s">
        <v>768</v>
      </c>
      <c r="J71" s="130" t="s">
        <v>768</v>
      </c>
      <c r="K71" s="128">
        <v>45853</v>
      </c>
      <c r="L71" s="127">
        <v>11387</v>
      </c>
      <c r="M71" s="127">
        <v>63</v>
      </c>
      <c r="N71" s="127">
        <v>0</v>
      </c>
      <c r="O71" s="127">
        <v>34403</v>
      </c>
      <c r="P71" s="126">
        <v>45853</v>
      </c>
      <c r="Q71" s="126">
        <v>0</v>
      </c>
    </row>
    <row r="72" spans="1:17" s="125" customFormat="1" x14ac:dyDescent="0.2">
      <c r="A72" s="136" t="s">
        <v>30</v>
      </c>
      <c r="B72" s="136" t="s">
        <v>275</v>
      </c>
      <c r="C72" s="138" t="s">
        <v>32</v>
      </c>
      <c r="D72" s="138" t="s">
        <v>110</v>
      </c>
      <c r="E72" s="138" t="s">
        <v>276</v>
      </c>
      <c r="F72" s="138" t="s">
        <v>277</v>
      </c>
      <c r="G72" s="132" t="s">
        <v>278</v>
      </c>
      <c r="H72" s="136" t="s">
        <v>279</v>
      </c>
      <c r="I72" s="130" t="s">
        <v>768</v>
      </c>
      <c r="J72" s="130" t="s">
        <v>768</v>
      </c>
      <c r="K72" s="128">
        <v>66726</v>
      </c>
      <c r="L72" s="127">
        <v>16570</v>
      </c>
      <c r="M72" s="127">
        <v>12497</v>
      </c>
      <c r="N72" s="127">
        <v>19961</v>
      </c>
      <c r="O72" s="127">
        <v>16131</v>
      </c>
      <c r="P72" s="126">
        <v>65159</v>
      </c>
      <c r="Q72" s="126">
        <v>1567</v>
      </c>
    </row>
    <row r="73" spans="1:17" s="125" customFormat="1" x14ac:dyDescent="0.2">
      <c r="A73" s="136" t="s">
        <v>30</v>
      </c>
      <c r="B73" s="136" t="s">
        <v>280</v>
      </c>
      <c r="C73" s="138" t="s">
        <v>32</v>
      </c>
      <c r="D73" s="138" t="s">
        <v>33</v>
      </c>
      <c r="E73" s="138" t="s">
        <v>281</v>
      </c>
      <c r="F73" s="138" t="s">
        <v>282</v>
      </c>
      <c r="G73" s="132" t="s">
        <v>283</v>
      </c>
      <c r="H73" s="136" t="s">
        <v>284</v>
      </c>
      <c r="I73" s="129" t="s">
        <v>768</v>
      </c>
      <c r="J73" s="130" t="s">
        <v>769</v>
      </c>
      <c r="K73" s="128">
        <v>0</v>
      </c>
      <c r="L73" s="127">
        <v>0</v>
      </c>
      <c r="M73" s="127">
        <v>0</v>
      </c>
      <c r="N73" s="127">
        <v>0</v>
      </c>
      <c r="O73" s="127">
        <v>0</v>
      </c>
      <c r="P73" s="126">
        <v>0</v>
      </c>
      <c r="Q73" s="126">
        <v>0</v>
      </c>
    </row>
    <row r="74" spans="1:17" s="125" customFormat="1" x14ac:dyDescent="0.2">
      <c r="A74" s="136" t="s">
        <v>30</v>
      </c>
      <c r="B74" s="140" t="s">
        <v>285</v>
      </c>
      <c r="C74" s="138" t="s">
        <v>32</v>
      </c>
      <c r="D74" s="138" t="s">
        <v>110</v>
      </c>
      <c r="E74" s="138" t="s">
        <v>286</v>
      </c>
      <c r="F74" s="141" t="s">
        <v>287</v>
      </c>
      <c r="G74" s="132" t="s">
        <v>288</v>
      </c>
      <c r="H74" s="139" t="s">
        <v>289</v>
      </c>
      <c r="I74" s="130" t="s">
        <v>768</v>
      </c>
      <c r="J74" s="130" t="s">
        <v>768</v>
      </c>
      <c r="K74" s="128">
        <v>93699</v>
      </c>
      <c r="L74" s="127">
        <v>23269</v>
      </c>
      <c r="M74" s="127">
        <v>19549</v>
      </c>
      <c r="N74" s="127">
        <v>19052</v>
      </c>
      <c r="O74" s="127">
        <v>31829</v>
      </c>
      <c r="P74" s="126">
        <v>93699</v>
      </c>
      <c r="Q74" s="126">
        <v>0</v>
      </c>
    </row>
    <row r="75" spans="1:17" s="125" customFormat="1" x14ac:dyDescent="0.2">
      <c r="A75" s="136" t="s">
        <v>30</v>
      </c>
      <c r="B75" s="136" t="s">
        <v>290</v>
      </c>
      <c r="C75" s="138" t="s">
        <v>32</v>
      </c>
      <c r="D75" s="138" t="s">
        <v>110</v>
      </c>
      <c r="E75" s="138" t="s">
        <v>291</v>
      </c>
      <c r="F75" s="138" t="s">
        <v>292</v>
      </c>
      <c r="G75" s="132" t="s">
        <v>293</v>
      </c>
      <c r="H75" s="136" t="s">
        <v>294</v>
      </c>
      <c r="I75" s="130" t="s">
        <v>768</v>
      </c>
      <c r="J75" s="130" t="s">
        <v>768</v>
      </c>
      <c r="K75" s="128">
        <v>124954</v>
      </c>
      <c r="L75" s="127">
        <v>31030</v>
      </c>
      <c r="M75" s="127">
        <v>22442</v>
      </c>
      <c r="N75" s="127">
        <v>2519</v>
      </c>
      <c r="O75" s="127">
        <v>36</v>
      </c>
      <c r="P75" s="126">
        <v>56027</v>
      </c>
      <c r="Q75" s="126">
        <v>68927</v>
      </c>
    </row>
    <row r="76" spans="1:17" s="125" customFormat="1" x14ac:dyDescent="0.2">
      <c r="A76" s="136" t="s">
        <v>30</v>
      </c>
      <c r="B76" s="136" t="s">
        <v>295</v>
      </c>
      <c r="C76" s="138" t="s">
        <v>32</v>
      </c>
      <c r="D76" s="138" t="s">
        <v>87</v>
      </c>
      <c r="E76" s="138" t="s">
        <v>296</v>
      </c>
      <c r="F76" s="138" t="s">
        <v>297</v>
      </c>
      <c r="G76" s="132" t="s">
        <v>298</v>
      </c>
      <c r="H76" s="136" t="s">
        <v>299</v>
      </c>
      <c r="I76" s="129" t="s">
        <v>768</v>
      </c>
      <c r="J76" s="137" t="s">
        <v>769</v>
      </c>
      <c r="K76" s="128">
        <v>0</v>
      </c>
      <c r="L76" s="127">
        <v>0</v>
      </c>
      <c r="M76" s="127">
        <v>0</v>
      </c>
      <c r="N76" s="127">
        <v>0</v>
      </c>
      <c r="O76" s="127">
        <v>0</v>
      </c>
      <c r="P76" s="126">
        <v>0</v>
      </c>
      <c r="Q76" s="126">
        <v>0</v>
      </c>
    </row>
    <row r="77" spans="1:17" s="125" customFormat="1" x14ac:dyDescent="0.2">
      <c r="A77" s="136" t="s">
        <v>30</v>
      </c>
      <c r="B77" s="136" t="s">
        <v>300</v>
      </c>
      <c r="C77" s="138" t="s">
        <v>32</v>
      </c>
      <c r="D77" s="138" t="s">
        <v>48</v>
      </c>
      <c r="E77" s="138" t="s">
        <v>301</v>
      </c>
      <c r="F77" s="138" t="s">
        <v>302</v>
      </c>
      <c r="G77" s="132" t="s">
        <v>303</v>
      </c>
      <c r="H77" s="136" t="s">
        <v>304</v>
      </c>
      <c r="I77" s="130" t="s">
        <v>768</v>
      </c>
      <c r="J77" s="130" t="s">
        <v>768</v>
      </c>
      <c r="K77" s="128">
        <v>42845</v>
      </c>
      <c r="L77" s="127">
        <v>10640</v>
      </c>
      <c r="M77" s="127">
        <v>59</v>
      </c>
      <c r="N77" s="127">
        <v>0</v>
      </c>
      <c r="O77" s="127">
        <v>12</v>
      </c>
      <c r="P77" s="126">
        <v>10711</v>
      </c>
      <c r="Q77" s="126">
        <v>32134</v>
      </c>
    </row>
    <row r="78" spans="1:17" s="125" customFormat="1" x14ac:dyDescent="0.2">
      <c r="A78" s="136" t="s">
        <v>30</v>
      </c>
      <c r="B78" s="136" t="s">
        <v>305</v>
      </c>
      <c r="C78" s="138" t="s">
        <v>32</v>
      </c>
      <c r="D78" s="138" t="s">
        <v>110</v>
      </c>
      <c r="E78" s="138" t="s">
        <v>306</v>
      </c>
      <c r="F78" s="138" t="s">
        <v>307</v>
      </c>
      <c r="G78" s="132" t="s">
        <v>308</v>
      </c>
      <c r="H78" s="136" t="s">
        <v>309</v>
      </c>
      <c r="I78" s="130" t="s">
        <v>768</v>
      </c>
      <c r="J78" s="130" t="s">
        <v>768</v>
      </c>
      <c r="K78" s="128">
        <v>75856</v>
      </c>
      <c r="L78" s="127">
        <v>18838</v>
      </c>
      <c r="M78" s="127">
        <v>105</v>
      </c>
      <c r="N78" s="127">
        <v>0</v>
      </c>
      <c r="O78" s="127">
        <v>21</v>
      </c>
      <c r="P78" s="126">
        <v>18964</v>
      </c>
      <c r="Q78" s="126">
        <v>56892</v>
      </c>
    </row>
    <row r="79" spans="1:17" s="125" customFormat="1" x14ac:dyDescent="0.2">
      <c r="A79" s="136" t="s">
        <v>30</v>
      </c>
      <c r="B79" s="136" t="s">
        <v>310</v>
      </c>
      <c r="C79" s="138" t="s">
        <v>32</v>
      </c>
      <c r="D79" s="138" t="s">
        <v>131</v>
      </c>
      <c r="E79" s="138" t="s">
        <v>311</v>
      </c>
      <c r="F79" s="138" t="s">
        <v>312</v>
      </c>
      <c r="G79" s="132" t="s">
        <v>313</v>
      </c>
      <c r="H79" s="136" t="s">
        <v>314</v>
      </c>
      <c r="I79" s="130" t="s">
        <v>768</v>
      </c>
      <c r="J79" s="130" t="s">
        <v>768</v>
      </c>
      <c r="K79" s="128">
        <v>362043</v>
      </c>
      <c r="L79" s="127">
        <v>89906</v>
      </c>
      <c r="M79" s="127">
        <v>502</v>
      </c>
      <c r="N79" s="127">
        <v>0</v>
      </c>
      <c r="O79" s="127">
        <v>351</v>
      </c>
      <c r="P79" s="126">
        <v>90759</v>
      </c>
      <c r="Q79" s="126">
        <v>271284</v>
      </c>
    </row>
    <row r="80" spans="1:17" s="125" customFormat="1" x14ac:dyDescent="0.2">
      <c r="A80" s="136" t="s">
        <v>30</v>
      </c>
      <c r="B80" s="136" t="s">
        <v>315</v>
      </c>
      <c r="C80" s="138" t="s">
        <v>32</v>
      </c>
      <c r="D80" s="138" t="s">
        <v>146</v>
      </c>
      <c r="E80" s="138" t="s">
        <v>316</v>
      </c>
      <c r="F80" s="138" t="s">
        <v>317</v>
      </c>
      <c r="G80" s="132" t="s">
        <v>318</v>
      </c>
      <c r="H80" s="136" t="s">
        <v>319</v>
      </c>
      <c r="I80" s="130" t="s">
        <v>769</v>
      </c>
      <c r="J80" s="130" t="s">
        <v>769</v>
      </c>
      <c r="K80" s="128">
        <v>0</v>
      </c>
      <c r="L80" s="127">
        <v>0</v>
      </c>
      <c r="M80" s="127">
        <v>0</v>
      </c>
      <c r="N80" s="127">
        <v>0</v>
      </c>
      <c r="O80" s="127">
        <v>0</v>
      </c>
      <c r="P80" s="126">
        <v>0</v>
      </c>
      <c r="Q80" s="126">
        <v>0</v>
      </c>
    </row>
    <row r="81" spans="1:17" s="125" customFormat="1" x14ac:dyDescent="0.2">
      <c r="A81" s="136" t="s">
        <v>30</v>
      </c>
      <c r="B81" s="136" t="s">
        <v>320</v>
      </c>
      <c r="C81" s="138" t="s">
        <v>32</v>
      </c>
      <c r="D81" s="138" t="s">
        <v>110</v>
      </c>
      <c r="E81" s="138" t="s">
        <v>321</v>
      </c>
      <c r="F81" s="138" t="s">
        <v>322</v>
      </c>
      <c r="G81" s="132" t="s">
        <v>323</v>
      </c>
      <c r="H81" s="136" t="s">
        <v>324</v>
      </c>
      <c r="I81" s="130" t="s">
        <v>768</v>
      </c>
      <c r="J81" s="130" t="s">
        <v>768</v>
      </c>
      <c r="K81" s="128">
        <v>47105</v>
      </c>
      <c r="L81" s="127">
        <v>11698</v>
      </c>
      <c r="M81" s="127">
        <v>65</v>
      </c>
      <c r="N81" s="127">
        <v>0</v>
      </c>
      <c r="O81" s="127">
        <v>35342</v>
      </c>
      <c r="P81" s="126">
        <v>47105</v>
      </c>
      <c r="Q81" s="126">
        <v>0</v>
      </c>
    </row>
    <row r="82" spans="1:17" s="125" customFormat="1" x14ac:dyDescent="0.2">
      <c r="A82" s="136" t="s">
        <v>30</v>
      </c>
      <c r="B82" s="136" t="s">
        <v>325</v>
      </c>
      <c r="C82" s="138" t="s">
        <v>32</v>
      </c>
      <c r="D82" s="138" t="s">
        <v>110</v>
      </c>
      <c r="E82" s="138" t="s">
        <v>326</v>
      </c>
      <c r="F82" s="138" t="s">
        <v>327</v>
      </c>
      <c r="G82" s="132" t="s">
        <v>328</v>
      </c>
      <c r="H82" s="136" t="s">
        <v>329</v>
      </c>
      <c r="I82" s="137" t="s">
        <v>768</v>
      </c>
      <c r="J82" s="137" t="s">
        <v>768</v>
      </c>
      <c r="K82" s="128">
        <v>119954</v>
      </c>
      <c r="L82" s="127">
        <v>29788</v>
      </c>
      <c r="M82" s="127">
        <v>167</v>
      </c>
      <c r="N82" s="127">
        <v>0</v>
      </c>
      <c r="O82" s="127">
        <v>34</v>
      </c>
      <c r="P82" s="126">
        <v>29989</v>
      </c>
      <c r="Q82" s="126">
        <v>89965</v>
      </c>
    </row>
    <row r="83" spans="1:17" s="125" customFormat="1" x14ac:dyDescent="0.2">
      <c r="A83" s="136" t="s">
        <v>30</v>
      </c>
      <c r="B83" s="136" t="s">
        <v>330</v>
      </c>
      <c r="C83" s="138" t="s">
        <v>32</v>
      </c>
      <c r="D83" s="138" t="s">
        <v>98</v>
      </c>
      <c r="E83" s="138" t="s">
        <v>331</v>
      </c>
      <c r="F83" s="138" t="s">
        <v>332</v>
      </c>
      <c r="G83" s="132" t="s">
        <v>333</v>
      </c>
      <c r="H83" s="136" t="s">
        <v>334</v>
      </c>
      <c r="I83" s="130" t="s">
        <v>768</v>
      </c>
      <c r="J83" s="130" t="s">
        <v>768</v>
      </c>
      <c r="K83" s="128">
        <v>113488</v>
      </c>
      <c r="L83" s="127">
        <v>28183</v>
      </c>
      <c r="M83" s="127">
        <v>157</v>
      </c>
      <c r="N83" s="127">
        <v>0</v>
      </c>
      <c r="O83" s="127">
        <v>32</v>
      </c>
      <c r="P83" s="126">
        <v>28372</v>
      </c>
      <c r="Q83" s="126">
        <v>85116</v>
      </c>
    </row>
    <row r="84" spans="1:17" s="125" customFormat="1" x14ac:dyDescent="0.2">
      <c r="A84" s="136" t="s">
        <v>30</v>
      </c>
      <c r="B84" s="136" t="s">
        <v>335</v>
      </c>
      <c r="C84" s="138" t="s">
        <v>32</v>
      </c>
      <c r="D84" s="138" t="s">
        <v>63</v>
      </c>
      <c r="E84" s="138" t="s">
        <v>336</v>
      </c>
      <c r="F84" s="138" t="s">
        <v>337</v>
      </c>
      <c r="G84" s="132" t="s">
        <v>338</v>
      </c>
      <c r="H84" s="136" t="s">
        <v>339</v>
      </c>
      <c r="I84" s="137" t="s">
        <v>769</v>
      </c>
      <c r="J84" s="137" t="s">
        <v>769</v>
      </c>
      <c r="K84" s="128">
        <v>0</v>
      </c>
      <c r="L84" s="127">
        <v>0</v>
      </c>
      <c r="M84" s="127">
        <v>0</v>
      </c>
      <c r="N84" s="127">
        <v>0</v>
      </c>
      <c r="O84" s="127">
        <v>0</v>
      </c>
      <c r="P84" s="126">
        <v>0</v>
      </c>
      <c r="Q84" s="126">
        <v>0</v>
      </c>
    </row>
    <row r="85" spans="1:17" s="125" customFormat="1" x14ac:dyDescent="0.2">
      <c r="A85" s="136" t="s">
        <v>30</v>
      </c>
      <c r="B85" s="140" t="s">
        <v>340</v>
      </c>
      <c r="C85" s="138" t="s">
        <v>32</v>
      </c>
      <c r="D85" s="138" t="s">
        <v>110</v>
      </c>
      <c r="E85" s="138" t="s">
        <v>341</v>
      </c>
      <c r="F85" s="141" t="s">
        <v>342</v>
      </c>
      <c r="G85" s="132" t="s">
        <v>343</v>
      </c>
      <c r="H85" s="139" t="s">
        <v>344</v>
      </c>
      <c r="I85" s="130" t="s">
        <v>768</v>
      </c>
      <c r="J85" s="130" t="s">
        <v>768</v>
      </c>
      <c r="K85" s="128">
        <v>52162</v>
      </c>
      <c r="L85" s="127">
        <v>12954</v>
      </c>
      <c r="M85" s="127">
        <v>72</v>
      </c>
      <c r="N85" s="127">
        <v>0</v>
      </c>
      <c r="O85" s="127">
        <v>39136</v>
      </c>
      <c r="P85" s="126">
        <v>52162</v>
      </c>
      <c r="Q85" s="126">
        <v>0</v>
      </c>
    </row>
    <row r="86" spans="1:17" s="125" customFormat="1" x14ac:dyDescent="0.2">
      <c r="A86" s="136" t="s">
        <v>30</v>
      </c>
      <c r="B86" s="140" t="s">
        <v>345</v>
      </c>
      <c r="C86" s="138" t="s">
        <v>32</v>
      </c>
      <c r="D86" s="138" t="s">
        <v>110</v>
      </c>
      <c r="E86" s="138" t="s">
        <v>346</v>
      </c>
      <c r="F86" s="141" t="s">
        <v>347</v>
      </c>
      <c r="G86" s="132" t="s">
        <v>348</v>
      </c>
      <c r="H86" s="139" t="s">
        <v>349</v>
      </c>
      <c r="I86" s="130" t="s">
        <v>768</v>
      </c>
      <c r="J86" s="130" t="s">
        <v>768</v>
      </c>
      <c r="K86" s="128">
        <v>53059</v>
      </c>
      <c r="L86" s="127">
        <v>13176</v>
      </c>
      <c r="M86" s="127">
        <v>74</v>
      </c>
      <c r="N86" s="127">
        <v>39749</v>
      </c>
      <c r="O86" s="127">
        <v>0</v>
      </c>
      <c r="P86" s="126">
        <v>52999</v>
      </c>
      <c r="Q86" s="126">
        <v>60</v>
      </c>
    </row>
    <row r="87" spans="1:17" s="125" customFormat="1" x14ac:dyDescent="0.2">
      <c r="A87" s="136" t="s">
        <v>30</v>
      </c>
      <c r="B87" s="140" t="s">
        <v>350</v>
      </c>
      <c r="C87" s="138" t="s">
        <v>32</v>
      </c>
      <c r="D87" s="138" t="s">
        <v>140</v>
      </c>
      <c r="E87" s="138" t="s">
        <v>351</v>
      </c>
      <c r="F87" s="141" t="s">
        <v>352</v>
      </c>
      <c r="G87" s="132" t="s">
        <v>353</v>
      </c>
      <c r="H87" s="139" t="s">
        <v>354</v>
      </c>
      <c r="I87" s="130" t="s">
        <v>768</v>
      </c>
      <c r="J87" s="130" t="s">
        <v>768</v>
      </c>
      <c r="K87" s="128">
        <v>101486</v>
      </c>
      <c r="L87" s="127">
        <v>25202</v>
      </c>
      <c r="M87" s="127">
        <v>146</v>
      </c>
      <c r="N87" s="127">
        <v>0</v>
      </c>
      <c r="O87" s="127">
        <v>24</v>
      </c>
      <c r="P87" s="126">
        <v>25372</v>
      </c>
      <c r="Q87" s="126">
        <v>76114</v>
      </c>
    </row>
    <row r="88" spans="1:17" s="125" customFormat="1" x14ac:dyDescent="0.2">
      <c r="A88" s="136" t="s">
        <v>30</v>
      </c>
      <c r="B88" s="136" t="s">
        <v>355</v>
      </c>
      <c r="C88" s="138" t="s">
        <v>32</v>
      </c>
      <c r="D88" s="138" t="s">
        <v>110</v>
      </c>
      <c r="E88" s="138" t="s">
        <v>356</v>
      </c>
      <c r="F88" s="138" t="s">
        <v>357</v>
      </c>
      <c r="G88" s="132" t="s">
        <v>358</v>
      </c>
      <c r="H88" s="136" t="s">
        <v>359</v>
      </c>
      <c r="I88" s="130" t="s">
        <v>768</v>
      </c>
      <c r="J88" s="130" t="s">
        <v>768</v>
      </c>
      <c r="K88" s="128">
        <v>126478</v>
      </c>
      <c r="L88" s="127">
        <v>31408</v>
      </c>
      <c r="M88" s="127">
        <v>176</v>
      </c>
      <c r="N88" s="127">
        <v>94751</v>
      </c>
      <c r="O88" s="127">
        <v>143</v>
      </c>
      <c r="P88" s="126">
        <v>126478</v>
      </c>
      <c r="Q88" s="126">
        <v>0</v>
      </c>
    </row>
    <row r="89" spans="1:17" s="125" customFormat="1" x14ac:dyDescent="0.2">
      <c r="A89" s="136" t="s">
        <v>30</v>
      </c>
      <c r="B89" s="136" t="s">
        <v>360</v>
      </c>
      <c r="C89" s="138" t="s">
        <v>32</v>
      </c>
      <c r="D89" s="138" t="s">
        <v>110</v>
      </c>
      <c r="E89" s="138" t="s">
        <v>361</v>
      </c>
      <c r="F89" s="138" t="s">
        <v>362</v>
      </c>
      <c r="G89" s="132" t="s">
        <v>363</v>
      </c>
      <c r="H89" s="136" t="s">
        <v>364</v>
      </c>
      <c r="I89" s="130" t="s">
        <v>768</v>
      </c>
      <c r="J89" s="130" t="s">
        <v>768</v>
      </c>
      <c r="K89" s="128">
        <v>48951</v>
      </c>
      <c r="L89" s="127">
        <v>12156</v>
      </c>
      <c r="M89" s="127">
        <v>68</v>
      </c>
      <c r="N89" s="127">
        <v>0</v>
      </c>
      <c r="O89" s="127">
        <v>7448</v>
      </c>
      <c r="P89" s="126">
        <v>19672</v>
      </c>
      <c r="Q89" s="126">
        <v>29279</v>
      </c>
    </row>
    <row r="90" spans="1:17" s="125" customFormat="1" x14ac:dyDescent="0.2">
      <c r="A90" s="136" t="s">
        <v>30</v>
      </c>
      <c r="B90" s="136" t="s">
        <v>365</v>
      </c>
      <c r="C90" s="138" t="s">
        <v>32</v>
      </c>
      <c r="D90" s="138" t="s">
        <v>33</v>
      </c>
      <c r="E90" s="138" t="s">
        <v>366</v>
      </c>
      <c r="F90" s="138" t="s">
        <v>367</v>
      </c>
      <c r="G90" s="132" t="s">
        <v>368</v>
      </c>
      <c r="H90" s="136" t="s">
        <v>369</v>
      </c>
      <c r="I90" s="130" t="s">
        <v>768</v>
      </c>
      <c r="J90" s="130" t="s">
        <v>768</v>
      </c>
      <c r="K90" s="128">
        <v>130991</v>
      </c>
      <c r="L90" s="127">
        <v>0</v>
      </c>
      <c r="M90" s="127">
        <v>32711</v>
      </c>
      <c r="N90" s="127">
        <v>98131</v>
      </c>
      <c r="O90" s="127">
        <v>0</v>
      </c>
      <c r="P90" s="126">
        <v>130842</v>
      </c>
      <c r="Q90" s="126">
        <v>149</v>
      </c>
    </row>
    <row r="91" spans="1:17" s="125" customFormat="1" x14ac:dyDescent="0.2">
      <c r="A91" s="136" t="s">
        <v>30</v>
      </c>
      <c r="B91" s="136" t="s">
        <v>370</v>
      </c>
      <c r="C91" s="138" t="s">
        <v>32</v>
      </c>
      <c r="D91" s="138" t="s">
        <v>42</v>
      </c>
      <c r="E91" s="138" t="s">
        <v>371</v>
      </c>
      <c r="F91" s="138" t="s">
        <v>372</v>
      </c>
      <c r="G91" s="132" t="s">
        <v>373</v>
      </c>
      <c r="H91" s="136" t="s">
        <v>374</v>
      </c>
      <c r="I91" s="130" t="s">
        <v>768</v>
      </c>
      <c r="J91" s="130" t="s">
        <v>768</v>
      </c>
      <c r="K91" s="128">
        <v>141469</v>
      </c>
      <c r="L91" s="127">
        <v>35131</v>
      </c>
      <c r="M91" s="127">
        <v>106177</v>
      </c>
      <c r="N91" s="127">
        <v>0</v>
      </c>
      <c r="O91" s="127">
        <v>161</v>
      </c>
      <c r="P91" s="126">
        <v>141469</v>
      </c>
      <c r="Q91" s="126">
        <v>0</v>
      </c>
    </row>
    <row r="92" spans="1:17" s="125" customFormat="1" x14ac:dyDescent="0.2">
      <c r="A92" s="136" t="s">
        <v>30</v>
      </c>
      <c r="B92" s="136" t="s">
        <v>375</v>
      </c>
      <c r="C92" s="138" t="s">
        <v>32</v>
      </c>
      <c r="D92" s="138" t="s">
        <v>110</v>
      </c>
      <c r="E92" s="138" t="s">
        <v>376</v>
      </c>
      <c r="F92" s="138" t="s">
        <v>377</v>
      </c>
      <c r="G92" s="132" t="s">
        <v>378</v>
      </c>
      <c r="H92" s="136" t="s">
        <v>379</v>
      </c>
      <c r="I92" s="130" t="s">
        <v>768</v>
      </c>
      <c r="J92" s="130" t="s">
        <v>768</v>
      </c>
      <c r="K92" s="128">
        <v>188978</v>
      </c>
      <c r="L92" s="127">
        <v>46929</v>
      </c>
      <c r="M92" s="127">
        <v>262</v>
      </c>
      <c r="N92" s="127">
        <v>78601</v>
      </c>
      <c r="O92" s="127">
        <v>54</v>
      </c>
      <c r="P92" s="126">
        <v>125846</v>
      </c>
      <c r="Q92" s="126">
        <v>63132</v>
      </c>
    </row>
    <row r="93" spans="1:17" s="125" customFormat="1" x14ac:dyDescent="0.2">
      <c r="A93" s="136" t="s">
        <v>30</v>
      </c>
      <c r="B93" s="136" t="s">
        <v>380</v>
      </c>
      <c r="C93" s="138" t="s">
        <v>32</v>
      </c>
      <c r="D93" s="138" t="s">
        <v>110</v>
      </c>
      <c r="E93" s="138" t="s">
        <v>381</v>
      </c>
      <c r="F93" s="138" t="s">
        <v>382</v>
      </c>
      <c r="G93" s="132" t="s">
        <v>383</v>
      </c>
      <c r="H93" s="136" t="s">
        <v>384</v>
      </c>
      <c r="I93" s="137" t="s">
        <v>768</v>
      </c>
      <c r="J93" s="137" t="s">
        <v>768</v>
      </c>
      <c r="K93" s="128">
        <v>28902</v>
      </c>
      <c r="L93" s="127">
        <v>7177</v>
      </c>
      <c r="M93" s="127">
        <v>42</v>
      </c>
      <c r="N93" s="127">
        <v>7284</v>
      </c>
      <c r="O93" s="127">
        <v>14399</v>
      </c>
      <c r="P93" s="126">
        <v>28902</v>
      </c>
      <c r="Q93" s="126">
        <v>0</v>
      </c>
    </row>
    <row r="94" spans="1:17" s="125" customFormat="1" x14ac:dyDescent="0.2">
      <c r="A94" s="136" t="s">
        <v>30</v>
      </c>
      <c r="B94" s="136" t="s">
        <v>385</v>
      </c>
      <c r="C94" s="138" t="s">
        <v>32</v>
      </c>
      <c r="D94" s="138" t="s">
        <v>110</v>
      </c>
      <c r="E94" s="138" t="s">
        <v>386</v>
      </c>
      <c r="F94" s="138" t="s">
        <v>387</v>
      </c>
      <c r="G94" s="132" t="s">
        <v>388</v>
      </c>
      <c r="H94" s="136" t="s">
        <v>389</v>
      </c>
      <c r="I94" s="130" t="s">
        <v>768</v>
      </c>
      <c r="J94" s="130" t="s">
        <v>768</v>
      </c>
      <c r="K94" s="128">
        <v>108510</v>
      </c>
      <c r="L94" s="127">
        <v>18380</v>
      </c>
      <c r="M94" s="127">
        <v>27949</v>
      </c>
      <c r="N94" s="127">
        <v>12687</v>
      </c>
      <c r="O94" s="127">
        <v>0</v>
      </c>
      <c r="P94" s="126">
        <v>59016</v>
      </c>
      <c r="Q94" s="126">
        <v>49494</v>
      </c>
    </row>
    <row r="95" spans="1:17" s="125" customFormat="1" x14ac:dyDescent="0.2">
      <c r="A95" s="136" t="s">
        <v>30</v>
      </c>
      <c r="B95" s="136" t="s">
        <v>390</v>
      </c>
      <c r="C95" s="138" t="s">
        <v>32</v>
      </c>
      <c r="D95" s="138" t="s">
        <v>110</v>
      </c>
      <c r="E95" s="138" t="s">
        <v>391</v>
      </c>
      <c r="F95" s="138" t="s">
        <v>392</v>
      </c>
      <c r="G95" s="132" t="s">
        <v>393</v>
      </c>
      <c r="H95" s="136" t="s">
        <v>394</v>
      </c>
      <c r="I95" s="130" t="s">
        <v>768</v>
      </c>
      <c r="J95" s="130" t="s">
        <v>768</v>
      </c>
      <c r="K95" s="128">
        <v>142299</v>
      </c>
      <c r="L95" s="127">
        <v>35337</v>
      </c>
      <c r="M95" s="127">
        <v>18272</v>
      </c>
      <c r="N95" s="127">
        <v>2415</v>
      </c>
      <c r="O95" s="127">
        <v>40</v>
      </c>
      <c r="P95" s="126">
        <v>56064</v>
      </c>
      <c r="Q95" s="126">
        <v>86235</v>
      </c>
    </row>
    <row r="96" spans="1:17" s="125" customFormat="1" x14ac:dyDescent="0.2">
      <c r="A96" s="136" t="s">
        <v>30</v>
      </c>
      <c r="B96" s="136" t="s">
        <v>886</v>
      </c>
      <c r="C96" s="138" t="s">
        <v>32</v>
      </c>
      <c r="D96" s="138" t="s">
        <v>110</v>
      </c>
      <c r="E96" s="138" t="s">
        <v>885</v>
      </c>
      <c r="F96" s="138" t="s">
        <v>884</v>
      </c>
      <c r="G96" s="132" t="s">
        <v>883</v>
      </c>
      <c r="H96" s="136" t="s">
        <v>882</v>
      </c>
      <c r="I96" s="129" t="s">
        <v>768</v>
      </c>
      <c r="J96" s="130" t="s">
        <v>768</v>
      </c>
      <c r="K96" s="128">
        <v>57569</v>
      </c>
      <c r="L96" s="127">
        <v>0</v>
      </c>
      <c r="M96" s="127">
        <v>69053</v>
      </c>
      <c r="N96" s="127">
        <v>385</v>
      </c>
      <c r="O96" s="127">
        <v>0</v>
      </c>
      <c r="P96" s="126">
        <v>69438</v>
      </c>
      <c r="Q96" s="126">
        <v>-11869</v>
      </c>
    </row>
    <row r="97" spans="1:17" s="125" customFormat="1" x14ac:dyDescent="0.2">
      <c r="A97" s="136" t="s">
        <v>30</v>
      </c>
      <c r="B97" s="136" t="s">
        <v>395</v>
      </c>
      <c r="C97" s="138" t="s">
        <v>32</v>
      </c>
      <c r="D97" s="138" t="s">
        <v>396</v>
      </c>
      <c r="E97" s="138" t="s">
        <v>26</v>
      </c>
      <c r="F97" s="138" t="s">
        <v>397</v>
      </c>
      <c r="G97" s="132" t="s">
        <v>398</v>
      </c>
      <c r="H97" s="136" t="s">
        <v>399</v>
      </c>
      <c r="I97" s="130" t="s">
        <v>768</v>
      </c>
      <c r="J97" s="130" t="s">
        <v>768</v>
      </c>
      <c r="K97" s="128">
        <v>421590</v>
      </c>
      <c r="L97" s="127">
        <v>104694</v>
      </c>
      <c r="M97" s="127">
        <v>584</v>
      </c>
      <c r="N97" s="127">
        <v>4247</v>
      </c>
      <c r="O97" s="127">
        <v>48955</v>
      </c>
      <c r="P97" s="126">
        <v>158480</v>
      </c>
      <c r="Q97" s="126">
        <v>263110</v>
      </c>
    </row>
    <row r="98" spans="1:17" s="125" customFormat="1" x14ac:dyDescent="0.2">
      <c r="A98" s="136" t="s">
        <v>30</v>
      </c>
      <c r="B98" s="136" t="s">
        <v>400</v>
      </c>
      <c r="C98" s="138" t="s">
        <v>32</v>
      </c>
      <c r="D98" s="138" t="s">
        <v>66</v>
      </c>
      <c r="E98" s="138" t="s">
        <v>401</v>
      </c>
      <c r="F98" s="138" t="s">
        <v>402</v>
      </c>
      <c r="G98" s="132" t="s">
        <v>403</v>
      </c>
      <c r="H98" s="136" t="s">
        <v>404</v>
      </c>
      <c r="I98" s="130" t="s">
        <v>769</v>
      </c>
      <c r="J98" s="130" t="s">
        <v>769</v>
      </c>
      <c r="K98" s="128">
        <v>0</v>
      </c>
      <c r="L98" s="127">
        <v>0</v>
      </c>
      <c r="M98" s="127">
        <v>0</v>
      </c>
      <c r="N98" s="127">
        <v>0</v>
      </c>
      <c r="O98" s="127">
        <v>0</v>
      </c>
      <c r="P98" s="126">
        <v>0</v>
      </c>
      <c r="Q98" s="126">
        <v>0</v>
      </c>
    </row>
    <row r="99" spans="1:17" s="125" customFormat="1" x14ac:dyDescent="0.2">
      <c r="A99" s="136" t="s">
        <v>30</v>
      </c>
      <c r="B99" s="136" t="s">
        <v>405</v>
      </c>
      <c r="C99" s="138" t="s">
        <v>32</v>
      </c>
      <c r="D99" s="138" t="s">
        <v>110</v>
      </c>
      <c r="E99" s="138" t="s">
        <v>406</v>
      </c>
      <c r="F99" s="138" t="s">
        <v>407</v>
      </c>
      <c r="G99" s="132" t="s">
        <v>408</v>
      </c>
      <c r="H99" s="136" t="s">
        <v>409</v>
      </c>
      <c r="I99" s="137" t="s">
        <v>768</v>
      </c>
      <c r="J99" s="137" t="s">
        <v>768</v>
      </c>
      <c r="K99" s="128">
        <v>144108</v>
      </c>
      <c r="L99" s="127">
        <v>35787</v>
      </c>
      <c r="M99" s="127">
        <v>21597</v>
      </c>
      <c r="N99" s="127">
        <v>2390</v>
      </c>
      <c r="O99" s="127">
        <v>41</v>
      </c>
      <c r="P99" s="126">
        <v>59815</v>
      </c>
      <c r="Q99" s="126">
        <v>84293</v>
      </c>
    </row>
    <row r="100" spans="1:17" s="125" customFormat="1" x14ac:dyDescent="0.2">
      <c r="A100" s="136" t="s">
        <v>30</v>
      </c>
      <c r="B100" s="136" t="s">
        <v>410</v>
      </c>
      <c r="C100" s="138" t="s">
        <v>32</v>
      </c>
      <c r="D100" s="138" t="s">
        <v>110</v>
      </c>
      <c r="E100" s="138" t="s">
        <v>411</v>
      </c>
      <c r="F100" s="138" t="s">
        <v>412</v>
      </c>
      <c r="G100" s="132" t="s">
        <v>413</v>
      </c>
      <c r="H100" s="136" t="s">
        <v>414</v>
      </c>
      <c r="I100" s="137" t="s">
        <v>768</v>
      </c>
      <c r="J100" s="137" t="s">
        <v>768</v>
      </c>
      <c r="K100" s="128">
        <v>100282</v>
      </c>
      <c r="L100" s="127">
        <v>24903</v>
      </c>
      <c r="M100" s="127">
        <v>139</v>
      </c>
      <c r="N100" s="127">
        <v>0</v>
      </c>
      <c r="O100" s="127">
        <v>29</v>
      </c>
      <c r="P100" s="126">
        <v>25071</v>
      </c>
      <c r="Q100" s="126">
        <v>75211</v>
      </c>
    </row>
    <row r="101" spans="1:17" s="125" customFormat="1" x14ac:dyDescent="0.2">
      <c r="A101" s="136" t="s">
        <v>30</v>
      </c>
      <c r="B101" s="136" t="s">
        <v>415</v>
      </c>
      <c r="C101" s="138" t="s">
        <v>32</v>
      </c>
      <c r="D101" s="138" t="s">
        <v>110</v>
      </c>
      <c r="E101" s="138" t="s">
        <v>416</v>
      </c>
      <c r="F101" s="138" t="s">
        <v>417</v>
      </c>
      <c r="G101" s="132" t="s">
        <v>418</v>
      </c>
      <c r="H101" s="136" t="s">
        <v>419</v>
      </c>
      <c r="I101" s="137" t="s">
        <v>768</v>
      </c>
      <c r="J101" s="137" t="s">
        <v>768</v>
      </c>
      <c r="K101" s="128">
        <v>131122</v>
      </c>
      <c r="L101" s="127">
        <v>32562</v>
      </c>
      <c r="M101" s="127">
        <v>181</v>
      </c>
      <c r="N101" s="127">
        <v>60000</v>
      </c>
      <c r="O101" s="127">
        <v>38</v>
      </c>
      <c r="P101" s="126">
        <v>92781</v>
      </c>
      <c r="Q101" s="126">
        <v>38341</v>
      </c>
    </row>
    <row r="102" spans="1:17" s="125" customFormat="1" x14ac:dyDescent="0.2">
      <c r="A102" s="136" t="s">
        <v>30</v>
      </c>
      <c r="B102" s="136" t="s">
        <v>420</v>
      </c>
      <c r="C102" s="138" t="s">
        <v>32</v>
      </c>
      <c r="D102" s="138" t="s">
        <v>140</v>
      </c>
      <c r="E102" s="138" t="s">
        <v>421</v>
      </c>
      <c r="F102" s="138" t="s">
        <v>422</v>
      </c>
      <c r="G102" s="132" t="s">
        <v>423</v>
      </c>
      <c r="H102" s="136" t="s">
        <v>424</v>
      </c>
      <c r="I102" s="130" t="s">
        <v>768</v>
      </c>
      <c r="J102" s="130" t="s">
        <v>768</v>
      </c>
      <c r="K102" s="128">
        <v>23197</v>
      </c>
      <c r="L102" s="127">
        <v>5761</v>
      </c>
      <c r="M102" s="127">
        <v>32</v>
      </c>
      <c r="N102" s="127">
        <v>0</v>
      </c>
      <c r="O102" s="127">
        <v>7092</v>
      </c>
      <c r="P102" s="126">
        <v>12885</v>
      </c>
      <c r="Q102" s="126">
        <v>10312</v>
      </c>
    </row>
    <row r="103" spans="1:17" s="125" customFormat="1" x14ac:dyDescent="0.2">
      <c r="A103" s="136" t="s">
        <v>30</v>
      </c>
      <c r="B103" s="136" t="s">
        <v>425</v>
      </c>
      <c r="C103" s="138" t="s">
        <v>32</v>
      </c>
      <c r="D103" s="138" t="s">
        <v>75</v>
      </c>
      <c r="E103" s="138" t="s">
        <v>426</v>
      </c>
      <c r="F103" s="138" t="s">
        <v>427</v>
      </c>
      <c r="G103" s="132" t="s">
        <v>428</v>
      </c>
      <c r="H103" s="136" t="s">
        <v>429</v>
      </c>
      <c r="I103" s="130" t="s">
        <v>768</v>
      </c>
      <c r="J103" s="130" t="s">
        <v>768</v>
      </c>
      <c r="K103" s="128">
        <v>179105</v>
      </c>
      <c r="L103" s="127">
        <v>44477</v>
      </c>
      <c r="M103" s="127">
        <v>249</v>
      </c>
      <c r="N103" s="127">
        <v>0</v>
      </c>
      <c r="O103" s="127">
        <v>91615</v>
      </c>
      <c r="P103" s="126">
        <v>136341</v>
      </c>
      <c r="Q103" s="126">
        <v>42764</v>
      </c>
    </row>
    <row r="104" spans="1:17" s="125" customFormat="1" x14ac:dyDescent="0.2">
      <c r="A104" s="136" t="s">
        <v>30</v>
      </c>
      <c r="B104" s="136" t="s">
        <v>430</v>
      </c>
      <c r="C104" s="138" t="s">
        <v>32</v>
      </c>
      <c r="D104" s="138" t="s">
        <v>110</v>
      </c>
      <c r="E104" s="138" t="s">
        <v>431</v>
      </c>
      <c r="F104" s="138" t="s">
        <v>432</v>
      </c>
      <c r="G104" s="132" t="s">
        <v>433</v>
      </c>
      <c r="H104" s="136" t="s">
        <v>434</v>
      </c>
      <c r="I104" s="130" t="s">
        <v>768</v>
      </c>
      <c r="J104" s="130" t="s">
        <v>768</v>
      </c>
      <c r="K104" s="128">
        <v>49250</v>
      </c>
      <c r="L104" s="127">
        <v>12230</v>
      </c>
      <c r="M104" s="127">
        <v>71</v>
      </c>
      <c r="N104" s="127">
        <v>0</v>
      </c>
      <c r="O104" s="127">
        <v>36949</v>
      </c>
      <c r="P104" s="126">
        <v>49250</v>
      </c>
      <c r="Q104" s="126">
        <v>0</v>
      </c>
    </row>
    <row r="105" spans="1:17" s="125" customFormat="1" x14ac:dyDescent="0.2">
      <c r="A105" s="136" t="s">
        <v>30</v>
      </c>
      <c r="B105" s="136" t="s">
        <v>435</v>
      </c>
      <c r="C105" s="138" t="s">
        <v>32</v>
      </c>
      <c r="D105" s="138" t="s">
        <v>110</v>
      </c>
      <c r="E105" s="138" t="s">
        <v>436</v>
      </c>
      <c r="F105" s="138" t="s">
        <v>437</v>
      </c>
      <c r="G105" s="132" t="s">
        <v>438</v>
      </c>
      <c r="H105" s="136" t="s">
        <v>439</v>
      </c>
      <c r="I105" s="130" t="s">
        <v>768</v>
      </c>
      <c r="J105" s="130" t="s">
        <v>768</v>
      </c>
      <c r="K105" s="128">
        <v>190820</v>
      </c>
      <c r="L105" s="127">
        <v>47386</v>
      </c>
      <c r="M105" s="127">
        <v>19457</v>
      </c>
      <c r="N105" s="127">
        <v>3932</v>
      </c>
      <c r="O105" s="127">
        <v>54</v>
      </c>
      <c r="P105" s="126">
        <v>70829</v>
      </c>
      <c r="Q105" s="126">
        <v>119991</v>
      </c>
    </row>
    <row r="106" spans="1:17" s="125" customFormat="1" x14ac:dyDescent="0.2">
      <c r="A106" s="136" t="s">
        <v>30</v>
      </c>
      <c r="B106" s="136" t="s">
        <v>440</v>
      </c>
      <c r="C106" s="138" t="s">
        <v>32</v>
      </c>
      <c r="D106" s="138" t="s">
        <v>110</v>
      </c>
      <c r="E106" s="138" t="s">
        <v>441</v>
      </c>
      <c r="F106" s="138" t="s">
        <v>442</v>
      </c>
      <c r="G106" s="132" t="s">
        <v>443</v>
      </c>
      <c r="H106" s="136" t="s">
        <v>444</v>
      </c>
      <c r="I106" s="137" t="s">
        <v>768</v>
      </c>
      <c r="J106" s="137" t="s">
        <v>768</v>
      </c>
      <c r="K106" s="128">
        <v>25988</v>
      </c>
      <c r="L106" s="127">
        <v>6454</v>
      </c>
      <c r="M106" s="127">
        <v>36</v>
      </c>
      <c r="N106" s="127">
        <v>19468</v>
      </c>
      <c r="O106" s="127">
        <v>30</v>
      </c>
      <c r="P106" s="126">
        <v>25988</v>
      </c>
      <c r="Q106" s="126">
        <v>0</v>
      </c>
    </row>
    <row r="107" spans="1:17" s="125" customFormat="1" x14ac:dyDescent="0.2">
      <c r="A107" s="136" t="s">
        <v>30</v>
      </c>
      <c r="B107" s="136" t="s">
        <v>445</v>
      </c>
      <c r="C107" s="138" t="s">
        <v>32</v>
      </c>
      <c r="D107" s="138" t="s">
        <v>152</v>
      </c>
      <c r="E107" s="138" t="s">
        <v>446</v>
      </c>
      <c r="F107" s="138" t="s">
        <v>447</v>
      </c>
      <c r="G107" s="132" t="s">
        <v>448</v>
      </c>
      <c r="H107" s="136" t="s">
        <v>449</v>
      </c>
      <c r="I107" s="130" t="s">
        <v>769</v>
      </c>
      <c r="J107" s="130" t="s">
        <v>769</v>
      </c>
      <c r="K107" s="128">
        <v>0</v>
      </c>
      <c r="L107" s="127">
        <v>0</v>
      </c>
      <c r="M107" s="127">
        <v>0</v>
      </c>
      <c r="N107" s="127">
        <v>0</v>
      </c>
      <c r="O107" s="127">
        <v>0</v>
      </c>
      <c r="P107" s="126">
        <v>0</v>
      </c>
      <c r="Q107" s="126">
        <v>0</v>
      </c>
    </row>
    <row r="108" spans="1:17" s="125" customFormat="1" x14ac:dyDescent="0.2">
      <c r="A108" s="136" t="s">
        <v>30</v>
      </c>
      <c r="B108" s="136" t="s">
        <v>450</v>
      </c>
      <c r="C108" s="138" t="s">
        <v>32</v>
      </c>
      <c r="D108" s="138" t="s">
        <v>42</v>
      </c>
      <c r="E108" s="138" t="s">
        <v>451</v>
      </c>
      <c r="F108" s="138" t="s">
        <v>452</v>
      </c>
      <c r="G108" s="132" t="s">
        <v>453</v>
      </c>
      <c r="H108" s="136" t="s">
        <v>454</v>
      </c>
      <c r="I108" s="130" t="s">
        <v>768</v>
      </c>
      <c r="J108" s="130" t="s">
        <v>768</v>
      </c>
      <c r="K108" s="128">
        <v>63081</v>
      </c>
      <c r="L108" s="127">
        <v>15665</v>
      </c>
      <c r="M108" s="127">
        <v>47355</v>
      </c>
      <c r="N108" s="127">
        <v>0</v>
      </c>
      <c r="O108" s="127">
        <v>61</v>
      </c>
      <c r="P108" s="126">
        <v>63081</v>
      </c>
      <c r="Q108" s="126">
        <v>0</v>
      </c>
    </row>
    <row r="109" spans="1:17" s="125" customFormat="1" x14ac:dyDescent="0.2">
      <c r="A109" s="136" t="s">
        <v>30</v>
      </c>
      <c r="B109" s="136" t="s">
        <v>455</v>
      </c>
      <c r="C109" s="138" t="s">
        <v>32</v>
      </c>
      <c r="D109" s="138" t="s">
        <v>110</v>
      </c>
      <c r="E109" s="138" t="s">
        <v>456</v>
      </c>
      <c r="F109" s="138" t="s">
        <v>457</v>
      </c>
      <c r="G109" s="132" t="s">
        <v>458</v>
      </c>
      <c r="H109" s="136" t="s">
        <v>459</v>
      </c>
      <c r="I109" s="137" t="s">
        <v>768</v>
      </c>
      <c r="J109" s="137" t="s">
        <v>768</v>
      </c>
      <c r="K109" s="128">
        <v>411110</v>
      </c>
      <c r="L109" s="127">
        <v>102091</v>
      </c>
      <c r="M109" s="127">
        <v>570</v>
      </c>
      <c r="N109" s="127">
        <v>14638</v>
      </c>
      <c r="O109" s="127">
        <v>279655</v>
      </c>
      <c r="P109" s="126">
        <v>396954</v>
      </c>
      <c r="Q109" s="126">
        <v>14156</v>
      </c>
    </row>
    <row r="110" spans="1:17" s="125" customFormat="1" x14ac:dyDescent="0.2">
      <c r="A110" s="136" t="s">
        <v>30</v>
      </c>
      <c r="B110" s="136" t="s">
        <v>460</v>
      </c>
      <c r="C110" s="138" t="s">
        <v>32</v>
      </c>
      <c r="D110" s="138" t="s">
        <v>48</v>
      </c>
      <c r="E110" s="138" t="s">
        <v>461</v>
      </c>
      <c r="F110" s="138" t="s">
        <v>462</v>
      </c>
      <c r="G110" s="132" t="s">
        <v>463</v>
      </c>
      <c r="H110" s="136" t="s">
        <v>464</v>
      </c>
      <c r="I110" s="130" t="s">
        <v>768</v>
      </c>
      <c r="J110" s="130" t="s">
        <v>768</v>
      </c>
      <c r="K110" s="128">
        <v>49142</v>
      </c>
      <c r="L110" s="127">
        <v>12204</v>
      </c>
      <c r="M110" s="127">
        <v>68</v>
      </c>
      <c r="N110" s="127">
        <v>36814</v>
      </c>
      <c r="O110" s="127">
        <v>56</v>
      </c>
      <c r="P110" s="126">
        <v>49142</v>
      </c>
      <c r="Q110" s="126">
        <v>0</v>
      </c>
    </row>
    <row r="111" spans="1:17" s="125" customFormat="1" x14ac:dyDescent="0.2">
      <c r="A111" s="136" t="s">
        <v>30</v>
      </c>
      <c r="B111" s="136" t="s">
        <v>465</v>
      </c>
      <c r="C111" s="138" t="s">
        <v>32</v>
      </c>
      <c r="D111" s="138" t="s">
        <v>110</v>
      </c>
      <c r="E111" s="138" t="s">
        <v>466</v>
      </c>
      <c r="F111" s="138" t="s">
        <v>467</v>
      </c>
      <c r="G111" s="132" t="s">
        <v>468</v>
      </c>
      <c r="H111" s="136" t="s">
        <v>469</v>
      </c>
      <c r="I111" s="137" t="s">
        <v>768</v>
      </c>
      <c r="J111" s="137" t="s">
        <v>768</v>
      </c>
      <c r="K111" s="128">
        <v>94861</v>
      </c>
      <c r="L111" s="127">
        <v>23557</v>
      </c>
      <c r="M111" s="127">
        <v>71196</v>
      </c>
      <c r="N111" s="127">
        <v>0</v>
      </c>
      <c r="O111" s="127">
        <v>108</v>
      </c>
      <c r="P111" s="126">
        <v>94861</v>
      </c>
      <c r="Q111" s="126">
        <v>0</v>
      </c>
    </row>
    <row r="112" spans="1:17" s="125" customFormat="1" x14ac:dyDescent="0.2">
      <c r="A112" s="136" t="s">
        <v>30</v>
      </c>
      <c r="B112" s="136" t="s">
        <v>470</v>
      </c>
      <c r="C112" s="138" t="s">
        <v>32</v>
      </c>
      <c r="D112" s="138" t="s">
        <v>110</v>
      </c>
      <c r="E112" s="138" t="s">
        <v>471</v>
      </c>
      <c r="F112" s="138" t="s">
        <v>472</v>
      </c>
      <c r="G112" s="132" t="s">
        <v>473</v>
      </c>
      <c r="H112" s="136" t="s">
        <v>474</v>
      </c>
      <c r="I112" s="130" t="s">
        <v>768</v>
      </c>
      <c r="J112" s="130" t="s">
        <v>768</v>
      </c>
      <c r="K112" s="128">
        <v>20710</v>
      </c>
      <c r="L112" s="127">
        <v>5143</v>
      </c>
      <c r="M112" s="127">
        <v>29</v>
      </c>
      <c r="N112" s="127">
        <v>15516</v>
      </c>
      <c r="O112" s="127">
        <v>22</v>
      </c>
      <c r="P112" s="126">
        <v>20710</v>
      </c>
      <c r="Q112" s="126">
        <v>0</v>
      </c>
    </row>
    <row r="113" spans="1:17" s="125" customFormat="1" x14ac:dyDescent="0.2">
      <c r="A113" s="136" t="s">
        <v>30</v>
      </c>
      <c r="B113" s="136" t="s">
        <v>475</v>
      </c>
      <c r="C113" s="138" t="s">
        <v>32</v>
      </c>
      <c r="D113" s="138" t="s">
        <v>152</v>
      </c>
      <c r="E113" s="138" t="s">
        <v>476</v>
      </c>
      <c r="F113" s="138" t="s">
        <v>477</v>
      </c>
      <c r="G113" s="132" t="s">
        <v>478</v>
      </c>
      <c r="H113" s="136" t="s">
        <v>479</v>
      </c>
      <c r="I113" s="137" t="s">
        <v>769</v>
      </c>
      <c r="J113" s="137" t="s">
        <v>769</v>
      </c>
      <c r="K113" s="128">
        <v>0</v>
      </c>
      <c r="L113" s="127">
        <v>0</v>
      </c>
      <c r="M113" s="127">
        <v>0</v>
      </c>
      <c r="N113" s="127">
        <v>0</v>
      </c>
      <c r="O113" s="127">
        <v>0</v>
      </c>
      <c r="P113" s="126">
        <v>0</v>
      </c>
      <c r="Q113" s="126">
        <v>0</v>
      </c>
    </row>
    <row r="114" spans="1:17" s="125" customFormat="1" x14ac:dyDescent="0.2">
      <c r="A114" s="136" t="s">
        <v>30</v>
      </c>
      <c r="B114" s="136" t="s">
        <v>480</v>
      </c>
      <c r="C114" s="138" t="s">
        <v>32</v>
      </c>
      <c r="D114" s="138" t="s">
        <v>95</v>
      </c>
      <c r="E114" s="138" t="s">
        <v>481</v>
      </c>
      <c r="F114" s="138" t="s">
        <v>482</v>
      </c>
      <c r="G114" s="132" t="s">
        <v>483</v>
      </c>
      <c r="H114" s="136" t="s">
        <v>484</v>
      </c>
      <c r="I114" s="130" t="s">
        <v>769</v>
      </c>
      <c r="J114" s="130" t="s">
        <v>769</v>
      </c>
      <c r="K114" s="128">
        <v>0</v>
      </c>
      <c r="L114" s="127">
        <v>0</v>
      </c>
      <c r="M114" s="127">
        <v>0</v>
      </c>
      <c r="N114" s="127">
        <v>0</v>
      </c>
      <c r="O114" s="127">
        <v>0</v>
      </c>
      <c r="P114" s="126">
        <v>0</v>
      </c>
      <c r="Q114" s="126">
        <v>0</v>
      </c>
    </row>
    <row r="115" spans="1:17" s="125" customFormat="1" x14ac:dyDescent="0.2">
      <c r="A115" s="136" t="s">
        <v>30</v>
      </c>
      <c r="B115" s="140" t="s">
        <v>485</v>
      </c>
      <c r="C115" s="138" t="s">
        <v>32</v>
      </c>
      <c r="D115" s="138" t="s">
        <v>110</v>
      </c>
      <c r="E115" s="138" t="s">
        <v>486</v>
      </c>
      <c r="F115" s="141" t="s">
        <v>487</v>
      </c>
      <c r="G115" s="132" t="s">
        <v>488</v>
      </c>
      <c r="H115" s="139" t="s">
        <v>489</v>
      </c>
      <c r="I115" s="130" t="s">
        <v>769</v>
      </c>
      <c r="J115" s="130" t="s">
        <v>769</v>
      </c>
      <c r="K115" s="128">
        <v>0</v>
      </c>
      <c r="L115" s="127">
        <v>0</v>
      </c>
      <c r="M115" s="127">
        <v>0</v>
      </c>
      <c r="N115" s="127">
        <v>0</v>
      </c>
      <c r="O115" s="127">
        <v>0</v>
      </c>
      <c r="P115" s="126">
        <v>0</v>
      </c>
      <c r="Q115" s="126">
        <v>0</v>
      </c>
    </row>
    <row r="116" spans="1:17" s="125" customFormat="1" x14ac:dyDescent="0.2">
      <c r="A116" s="136" t="s">
        <v>30</v>
      </c>
      <c r="B116" s="136" t="s">
        <v>490</v>
      </c>
      <c r="C116" s="138" t="s">
        <v>32</v>
      </c>
      <c r="D116" s="138" t="s">
        <v>110</v>
      </c>
      <c r="E116" s="138" t="s">
        <v>491</v>
      </c>
      <c r="F116" s="138" t="s">
        <v>492</v>
      </c>
      <c r="G116" s="132" t="s">
        <v>493</v>
      </c>
      <c r="H116" s="136" t="s">
        <v>494</v>
      </c>
      <c r="I116" s="137" t="s">
        <v>768</v>
      </c>
      <c r="J116" s="137" t="s">
        <v>768</v>
      </c>
      <c r="K116" s="128">
        <v>142959</v>
      </c>
      <c r="L116" s="127">
        <v>35501</v>
      </c>
      <c r="M116" s="127">
        <v>8571</v>
      </c>
      <c r="N116" s="127">
        <v>73993</v>
      </c>
      <c r="O116" s="127">
        <v>24894</v>
      </c>
      <c r="P116" s="126">
        <v>142959</v>
      </c>
      <c r="Q116" s="126">
        <v>0</v>
      </c>
    </row>
    <row r="117" spans="1:17" s="125" customFormat="1" x14ac:dyDescent="0.2">
      <c r="A117" s="136" t="s">
        <v>30</v>
      </c>
      <c r="B117" s="136" t="s">
        <v>495</v>
      </c>
      <c r="C117" s="138" t="s">
        <v>32</v>
      </c>
      <c r="D117" s="138" t="s">
        <v>110</v>
      </c>
      <c r="E117" s="138" t="s">
        <v>496</v>
      </c>
      <c r="F117" s="138" t="s">
        <v>497</v>
      </c>
      <c r="G117" s="132" t="s">
        <v>498</v>
      </c>
      <c r="H117" s="136" t="s">
        <v>499</v>
      </c>
      <c r="I117" s="137" t="s">
        <v>768</v>
      </c>
      <c r="J117" s="137" t="s">
        <v>768</v>
      </c>
      <c r="K117" s="128">
        <v>115866</v>
      </c>
      <c r="L117" s="127">
        <v>28773</v>
      </c>
      <c r="M117" s="127">
        <v>161</v>
      </c>
      <c r="N117" s="127">
        <v>2497</v>
      </c>
      <c r="O117" s="127">
        <v>84435</v>
      </c>
      <c r="P117" s="126">
        <v>115866</v>
      </c>
      <c r="Q117" s="126">
        <v>0</v>
      </c>
    </row>
    <row r="118" spans="1:17" s="125" customFormat="1" x14ac:dyDescent="0.2">
      <c r="A118" s="136" t="s">
        <v>30</v>
      </c>
      <c r="B118" s="136" t="s">
        <v>881</v>
      </c>
      <c r="C118" s="138" t="s">
        <v>32</v>
      </c>
      <c r="D118" s="138" t="s">
        <v>48</v>
      </c>
      <c r="E118" s="138" t="s">
        <v>500</v>
      </c>
      <c r="F118" s="138" t="s">
        <v>501</v>
      </c>
      <c r="G118" s="132" t="s">
        <v>502</v>
      </c>
      <c r="H118" s="136" t="s">
        <v>503</v>
      </c>
      <c r="I118" s="130" t="s">
        <v>768</v>
      </c>
      <c r="J118" s="130" t="s">
        <v>768</v>
      </c>
      <c r="K118" s="128">
        <v>71227</v>
      </c>
      <c r="L118" s="127">
        <v>17688</v>
      </c>
      <c r="M118" s="127">
        <v>99</v>
      </c>
      <c r="N118" s="127">
        <v>53359</v>
      </c>
      <c r="O118" s="127">
        <v>81</v>
      </c>
      <c r="P118" s="126">
        <v>71227</v>
      </c>
      <c r="Q118" s="126">
        <v>0</v>
      </c>
    </row>
    <row r="119" spans="1:17" s="125" customFormat="1" x14ac:dyDescent="0.2">
      <c r="A119" s="136" t="s">
        <v>30</v>
      </c>
      <c r="B119" s="136" t="s">
        <v>504</v>
      </c>
      <c r="C119" s="138" t="s">
        <v>32</v>
      </c>
      <c r="D119" s="138" t="s">
        <v>110</v>
      </c>
      <c r="E119" s="138" t="s">
        <v>505</v>
      </c>
      <c r="F119" s="138" t="s">
        <v>506</v>
      </c>
      <c r="G119" s="132" t="s">
        <v>507</v>
      </c>
      <c r="H119" s="136" t="s">
        <v>508</v>
      </c>
      <c r="I119" s="130" t="s">
        <v>768</v>
      </c>
      <c r="J119" s="130" t="s">
        <v>768</v>
      </c>
      <c r="K119" s="128">
        <v>67122</v>
      </c>
      <c r="L119" s="127">
        <v>16669</v>
      </c>
      <c r="M119" s="127">
        <v>93</v>
      </c>
      <c r="N119" s="127">
        <v>5309</v>
      </c>
      <c r="O119" s="127">
        <v>15466</v>
      </c>
      <c r="P119" s="126">
        <v>37537</v>
      </c>
      <c r="Q119" s="126">
        <v>29585</v>
      </c>
    </row>
    <row r="120" spans="1:17" s="125" customFormat="1" x14ac:dyDescent="0.2">
      <c r="A120" s="136" t="s">
        <v>30</v>
      </c>
      <c r="B120" s="136" t="s">
        <v>509</v>
      </c>
      <c r="C120" s="138" t="s">
        <v>32</v>
      </c>
      <c r="D120" s="138" t="s">
        <v>140</v>
      </c>
      <c r="E120" s="138" t="s">
        <v>510</v>
      </c>
      <c r="F120" s="138" t="s">
        <v>511</v>
      </c>
      <c r="G120" s="132" t="s">
        <v>512</v>
      </c>
      <c r="H120" s="136" t="s">
        <v>513</v>
      </c>
      <c r="I120" s="130" t="s">
        <v>769</v>
      </c>
      <c r="J120" s="130" t="s">
        <v>769</v>
      </c>
      <c r="K120" s="128">
        <v>0</v>
      </c>
      <c r="L120" s="127">
        <v>0</v>
      </c>
      <c r="M120" s="127">
        <v>0</v>
      </c>
      <c r="N120" s="127">
        <v>0</v>
      </c>
      <c r="O120" s="127">
        <v>0</v>
      </c>
      <c r="P120" s="126">
        <v>0</v>
      </c>
      <c r="Q120" s="126">
        <v>0</v>
      </c>
    </row>
    <row r="121" spans="1:17" s="125" customFormat="1" x14ac:dyDescent="0.2">
      <c r="A121" s="136" t="s">
        <v>30</v>
      </c>
      <c r="B121" s="136" t="s">
        <v>514</v>
      </c>
      <c r="C121" s="138" t="s">
        <v>32</v>
      </c>
      <c r="D121" s="138" t="s">
        <v>131</v>
      </c>
      <c r="E121" s="138" t="s">
        <v>515</v>
      </c>
      <c r="F121" s="138" t="s">
        <v>516</v>
      </c>
      <c r="G121" s="132" t="s">
        <v>517</v>
      </c>
      <c r="H121" s="136" t="s">
        <v>518</v>
      </c>
      <c r="I121" s="137" t="s">
        <v>768</v>
      </c>
      <c r="J121" s="137" t="s">
        <v>768</v>
      </c>
      <c r="K121" s="128">
        <v>35181</v>
      </c>
      <c r="L121" s="127">
        <v>8737</v>
      </c>
      <c r="M121" s="127">
        <v>50</v>
      </c>
      <c r="N121" s="127">
        <v>0</v>
      </c>
      <c r="O121" s="127">
        <v>8</v>
      </c>
      <c r="P121" s="126">
        <v>8795</v>
      </c>
      <c r="Q121" s="126">
        <v>26386</v>
      </c>
    </row>
    <row r="122" spans="1:17" s="125" customFormat="1" x14ac:dyDescent="0.2">
      <c r="A122" s="136" t="s">
        <v>30</v>
      </c>
      <c r="B122" s="136" t="s">
        <v>519</v>
      </c>
      <c r="C122" s="138" t="s">
        <v>32</v>
      </c>
      <c r="D122" s="138" t="s">
        <v>134</v>
      </c>
      <c r="E122" s="138" t="s">
        <v>520</v>
      </c>
      <c r="F122" s="138" t="s">
        <v>521</v>
      </c>
      <c r="G122" s="132" t="s">
        <v>522</v>
      </c>
      <c r="H122" s="136" t="s">
        <v>523</v>
      </c>
      <c r="I122" s="137" t="s">
        <v>768</v>
      </c>
      <c r="J122" s="137" t="s">
        <v>768</v>
      </c>
      <c r="K122" s="128">
        <v>192541</v>
      </c>
      <c r="L122" s="127">
        <v>47814</v>
      </c>
      <c r="M122" s="127">
        <v>267</v>
      </c>
      <c r="N122" s="127">
        <v>144241</v>
      </c>
      <c r="O122" s="127">
        <v>219</v>
      </c>
      <c r="P122" s="126">
        <v>192541</v>
      </c>
      <c r="Q122" s="126">
        <v>0</v>
      </c>
    </row>
    <row r="123" spans="1:17" s="125" customFormat="1" x14ac:dyDescent="0.2">
      <c r="A123" s="136" t="s">
        <v>30</v>
      </c>
      <c r="B123" s="140" t="s">
        <v>524</v>
      </c>
      <c r="C123" s="138" t="s">
        <v>32</v>
      </c>
      <c r="D123" s="138" t="s">
        <v>110</v>
      </c>
      <c r="E123" s="138" t="s">
        <v>525</v>
      </c>
      <c r="F123" s="141" t="s">
        <v>526</v>
      </c>
      <c r="G123" s="132" t="s">
        <v>527</v>
      </c>
      <c r="H123" s="139" t="s">
        <v>528</v>
      </c>
      <c r="I123" s="130" t="s">
        <v>769</v>
      </c>
      <c r="J123" s="130" t="s">
        <v>769</v>
      </c>
      <c r="K123" s="128">
        <v>0</v>
      </c>
      <c r="L123" s="127">
        <v>0</v>
      </c>
      <c r="M123" s="127">
        <v>0</v>
      </c>
      <c r="N123" s="127">
        <v>0</v>
      </c>
      <c r="O123" s="127">
        <v>0</v>
      </c>
      <c r="P123" s="126">
        <v>0</v>
      </c>
      <c r="Q123" s="126">
        <v>0</v>
      </c>
    </row>
    <row r="124" spans="1:17" s="125" customFormat="1" x14ac:dyDescent="0.2">
      <c r="A124" s="136" t="s">
        <v>30</v>
      </c>
      <c r="B124" s="136" t="s">
        <v>529</v>
      </c>
      <c r="C124" s="138" t="s">
        <v>32</v>
      </c>
      <c r="D124" s="138" t="s">
        <v>95</v>
      </c>
      <c r="E124" s="138" t="s">
        <v>530</v>
      </c>
      <c r="F124" s="138" t="s">
        <v>531</v>
      </c>
      <c r="G124" s="132" t="s">
        <v>532</v>
      </c>
      <c r="H124" s="136" t="s">
        <v>533</v>
      </c>
      <c r="I124" s="137" t="s">
        <v>768</v>
      </c>
      <c r="J124" s="137" t="s">
        <v>768</v>
      </c>
      <c r="K124" s="128">
        <v>53241</v>
      </c>
      <c r="L124" s="127">
        <v>13221</v>
      </c>
      <c r="M124" s="127">
        <v>77</v>
      </c>
      <c r="N124" s="127">
        <v>0</v>
      </c>
      <c r="O124" s="127">
        <v>11527</v>
      </c>
      <c r="P124" s="126">
        <v>24825</v>
      </c>
      <c r="Q124" s="126">
        <v>28416</v>
      </c>
    </row>
    <row r="125" spans="1:17" s="125" customFormat="1" x14ac:dyDescent="0.2">
      <c r="A125" s="136" t="s">
        <v>30</v>
      </c>
      <c r="B125" s="136" t="s">
        <v>534</v>
      </c>
      <c r="C125" s="138" t="s">
        <v>32</v>
      </c>
      <c r="D125" s="138" t="s">
        <v>54</v>
      </c>
      <c r="E125" s="138" t="s">
        <v>535</v>
      </c>
      <c r="F125" s="138" t="s">
        <v>536</v>
      </c>
      <c r="G125" s="132" t="s">
        <v>537</v>
      </c>
      <c r="H125" s="136" t="s">
        <v>538</v>
      </c>
      <c r="I125" s="130" t="s">
        <v>769</v>
      </c>
      <c r="J125" s="130" t="s">
        <v>769</v>
      </c>
      <c r="K125" s="128">
        <v>0</v>
      </c>
      <c r="L125" s="127">
        <v>0</v>
      </c>
      <c r="M125" s="127">
        <v>0</v>
      </c>
      <c r="N125" s="127">
        <v>0</v>
      </c>
      <c r="O125" s="127">
        <v>0</v>
      </c>
      <c r="P125" s="126">
        <v>0</v>
      </c>
      <c r="Q125" s="126">
        <v>0</v>
      </c>
    </row>
    <row r="126" spans="1:17" s="125" customFormat="1" x14ac:dyDescent="0.2">
      <c r="A126" s="136" t="s">
        <v>30</v>
      </c>
      <c r="B126" s="136" t="s">
        <v>539</v>
      </c>
      <c r="C126" s="138" t="s">
        <v>32</v>
      </c>
      <c r="D126" s="138" t="s">
        <v>140</v>
      </c>
      <c r="E126" s="138" t="s">
        <v>540</v>
      </c>
      <c r="F126" s="138" t="s">
        <v>541</v>
      </c>
      <c r="G126" s="132" t="s">
        <v>542</v>
      </c>
      <c r="H126" s="136" t="s">
        <v>543</v>
      </c>
      <c r="I126" s="137" t="s">
        <v>768</v>
      </c>
      <c r="J126" s="137" t="s">
        <v>768</v>
      </c>
      <c r="K126" s="128">
        <v>66931</v>
      </c>
      <c r="L126" s="127">
        <v>16621</v>
      </c>
      <c r="M126" s="127">
        <v>96</v>
      </c>
      <c r="N126" s="127">
        <v>43147</v>
      </c>
      <c r="O126" s="127">
        <v>2998</v>
      </c>
      <c r="P126" s="126">
        <v>62862</v>
      </c>
      <c r="Q126" s="126">
        <v>4069</v>
      </c>
    </row>
    <row r="127" spans="1:17" s="125" customFormat="1" x14ac:dyDescent="0.2">
      <c r="A127" s="136" t="s">
        <v>30</v>
      </c>
      <c r="B127" s="136" t="s">
        <v>880</v>
      </c>
      <c r="C127" s="138" t="s">
        <v>32</v>
      </c>
      <c r="D127" s="138" t="s">
        <v>110</v>
      </c>
      <c r="E127" s="138" t="s">
        <v>879</v>
      </c>
      <c r="F127" s="138" t="s">
        <v>878</v>
      </c>
      <c r="G127" s="132" t="s">
        <v>877</v>
      </c>
      <c r="H127" s="136" t="s">
        <v>876</v>
      </c>
      <c r="I127" s="129" t="s">
        <v>768</v>
      </c>
      <c r="J127" s="130" t="s">
        <v>768</v>
      </c>
      <c r="K127" s="128">
        <v>0</v>
      </c>
      <c r="L127" s="127">
        <v>0</v>
      </c>
      <c r="M127" s="127">
        <v>0</v>
      </c>
      <c r="N127" s="127">
        <v>0</v>
      </c>
      <c r="O127" s="127">
        <v>0</v>
      </c>
      <c r="P127" s="126">
        <v>0</v>
      </c>
      <c r="Q127" s="126">
        <v>0</v>
      </c>
    </row>
    <row r="128" spans="1:17" s="125" customFormat="1" x14ac:dyDescent="0.2">
      <c r="A128" s="136" t="s">
        <v>30</v>
      </c>
      <c r="B128" s="136" t="s">
        <v>544</v>
      </c>
      <c r="C128" s="138" t="s">
        <v>32</v>
      </c>
      <c r="D128" s="138" t="s">
        <v>81</v>
      </c>
      <c r="E128" s="138" t="s">
        <v>545</v>
      </c>
      <c r="F128" s="138" t="s">
        <v>546</v>
      </c>
      <c r="G128" s="132" t="s">
        <v>547</v>
      </c>
      <c r="H128" s="136" t="s">
        <v>548</v>
      </c>
      <c r="I128" s="130" t="s">
        <v>768</v>
      </c>
      <c r="J128" s="130" t="s">
        <v>768</v>
      </c>
      <c r="K128" s="128">
        <v>122150</v>
      </c>
      <c r="L128" s="127">
        <v>30334</v>
      </c>
      <c r="M128" s="127">
        <v>169</v>
      </c>
      <c r="N128" s="127">
        <v>91508</v>
      </c>
      <c r="O128" s="127">
        <v>139</v>
      </c>
      <c r="P128" s="126">
        <v>122150</v>
      </c>
      <c r="Q128" s="126">
        <v>0</v>
      </c>
    </row>
    <row r="129" spans="1:17" s="125" customFormat="1" x14ac:dyDescent="0.2">
      <c r="A129" s="136" t="s">
        <v>30</v>
      </c>
      <c r="B129" s="136" t="s">
        <v>549</v>
      </c>
      <c r="C129" s="138" t="s">
        <v>32</v>
      </c>
      <c r="D129" s="138" t="s">
        <v>54</v>
      </c>
      <c r="E129" s="138" t="s">
        <v>550</v>
      </c>
      <c r="F129" s="138" t="s">
        <v>551</v>
      </c>
      <c r="G129" s="132" t="s">
        <v>552</v>
      </c>
      <c r="H129" s="136" t="s">
        <v>553</v>
      </c>
      <c r="I129" s="137" t="s">
        <v>769</v>
      </c>
      <c r="J129" s="137" t="s">
        <v>769</v>
      </c>
      <c r="K129" s="128">
        <v>0</v>
      </c>
      <c r="L129" s="127">
        <v>0</v>
      </c>
      <c r="M129" s="127">
        <v>0</v>
      </c>
      <c r="N129" s="127">
        <v>0</v>
      </c>
      <c r="O129" s="127">
        <v>0</v>
      </c>
      <c r="P129" s="126">
        <v>0</v>
      </c>
      <c r="Q129" s="126">
        <v>0</v>
      </c>
    </row>
    <row r="130" spans="1:17" s="125" customFormat="1" x14ac:dyDescent="0.2">
      <c r="A130" s="136" t="s">
        <v>30</v>
      </c>
      <c r="B130" s="136" t="s">
        <v>554</v>
      </c>
      <c r="C130" s="138" t="s">
        <v>32</v>
      </c>
      <c r="D130" s="138" t="s">
        <v>95</v>
      </c>
      <c r="E130" s="138" t="s">
        <v>555</v>
      </c>
      <c r="F130" s="138" t="s">
        <v>556</v>
      </c>
      <c r="G130" s="132" t="s">
        <v>557</v>
      </c>
      <c r="H130" s="136" t="s">
        <v>819</v>
      </c>
      <c r="I130" s="130" t="s">
        <v>768</v>
      </c>
      <c r="J130" s="130" t="s">
        <v>769</v>
      </c>
      <c r="K130" s="128">
        <v>0</v>
      </c>
      <c r="L130" s="127">
        <v>0</v>
      </c>
      <c r="M130" s="127">
        <v>0</v>
      </c>
      <c r="N130" s="127">
        <v>0</v>
      </c>
      <c r="O130" s="127">
        <v>0</v>
      </c>
      <c r="P130" s="126">
        <v>0</v>
      </c>
      <c r="Q130" s="126">
        <v>0</v>
      </c>
    </row>
    <row r="131" spans="1:17" s="125" customFormat="1" x14ac:dyDescent="0.2">
      <c r="A131" s="136" t="s">
        <v>30</v>
      </c>
      <c r="B131" s="136" t="s">
        <v>559</v>
      </c>
      <c r="C131" s="138" t="s">
        <v>32</v>
      </c>
      <c r="D131" s="138" t="s">
        <v>110</v>
      </c>
      <c r="E131" s="138" t="s">
        <v>560</v>
      </c>
      <c r="F131" s="138" t="s">
        <v>561</v>
      </c>
      <c r="G131" s="132" t="s">
        <v>562</v>
      </c>
      <c r="H131" s="136" t="s">
        <v>563</v>
      </c>
      <c r="I131" s="130" t="s">
        <v>769</v>
      </c>
      <c r="J131" s="130" t="s">
        <v>769</v>
      </c>
      <c r="K131" s="128">
        <v>0</v>
      </c>
      <c r="L131" s="127">
        <v>0</v>
      </c>
      <c r="M131" s="127">
        <v>0</v>
      </c>
      <c r="N131" s="127">
        <v>0</v>
      </c>
      <c r="O131" s="127">
        <v>0</v>
      </c>
      <c r="P131" s="126">
        <v>0</v>
      </c>
      <c r="Q131" s="126">
        <v>0</v>
      </c>
    </row>
    <row r="132" spans="1:17" s="125" customFormat="1" x14ac:dyDescent="0.2">
      <c r="A132" s="136" t="s">
        <v>30</v>
      </c>
      <c r="B132" s="136" t="s">
        <v>564</v>
      </c>
      <c r="C132" s="138" t="s">
        <v>32</v>
      </c>
      <c r="D132" s="138" t="s">
        <v>110</v>
      </c>
      <c r="E132" s="138" t="s">
        <v>565</v>
      </c>
      <c r="F132" s="138" t="s">
        <v>566</v>
      </c>
      <c r="G132" s="132" t="s">
        <v>567</v>
      </c>
      <c r="H132" s="136" t="s">
        <v>568</v>
      </c>
      <c r="I132" s="137" t="s">
        <v>768</v>
      </c>
      <c r="J132" s="137" t="s">
        <v>768</v>
      </c>
      <c r="K132" s="128">
        <v>34080</v>
      </c>
      <c r="L132" s="127">
        <v>8463</v>
      </c>
      <c r="M132" s="127">
        <v>47</v>
      </c>
      <c r="N132" s="127">
        <v>0</v>
      </c>
      <c r="O132" s="127">
        <v>10</v>
      </c>
      <c r="P132" s="126">
        <v>8520</v>
      </c>
      <c r="Q132" s="126">
        <v>25560</v>
      </c>
    </row>
    <row r="133" spans="1:17" s="125" customFormat="1" x14ac:dyDescent="0.2">
      <c r="A133" s="136" t="s">
        <v>30</v>
      </c>
      <c r="B133" s="136" t="s">
        <v>569</v>
      </c>
      <c r="C133" s="138" t="s">
        <v>32</v>
      </c>
      <c r="D133" s="138" t="s">
        <v>110</v>
      </c>
      <c r="E133" s="138" t="s">
        <v>570</v>
      </c>
      <c r="F133" s="138" t="s">
        <v>571</v>
      </c>
      <c r="G133" s="132" t="s">
        <v>572</v>
      </c>
      <c r="H133" s="136" t="s">
        <v>573</v>
      </c>
      <c r="I133" s="130" t="s">
        <v>768</v>
      </c>
      <c r="J133" s="130" t="s">
        <v>768</v>
      </c>
      <c r="K133" s="128">
        <v>69780</v>
      </c>
      <c r="L133" s="127">
        <v>17329</v>
      </c>
      <c r="M133" s="127">
        <v>96</v>
      </c>
      <c r="N133" s="127">
        <v>0</v>
      </c>
      <c r="O133" s="127">
        <v>39659</v>
      </c>
      <c r="P133" s="126">
        <v>57084</v>
      </c>
      <c r="Q133" s="126">
        <v>12696</v>
      </c>
    </row>
    <row r="134" spans="1:17" s="125" customFormat="1" x14ac:dyDescent="0.2">
      <c r="A134" s="136" t="s">
        <v>30</v>
      </c>
      <c r="B134" s="136" t="s">
        <v>574</v>
      </c>
      <c r="C134" s="138" t="s">
        <v>32</v>
      </c>
      <c r="D134" s="138" t="s">
        <v>110</v>
      </c>
      <c r="E134" s="138" t="s">
        <v>575</v>
      </c>
      <c r="F134" s="138" t="s">
        <v>576</v>
      </c>
      <c r="G134" s="132" t="s">
        <v>577</v>
      </c>
      <c r="H134" s="136" t="s">
        <v>578</v>
      </c>
      <c r="I134" s="137" t="s">
        <v>768</v>
      </c>
      <c r="J134" s="137" t="s">
        <v>768</v>
      </c>
      <c r="K134" s="128">
        <v>38702</v>
      </c>
      <c r="L134" s="127">
        <v>9611</v>
      </c>
      <c r="M134" s="127">
        <v>55</v>
      </c>
      <c r="N134" s="127">
        <v>18918</v>
      </c>
      <c r="O134" s="127">
        <v>10118</v>
      </c>
      <c r="P134" s="126">
        <v>38702</v>
      </c>
      <c r="Q134" s="126">
        <v>0</v>
      </c>
    </row>
    <row r="135" spans="1:17" s="125" customFormat="1" x14ac:dyDescent="0.2">
      <c r="A135" s="136" t="s">
        <v>30</v>
      </c>
      <c r="B135" s="136" t="s">
        <v>579</v>
      </c>
      <c r="C135" s="138" t="s">
        <v>32</v>
      </c>
      <c r="D135" s="138" t="s">
        <v>54</v>
      </c>
      <c r="E135" s="138" t="s">
        <v>580</v>
      </c>
      <c r="F135" s="138" t="s">
        <v>581</v>
      </c>
      <c r="G135" s="132" t="s">
        <v>582</v>
      </c>
      <c r="H135" s="136" t="s">
        <v>583</v>
      </c>
      <c r="I135" s="130" t="s">
        <v>769</v>
      </c>
      <c r="J135" s="130" t="s">
        <v>769</v>
      </c>
      <c r="K135" s="128">
        <v>0</v>
      </c>
      <c r="L135" s="127">
        <v>0</v>
      </c>
      <c r="M135" s="127">
        <v>0</v>
      </c>
      <c r="N135" s="127">
        <v>0</v>
      </c>
      <c r="O135" s="127">
        <v>0</v>
      </c>
      <c r="P135" s="126">
        <v>0</v>
      </c>
      <c r="Q135" s="126">
        <v>0</v>
      </c>
    </row>
    <row r="136" spans="1:17" s="125" customFormat="1" x14ac:dyDescent="0.2">
      <c r="A136" s="136" t="s">
        <v>30</v>
      </c>
      <c r="B136" s="136" t="s">
        <v>584</v>
      </c>
      <c r="C136" s="138" t="s">
        <v>32</v>
      </c>
      <c r="D136" s="138" t="s">
        <v>152</v>
      </c>
      <c r="E136" s="138" t="s">
        <v>585</v>
      </c>
      <c r="F136" s="138" t="s">
        <v>586</v>
      </c>
      <c r="G136" s="132" t="s">
        <v>587</v>
      </c>
      <c r="H136" s="136" t="s">
        <v>588</v>
      </c>
      <c r="I136" s="137" t="s">
        <v>768</v>
      </c>
      <c r="J136" s="137" t="s">
        <v>768</v>
      </c>
      <c r="K136" s="128">
        <v>0</v>
      </c>
      <c r="L136" s="127">
        <v>0</v>
      </c>
      <c r="M136" s="127">
        <v>0</v>
      </c>
      <c r="N136" s="127">
        <v>0</v>
      </c>
      <c r="O136" s="127">
        <v>0</v>
      </c>
      <c r="P136" s="126">
        <v>0</v>
      </c>
      <c r="Q136" s="126">
        <v>0</v>
      </c>
    </row>
    <row r="137" spans="1:17" s="125" customFormat="1" x14ac:dyDescent="0.2">
      <c r="A137" s="136" t="s">
        <v>30</v>
      </c>
      <c r="B137" s="136" t="s">
        <v>589</v>
      </c>
      <c r="C137" s="138" t="s">
        <v>32</v>
      </c>
      <c r="D137" s="138" t="s">
        <v>63</v>
      </c>
      <c r="E137" s="138" t="s">
        <v>590</v>
      </c>
      <c r="F137" s="138" t="s">
        <v>591</v>
      </c>
      <c r="G137" s="132" t="s">
        <v>592</v>
      </c>
      <c r="H137" s="136" t="s">
        <v>593</v>
      </c>
      <c r="I137" s="137" t="s">
        <v>768</v>
      </c>
      <c r="J137" s="137" t="s">
        <v>768</v>
      </c>
      <c r="K137" s="128">
        <v>216600</v>
      </c>
      <c r="L137" s="127">
        <v>53788</v>
      </c>
      <c r="M137" s="127">
        <v>69490</v>
      </c>
      <c r="N137" s="127">
        <v>11816</v>
      </c>
      <c r="O137" s="127">
        <v>81506</v>
      </c>
      <c r="P137" s="126">
        <v>216600</v>
      </c>
      <c r="Q137" s="126">
        <v>0</v>
      </c>
    </row>
    <row r="138" spans="1:17" s="125" customFormat="1" x14ac:dyDescent="0.2">
      <c r="A138" s="136" t="s">
        <v>30</v>
      </c>
      <c r="B138" s="136" t="s">
        <v>594</v>
      </c>
      <c r="C138" s="138" t="s">
        <v>32</v>
      </c>
      <c r="D138" s="138" t="s">
        <v>39</v>
      </c>
      <c r="E138" s="138" t="s">
        <v>595</v>
      </c>
      <c r="F138" s="138" t="s">
        <v>596</v>
      </c>
      <c r="G138" s="132" t="s">
        <v>597</v>
      </c>
      <c r="H138" s="136" t="s">
        <v>598</v>
      </c>
      <c r="I138" s="130" t="s">
        <v>769</v>
      </c>
      <c r="J138" s="130" t="s">
        <v>769</v>
      </c>
      <c r="K138" s="128">
        <v>0</v>
      </c>
      <c r="L138" s="127">
        <v>0</v>
      </c>
      <c r="M138" s="127">
        <v>0</v>
      </c>
      <c r="N138" s="127">
        <v>0</v>
      </c>
      <c r="O138" s="127">
        <v>0</v>
      </c>
      <c r="P138" s="126">
        <v>0</v>
      </c>
      <c r="Q138" s="126">
        <v>0</v>
      </c>
    </row>
    <row r="139" spans="1:17" s="125" customFormat="1" x14ac:dyDescent="0.2">
      <c r="A139" s="136" t="s">
        <v>30</v>
      </c>
      <c r="B139" s="140" t="s">
        <v>599</v>
      </c>
      <c r="C139" s="138" t="s">
        <v>32</v>
      </c>
      <c r="D139" s="138" t="s">
        <v>600</v>
      </c>
      <c r="E139" s="138" t="s">
        <v>601</v>
      </c>
      <c r="F139" s="138" t="s">
        <v>602</v>
      </c>
      <c r="G139" s="132" t="s">
        <v>603</v>
      </c>
      <c r="H139" s="139" t="s">
        <v>604</v>
      </c>
      <c r="I139" s="137" t="s">
        <v>768</v>
      </c>
      <c r="J139" s="137" t="s">
        <v>768</v>
      </c>
      <c r="K139" s="128">
        <v>47299</v>
      </c>
      <c r="L139" s="127">
        <v>11746</v>
      </c>
      <c r="M139" s="127">
        <v>12563</v>
      </c>
      <c r="N139" s="127">
        <v>6205</v>
      </c>
      <c r="O139" s="127">
        <v>16785</v>
      </c>
      <c r="P139" s="126">
        <v>47299</v>
      </c>
      <c r="Q139" s="126">
        <v>0</v>
      </c>
    </row>
    <row r="140" spans="1:17" s="125" customFormat="1" x14ac:dyDescent="0.2">
      <c r="A140" s="136" t="s">
        <v>30</v>
      </c>
      <c r="B140" s="136" t="s">
        <v>875</v>
      </c>
      <c r="C140" s="138" t="s">
        <v>32</v>
      </c>
      <c r="D140" s="138" t="s">
        <v>33</v>
      </c>
      <c r="E140" s="138" t="s">
        <v>874</v>
      </c>
      <c r="F140" s="138" t="s">
        <v>873</v>
      </c>
      <c r="G140" s="132" t="s">
        <v>872</v>
      </c>
      <c r="H140" s="136" t="s">
        <v>871</v>
      </c>
      <c r="I140" s="130" t="s">
        <v>769</v>
      </c>
      <c r="J140" s="130" t="s">
        <v>769</v>
      </c>
      <c r="K140" s="128">
        <v>0</v>
      </c>
      <c r="L140" s="127">
        <v>0</v>
      </c>
      <c r="M140" s="127">
        <v>0</v>
      </c>
      <c r="N140" s="127">
        <v>0</v>
      </c>
      <c r="O140" s="127">
        <v>0</v>
      </c>
      <c r="P140" s="126">
        <v>0</v>
      </c>
      <c r="Q140" s="126">
        <v>0</v>
      </c>
    </row>
    <row r="141" spans="1:17" s="125" customFormat="1" x14ac:dyDescent="0.2">
      <c r="A141" s="136" t="s">
        <v>30</v>
      </c>
      <c r="B141" s="136" t="s">
        <v>605</v>
      </c>
      <c r="C141" s="138" t="s">
        <v>32</v>
      </c>
      <c r="D141" s="138" t="s">
        <v>33</v>
      </c>
      <c r="E141" s="138" t="s">
        <v>606</v>
      </c>
      <c r="F141" s="138" t="s">
        <v>607</v>
      </c>
      <c r="G141" s="132" t="s">
        <v>608</v>
      </c>
      <c r="H141" s="136" t="s">
        <v>609</v>
      </c>
      <c r="I141" s="130" t="s">
        <v>768</v>
      </c>
      <c r="J141" s="130" t="s">
        <v>768</v>
      </c>
      <c r="K141" s="128">
        <v>76363</v>
      </c>
      <c r="L141" s="127">
        <v>12270</v>
      </c>
      <c r="M141" s="127">
        <v>3192</v>
      </c>
      <c r="N141" s="127">
        <v>0</v>
      </c>
      <c r="O141" s="127">
        <v>60901</v>
      </c>
      <c r="P141" s="126">
        <v>76363</v>
      </c>
      <c r="Q141" s="126">
        <v>0</v>
      </c>
    </row>
    <row r="142" spans="1:17" s="125" customFormat="1" x14ac:dyDescent="0.2">
      <c r="A142" s="136" t="s">
        <v>30</v>
      </c>
      <c r="B142" s="136" t="s">
        <v>610</v>
      </c>
      <c r="C142" s="138" t="s">
        <v>32</v>
      </c>
      <c r="D142" s="138" t="s">
        <v>611</v>
      </c>
      <c r="E142" s="138" t="s">
        <v>612</v>
      </c>
      <c r="F142" s="138" t="s">
        <v>613</v>
      </c>
      <c r="G142" s="132" t="s">
        <v>614</v>
      </c>
      <c r="H142" s="136" t="s">
        <v>615</v>
      </c>
      <c r="I142" s="137" t="s">
        <v>768</v>
      </c>
      <c r="J142" s="137" t="s">
        <v>768</v>
      </c>
      <c r="K142" s="128">
        <v>57526</v>
      </c>
      <c r="L142" s="127">
        <v>14285</v>
      </c>
      <c r="M142" s="127">
        <v>2254</v>
      </c>
      <c r="N142" s="127">
        <v>6028</v>
      </c>
      <c r="O142" s="127">
        <v>34959</v>
      </c>
      <c r="P142" s="126">
        <v>57526</v>
      </c>
      <c r="Q142" s="126">
        <v>0</v>
      </c>
    </row>
    <row r="143" spans="1:17" s="125" customFormat="1" x14ac:dyDescent="0.2">
      <c r="A143" s="136" t="s">
        <v>30</v>
      </c>
      <c r="B143" s="136" t="s">
        <v>616</v>
      </c>
      <c r="C143" s="138" t="s">
        <v>32</v>
      </c>
      <c r="D143" s="138" t="s">
        <v>54</v>
      </c>
      <c r="E143" s="138" t="s">
        <v>617</v>
      </c>
      <c r="F143" s="138" t="s">
        <v>618</v>
      </c>
      <c r="G143" s="132" t="s">
        <v>619</v>
      </c>
      <c r="H143" s="136" t="s">
        <v>620</v>
      </c>
      <c r="I143" s="130" t="s">
        <v>769</v>
      </c>
      <c r="J143" s="130" t="s">
        <v>769</v>
      </c>
      <c r="K143" s="128">
        <v>0</v>
      </c>
      <c r="L143" s="127">
        <v>0</v>
      </c>
      <c r="M143" s="127">
        <v>0</v>
      </c>
      <c r="N143" s="127">
        <v>0</v>
      </c>
      <c r="O143" s="127">
        <v>0</v>
      </c>
      <c r="P143" s="126">
        <v>0</v>
      </c>
      <c r="Q143" s="126">
        <v>0</v>
      </c>
    </row>
    <row r="144" spans="1:17" s="125" customFormat="1" x14ac:dyDescent="0.2">
      <c r="A144" s="136" t="s">
        <v>30</v>
      </c>
      <c r="B144" s="136" t="s">
        <v>621</v>
      </c>
      <c r="C144" s="138" t="s">
        <v>32</v>
      </c>
      <c r="D144" s="138" t="s">
        <v>89</v>
      </c>
      <c r="E144" s="138" t="s">
        <v>622</v>
      </c>
      <c r="F144" s="138" t="s">
        <v>623</v>
      </c>
      <c r="G144" s="132" t="s">
        <v>624</v>
      </c>
      <c r="H144" s="136" t="s">
        <v>625</v>
      </c>
      <c r="I144" s="137" t="s">
        <v>768</v>
      </c>
      <c r="J144" s="137" t="s">
        <v>768</v>
      </c>
      <c r="K144" s="128">
        <v>19666</v>
      </c>
      <c r="L144" s="127">
        <v>4884</v>
      </c>
      <c r="M144" s="127">
        <v>27</v>
      </c>
      <c r="N144" s="127">
        <v>14733</v>
      </c>
      <c r="O144" s="127">
        <v>22</v>
      </c>
      <c r="P144" s="126">
        <v>19666</v>
      </c>
      <c r="Q144" s="126">
        <v>0</v>
      </c>
    </row>
    <row r="145" spans="1:17" s="125" customFormat="1" x14ac:dyDescent="0.2">
      <c r="A145" s="136" t="s">
        <v>30</v>
      </c>
      <c r="B145" s="136" t="s">
        <v>626</v>
      </c>
      <c r="C145" s="138" t="s">
        <v>32</v>
      </c>
      <c r="D145" s="138" t="s">
        <v>627</v>
      </c>
      <c r="E145" s="138" t="s">
        <v>628</v>
      </c>
      <c r="F145" s="138" t="s">
        <v>629</v>
      </c>
      <c r="G145" s="132" t="s">
        <v>630</v>
      </c>
      <c r="H145" s="136" t="s">
        <v>631</v>
      </c>
      <c r="I145" s="130" t="s">
        <v>768</v>
      </c>
      <c r="J145" s="130" t="s">
        <v>768</v>
      </c>
      <c r="K145" s="128">
        <v>55437</v>
      </c>
      <c r="L145" s="127">
        <v>13767</v>
      </c>
      <c r="M145" s="127">
        <v>36661</v>
      </c>
      <c r="N145" s="127">
        <v>4946</v>
      </c>
      <c r="O145" s="127">
        <v>63</v>
      </c>
      <c r="P145" s="126">
        <v>55437</v>
      </c>
      <c r="Q145" s="126">
        <v>0</v>
      </c>
    </row>
    <row r="146" spans="1:17" s="125" customFormat="1" x14ac:dyDescent="0.2">
      <c r="A146" s="136" t="s">
        <v>30</v>
      </c>
      <c r="B146" s="136" t="s">
        <v>632</v>
      </c>
      <c r="C146" s="138" t="s">
        <v>32</v>
      </c>
      <c r="D146" s="138" t="s">
        <v>54</v>
      </c>
      <c r="E146" s="138" t="s">
        <v>633</v>
      </c>
      <c r="F146" s="138" t="s">
        <v>634</v>
      </c>
      <c r="G146" s="132" t="s">
        <v>635</v>
      </c>
      <c r="H146" s="136" t="s">
        <v>636</v>
      </c>
      <c r="I146" s="137" t="s">
        <v>769</v>
      </c>
      <c r="J146" s="137" t="s">
        <v>769</v>
      </c>
      <c r="K146" s="128">
        <v>0</v>
      </c>
      <c r="L146" s="127">
        <v>0</v>
      </c>
      <c r="M146" s="127">
        <v>0</v>
      </c>
      <c r="N146" s="127">
        <v>0</v>
      </c>
      <c r="O146" s="127">
        <v>0</v>
      </c>
      <c r="P146" s="126">
        <v>0</v>
      </c>
      <c r="Q146" s="126">
        <v>0</v>
      </c>
    </row>
    <row r="147" spans="1:17" s="125" customFormat="1" x14ac:dyDescent="0.2">
      <c r="A147" s="136" t="s">
        <v>30</v>
      </c>
      <c r="B147" s="136" t="s">
        <v>637</v>
      </c>
      <c r="C147" s="138" t="s">
        <v>32</v>
      </c>
      <c r="D147" s="138" t="s">
        <v>95</v>
      </c>
      <c r="E147" s="138" t="s">
        <v>638</v>
      </c>
      <c r="F147" s="138" t="s">
        <v>639</v>
      </c>
      <c r="G147" s="132" t="s">
        <v>640</v>
      </c>
      <c r="H147" s="136" t="s">
        <v>641</v>
      </c>
      <c r="I147" s="137" t="s">
        <v>768</v>
      </c>
      <c r="J147" s="137" t="s">
        <v>768</v>
      </c>
      <c r="K147" s="128">
        <v>27287</v>
      </c>
      <c r="L147" s="127">
        <v>6776</v>
      </c>
      <c r="M147" s="127">
        <v>6816</v>
      </c>
      <c r="N147" s="127">
        <v>13670</v>
      </c>
      <c r="O147" s="127">
        <v>25</v>
      </c>
      <c r="P147" s="126">
        <v>27287</v>
      </c>
      <c r="Q147" s="126">
        <v>0</v>
      </c>
    </row>
    <row r="148" spans="1:17" s="125" customFormat="1" x14ac:dyDescent="0.2">
      <c r="A148" s="136" t="s">
        <v>30</v>
      </c>
      <c r="B148" s="136" t="s">
        <v>642</v>
      </c>
      <c r="C148" s="138" t="s">
        <v>32</v>
      </c>
      <c r="D148" s="138" t="s">
        <v>81</v>
      </c>
      <c r="E148" s="138" t="s">
        <v>643</v>
      </c>
      <c r="F148" s="138" t="s">
        <v>644</v>
      </c>
      <c r="G148" s="132" t="s">
        <v>645</v>
      </c>
      <c r="H148" s="136" t="s">
        <v>646</v>
      </c>
      <c r="I148" s="137" t="s">
        <v>769</v>
      </c>
      <c r="J148" s="137" t="s">
        <v>769</v>
      </c>
      <c r="K148" s="128">
        <v>0</v>
      </c>
      <c r="L148" s="127">
        <v>0</v>
      </c>
      <c r="M148" s="127">
        <v>0</v>
      </c>
      <c r="N148" s="127">
        <v>0</v>
      </c>
      <c r="O148" s="127">
        <v>0</v>
      </c>
      <c r="P148" s="126">
        <v>0</v>
      </c>
      <c r="Q148" s="126">
        <v>0</v>
      </c>
    </row>
    <row r="149" spans="1:17" s="125" customFormat="1" x14ac:dyDescent="0.2">
      <c r="A149" s="136" t="s">
        <v>30</v>
      </c>
      <c r="B149" s="136" t="s">
        <v>647</v>
      </c>
      <c r="C149" s="138" t="s">
        <v>32</v>
      </c>
      <c r="D149" s="138" t="s">
        <v>66</v>
      </c>
      <c r="E149" s="138" t="s">
        <v>648</v>
      </c>
      <c r="F149" s="138" t="s">
        <v>649</v>
      </c>
      <c r="G149" s="132" t="s">
        <v>650</v>
      </c>
      <c r="H149" s="136" t="s">
        <v>651</v>
      </c>
      <c r="I149" s="137" t="s">
        <v>768</v>
      </c>
      <c r="J149" s="137" t="s">
        <v>768</v>
      </c>
      <c r="K149" s="128">
        <v>14262</v>
      </c>
      <c r="L149" s="127">
        <v>3542</v>
      </c>
      <c r="M149" s="127">
        <v>894</v>
      </c>
      <c r="N149" s="127">
        <v>3195</v>
      </c>
      <c r="O149" s="127">
        <v>6631</v>
      </c>
      <c r="P149" s="126">
        <v>14262</v>
      </c>
      <c r="Q149" s="126">
        <v>0</v>
      </c>
    </row>
    <row r="150" spans="1:17" s="125" customFormat="1" x14ac:dyDescent="0.2">
      <c r="A150" s="136" t="s">
        <v>30</v>
      </c>
      <c r="B150" s="136" t="s">
        <v>652</v>
      </c>
      <c r="C150" s="138" t="s">
        <v>32</v>
      </c>
      <c r="D150" s="138" t="s">
        <v>33</v>
      </c>
      <c r="E150" s="138" t="s">
        <v>653</v>
      </c>
      <c r="F150" s="138" t="s">
        <v>654</v>
      </c>
      <c r="G150" s="132" t="s">
        <v>655</v>
      </c>
      <c r="H150" s="136" t="s">
        <v>656</v>
      </c>
      <c r="I150" s="130" t="s">
        <v>769</v>
      </c>
      <c r="J150" s="130" t="s">
        <v>769</v>
      </c>
      <c r="K150" s="128">
        <v>0</v>
      </c>
      <c r="L150" s="127">
        <v>0</v>
      </c>
      <c r="M150" s="127">
        <v>0</v>
      </c>
      <c r="N150" s="127">
        <v>0</v>
      </c>
      <c r="O150" s="127">
        <v>0</v>
      </c>
      <c r="P150" s="126">
        <v>0</v>
      </c>
      <c r="Q150" s="126">
        <v>0</v>
      </c>
    </row>
    <row r="151" spans="1:17" s="125" customFormat="1" x14ac:dyDescent="0.2">
      <c r="A151" s="136" t="s">
        <v>30</v>
      </c>
      <c r="B151" s="136" t="s">
        <v>657</v>
      </c>
      <c r="C151" s="138" t="s">
        <v>32</v>
      </c>
      <c r="D151" s="138" t="s">
        <v>33</v>
      </c>
      <c r="E151" s="138" t="s">
        <v>658</v>
      </c>
      <c r="F151" s="138" t="s">
        <v>659</v>
      </c>
      <c r="G151" s="132" t="s">
        <v>660</v>
      </c>
      <c r="H151" s="136" t="s">
        <v>661</v>
      </c>
      <c r="I151" s="137" t="s">
        <v>769</v>
      </c>
      <c r="J151" s="137" t="s">
        <v>769</v>
      </c>
      <c r="K151" s="128">
        <v>0</v>
      </c>
      <c r="L151" s="127">
        <v>0</v>
      </c>
      <c r="M151" s="127">
        <v>0</v>
      </c>
      <c r="N151" s="127">
        <v>0</v>
      </c>
      <c r="O151" s="127">
        <v>0</v>
      </c>
      <c r="P151" s="126">
        <v>0</v>
      </c>
      <c r="Q151" s="126">
        <v>0</v>
      </c>
    </row>
    <row r="152" spans="1:17" s="125" customFormat="1" x14ac:dyDescent="0.2">
      <c r="A152" s="136" t="s">
        <v>30</v>
      </c>
      <c r="B152" s="136" t="s">
        <v>662</v>
      </c>
      <c r="C152" s="138" t="s">
        <v>32</v>
      </c>
      <c r="D152" s="138" t="s">
        <v>663</v>
      </c>
      <c r="E152" s="138" t="s">
        <v>664</v>
      </c>
      <c r="F152" s="138" t="s">
        <v>665</v>
      </c>
      <c r="G152" s="132" t="s">
        <v>666</v>
      </c>
      <c r="H152" s="136" t="s">
        <v>667</v>
      </c>
      <c r="I152" s="130" t="s">
        <v>768</v>
      </c>
      <c r="J152" s="130" t="s">
        <v>768</v>
      </c>
      <c r="K152" s="128">
        <v>23506</v>
      </c>
      <c r="L152" s="127">
        <v>5837</v>
      </c>
      <c r="M152" s="127">
        <v>33</v>
      </c>
      <c r="N152" s="127">
        <v>6600</v>
      </c>
      <c r="O152" s="127">
        <v>6749</v>
      </c>
      <c r="P152" s="126">
        <v>19219</v>
      </c>
      <c r="Q152" s="126">
        <v>4287</v>
      </c>
    </row>
    <row r="153" spans="1:17" s="125" customFormat="1" x14ac:dyDescent="0.2">
      <c r="A153" s="136" t="s">
        <v>30</v>
      </c>
      <c r="B153" s="136" t="s">
        <v>668</v>
      </c>
      <c r="C153" s="138" t="s">
        <v>32</v>
      </c>
      <c r="D153" s="138" t="s">
        <v>669</v>
      </c>
      <c r="E153" s="138" t="s">
        <v>670</v>
      </c>
      <c r="F153" s="138" t="s">
        <v>671</v>
      </c>
      <c r="G153" s="132" t="s">
        <v>672</v>
      </c>
      <c r="H153" s="136" t="s">
        <v>673</v>
      </c>
      <c r="I153" s="130" t="s">
        <v>769</v>
      </c>
      <c r="J153" s="130" t="s">
        <v>769</v>
      </c>
      <c r="K153" s="128">
        <v>0</v>
      </c>
      <c r="L153" s="127">
        <v>0</v>
      </c>
      <c r="M153" s="127">
        <v>0</v>
      </c>
      <c r="N153" s="127">
        <v>0</v>
      </c>
      <c r="O153" s="127">
        <v>0</v>
      </c>
      <c r="P153" s="126">
        <v>0</v>
      </c>
      <c r="Q153" s="126">
        <v>0</v>
      </c>
    </row>
    <row r="154" spans="1:17" s="125" customFormat="1" x14ac:dyDescent="0.2">
      <c r="A154" s="136" t="s">
        <v>30</v>
      </c>
      <c r="B154" s="136" t="s">
        <v>674</v>
      </c>
      <c r="C154" s="138" t="s">
        <v>32</v>
      </c>
      <c r="D154" s="138" t="s">
        <v>675</v>
      </c>
      <c r="E154" s="138" t="s">
        <v>676</v>
      </c>
      <c r="F154" s="138" t="s">
        <v>677</v>
      </c>
      <c r="G154" s="132" t="s">
        <v>678</v>
      </c>
      <c r="H154" s="136" t="s">
        <v>679</v>
      </c>
      <c r="I154" s="137" t="s">
        <v>768</v>
      </c>
      <c r="J154" s="137" t="s">
        <v>768</v>
      </c>
      <c r="K154" s="128">
        <v>34294</v>
      </c>
      <c r="L154" s="127">
        <v>8516</v>
      </c>
      <c r="M154" s="127">
        <v>48</v>
      </c>
      <c r="N154" s="127">
        <v>25691</v>
      </c>
      <c r="O154" s="127">
        <v>39</v>
      </c>
      <c r="P154" s="126">
        <v>34294</v>
      </c>
      <c r="Q154" s="126">
        <v>0</v>
      </c>
    </row>
    <row r="155" spans="1:17" s="125" customFormat="1" x14ac:dyDescent="0.2">
      <c r="A155" s="136" t="s">
        <v>30</v>
      </c>
      <c r="B155" s="136" t="s">
        <v>680</v>
      </c>
      <c r="C155" s="138" t="s">
        <v>32</v>
      </c>
      <c r="D155" s="138" t="s">
        <v>110</v>
      </c>
      <c r="E155" s="138" t="s">
        <v>681</v>
      </c>
      <c r="F155" s="138" t="s">
        <v>682</v>
      </c>
      <c r="G155" s="132" t="s">
        <v>683</v>
      </c>
      <c r="H155" s="136" t="s">
        <v>684</v>
      </c>
      <c r="I155" s="130" t="s">
        <v>768</v>
      </c>
      <c r="J155" s="130" t="s">
        <v>768</v>
      </c>
      <c r="K155" s="128">
        <v>28400</v>
      </c>
      <c r="L155" s="127">
        <v>7053</v>
      </c>
      <c r="M155" s="127">
        <v>39</v>
      </c>
      <c r="N155" s="127">
        <v>0</v>
      </c>
      <c r="O155" s="127">
        <v>7100</v>
      </c>
      <c r="P155" s="126">
        <v>14192</v>
      </c>
      <c r="Q155" s="126">
        <v>14208</v>
      </c>
    </row>
    <row r="156" spans="1:17" s="125" customFormat="1" x14ac:dyDescent="0.2">
      <c r="A156" s="136" t="s">
        <v>30</v>
      </c>
      <c r="B156" s="136" t="s">
        <v>685</v>
      </c>
      <c r="C156" s="138" t="s">
        <v>32</v>
      </c>
      <c r="D156" s="138" t="s">
        <v>149</v>
      </c>
      <c r="E156" s="138" t="s">
        <v>686</v>
      </c>
      <c r="F156" s="138" t="s">
        <v>687</v>
      </c>
      <c r="G156" s="132" t="s">
        <v>688</v>
      </c>
      <c r="H156" s="136" t="s">
        <v>689</v>
      </c>
      <c r="I156" s="129" t="s">
        <v>768</v>
      </c>
      <c r="J156" s="130" t="s">
        <v>769</v>
      </c>
      <c r="K156" s="128">
        <v>0</v>
      </c>
      <c r="L156" s="127">
        <v>0</v>
      </c>
      <c r="M156" s="127">
        <v>0</v>
      </c>
      <c r="N156" s="127">
        <v>0</v>
      </c>
      <c r="O156" s="127">
        <v>0</v>
      </c>
      <c r="P156" s="126">
        <v>0</v>
      </c>
      <c r="Q156" s="126">
        <v>0</v>
      </c>
    </row>
    <row r="157" spans="1:17" s="125" customFormat="1" x14ac:dyDescent="0.2">
      <c r="A157" s="136" t="s">
        <v>30</v>
      </c>
      <c r="B157" s="136" t="s">
        <v>690</v>
      </c>
      <c r="C157" s="138" t="s">
        <v>32</v>
      </c>
      <c r="D157" s="138" t="s">
        <v>33</v>
      </c>
      <c r="E157" s="138" t="s">
        <v>691</v>
      </c>
      <c r="F157" s="138" t="s">
        <v>692</v>
      </c>
      <c r="G157" s="132" t="s">
        <v>693</v>
      </c>
      <c r="H157" s="136" t="s">
        <v>694</v>
      </c>
      <c r="I157" s="137" t="s">
        <v>768</v>
      </c>
      <c r="J157" s="137" t="s">
        <v>768</v>
      </c>
      <c r="K157" s="128">
        <v>58806</v>
      </c>
      <c r="L157" s="127">
        <v>14603</v>
      </c>
      <c r="M157" s="127">
        <v>82</v>
      </c>
      <c r="N157" s="127">
        <v>44054</v>
      </c>
      <c r="O157" s="127">
        <v>67</v>
      </c>
      <c r="P157" s="126">
        <v>58806</v>
      </c>
      <c r="Q157" s="126">
        <v>0</v>
      </c>
    </row>
    <row r="158" spans="1:17" s="125" customFormat="1" x14ac:dyDescent="0.2">
      <c r="A158" s="136" t="s">
        <v>30</v>
      </c>
      <c r="B158" s="136" t="s">
        <v>695</v>
      </c>
      <c r="C158" s="138" t="s">
        <v>32</v>
      </c>
      <c r="D158" s="138" t="s">
        <v>81</v>
      </c>
      <c r="E158" s="138" t="s">
        <v>696</v>
      </c>
      <c r="F158" s="138" t="s">
        <v>697</v>
      </c>
      <c r="G158" s="132" t="s">
        <v>698</v>
      </c>
      <c r="H158" s="136" t="s">
        <v>699</v>
      </c>
      <c r="I158" s="130" t="s">
        <v>769</v>
      </c>
      <c r="J158" s="130" t="s">
        <v>769</v>
      </c>
      <c r="K158" s="128">
        <v>0</v>
      </c>
      <c r="L158" s="127">
        <v>0</v>
      </c>
      <c r="M158" s="127">
        <v>0</v>
      </c>
      <c r="N158" s="127">
        <v>0</v>
      </c>
      <c r="O158" s="127">
        <v>0</v>
      </c>
      <c r="P158" s="126">
        <v>0</v>
      </c>
      <c r="Q158" s="126">
        <v>0</v>
      </c>
    </row>
    <row r="159" spans="1:17" s="125" customFormat="1" x14ac:dyDescent="0.2">
      <c r="A159" s="136" t="s">
        <v>30</v>
      </c>
      <c r="B159" s="136" t="s">
        <v>700</v>
      </c>
      <c r="C159" s="138" t="s">
        <v>32</v>
      </c>
      <c r="D159" s="138" t="s">
        <v>48</v>
      </c>
      <c r="E159" s="138" t="s">
        <v>701</v>
      </c>
      <c r="F159" s="138" t="s">
        <v>702</v>
      </c>
      <c r="G159" s="132" t="s">
        <v>703</v>
      </c>
      <c r="H159" s="136" t="s">
        <v>704</v>
      </c>
      <c r="I159" s="130" t="s">
        <v>768</v>
      </c>
      <c r="J159" s="130" t="s">
        <v>768</v>
      </c>
      <c r="K159" s="128">
        <v>55042</v>
      </c>
      <c r="L159" s="127">
        <v>13669</v>
      </c>
      <c r="M159" s="127">
        <v>78</v>
      </c>
      <c r="N159" s="127">
        <v>41242</v>
      </c>
      <c r="O159" s="127">
        <v>53</v>
      </c>
      <c r="P159" s="126">
        <v>55042</v>
      </c>
      <c r="Q159" s="126">
        <v>0</v>
      </c>
    </row>
    <row r="160" spans="1:17" s="125" customFormat="1" x14ac:dyDescent="0.2">
      <c r="A160" s="136" t="s">
        <v>30</v>
      </c>
      <c r="B160" s="136" t="s">
        <v>705</v>
      </c>
      <c r="C160" s="138" t="s">
        <v>32</v>
      </c>
      <c r="D160" s="138" t="s">
        <v>33</v>
      </c>
      <c r="E160" s="138" t="s">
        <v>706</v>
      </c>
      <c r="F160" s="138" t="s">
        <v>707</v>
      </c>
      <c r="G160" s="132" t="s">
        <v>708</v>
      </c>
      <c r="H160" s="136" t="s">
        <v>709</v>
      </c>
      <c r="I160" s="130" t="s">
        <v>769</v>
      </c>
      <c r="J160" s="130" t="s">
        <v>769</v>
      </c>
      <c r="K160" s="128">
        <v>0</v>
      </c>
      <c r="L160" s="127">
        <v>0</v>
      </c>
      <c r="M160" s="127">
        <v>0</v>
      </c>
      <c r="N160" s="127">
        <v>0</v>
      </c>
      <c r="O160" s="127">
        <v>0</v>
      </c>
      <c r="P160" s="126">
        <v>0</v>
      </c>
      <c r="Q160" s="126">
        <v>0</v>
      </c>
    </row>
    <row r="161" spans="1:18" s="125" customFormat="1" x14ac:dyDescent="0.2">
      <c r="A161" s="136" t="s">
        <v>30</v>
      </c>
      <c r="B161" s="136" t="s">
        <v>710</v>
      </c>
      <c r="C161" s="138" t="s">
        <v>32</v>
      </c>
      <c r="D161" s="138" t="s">
        <v>152</v>
      </c>
      <c r="E161" s="138" t="s">
        <v>711</v>
      </c>
      <c r="F161" s="138" t="s">
        <v>712</v>
      </c>
      <c r="G161" s="132" t="s">
        <v>713</v>
      </c>
      <c r="H161" s="136" t="s">
        <v>714</v>
      </c>
      <c r="I161" s="130" t="s">
        <v>769</v>
      </c>
      <c r="J161" s="130" t="s">
        <v>769</v>
      </c>
      <c r="K161" s="128">
        <v>0</v>
      </c>
      <c r="L161" s="127">
        <v>0</v>
      </c>
      <c r="M161" s="127">
        <v>0</v>
      </c>
      <c r="N161" s="127">
        <v>0</v>
      </c>
      <c r="O161" s="127">
        <v>0</v>
      </c>
      <c r="P161" s="126">
        <v>0</v>
      </c>
      <c r="Q161" s="126">
        <v>0</v>
      </c>
    </row>
    <row r="162" spans="1:18" s="125" customFormat="1" x14ac:dyDescent="0.2">
      <c r="A162" s="136" t="s">
        <v>30</v>
      </c>
      <c r="B162" s="136" t="s">
        <v>715</v>
      </c>
      <c r="C162" s="138" t="s">
        <v>32</v>
      </c>
      <c r="D162" s="138" t="s">
        <v>95</v>
      </c>
      <c r="E162" s="138" t="s">
        <v>716</v>
      </c>
      <c r="F162" s="138" t="s">
        <v>717</v>
      </c>
      <c r="G162" s="132" t="s">
        <v>718</v>
      </c>
      <c r="H162" s="136" t="s">
        <v>719</v>
      </c>
      <c r="I162" s="129" t="s">
        <v>768</v>
      </c>
      <c r="J162" s="130" t="s">
        <v>769</v>
      </c>
      <c r="K162" s="128">
        <v>0</v>
      </c>
      <c r="L162" s="127">
        <v>0</v>
      </c>
      <c r="M162" s="127">
        <v>0</v>
      </c>
      <c r="N162" s="127">
        <v>0</v>
      </c>
      <c r="O162" s="127">
        <v>0</v>
      </c>
      <c r="P162" s="126">
        <v>0</v>
      </c>
      <c r="Q162" s="126">
        <v>0</v>
      </c>
    </row>
    <row r="163" spans="1:18" s="125" customFormat="1" x14ac:dyDescent="0.2">
      <c r="A163" s="136" t="s">
        <v>30</v>
      </c>
      <c r="B163" s="136" t="s">
        <v>720</v>
      </c>
      <c r="C163" s="138" t="s">
        <v>32</v>
      </c>
      <c r="D163" s="138" t="s">
        <v>81</v>
      </c>
      <c r="E163" s="138" t="s">
        <v>721</v>
      </c>
      <c r="F163" s="138" t="s">
        <v>722</v>
      </c>
      <c r="G163" s="132" t="s">
        <v>723</v>
      </c>
      <c r="H163" s="136" t="s">
        <v>724</v>
      </c>
      <c r="I163" s="130" t="s">
        <v>769</v>
      </c>
      <c r="J163" s="130" t="s">
        <v>769</v>
      </c>
      <c r="K163" s="128">
        <v>0</v>
      </c>
      <c r="L163" s="127">
        <v>0</v>
      </c>
      <c r="M163" s="127">
        <v>0</v>
      </c>
      <c r="N163" s="127">
        <v>0</v>
      </c>
      <c r="O163" s="127">
        <v>0</v>
      </c>
      <c r="P163" s="126">
        <v>0</v>
      </c>
      <c r="Q163" s="126">
        <v>0</v>
      </c>
    </row>
    <row r="164" spans="1:18" s="125" customFormat="1" x14ac:dyDescent="0.2">
      <c r="A164" s="136" t="s">
        <v>30</v>
      </c>
      <c r="B164" s="136" t="s">
        <v>725</v>
      </c>
      <c r="C164" s="138" t="s">
        <v>32</v>
      </c>
      <c r="D164" s="138" t="s">
        <v>33</v>
      </c>
      <c r="E164" s="138" t="s">
        <v>726</v>
      </c>
      <c r="F164" s="138" t="s">
        <v>727</v>
      </c>
      <c r="G164" s="132" t="s">
        <v>728</v>
      </c>
      <c r="H164" s="136" t="s">
        <v>729</v>
      </c>
      <c r="I164" s="130" t="s">
        <v>768</v>
      </c>
      <c r="J164" s="130" t="s">
        <v>768</v>
      </c>
      <c r="K164" s="128">
        <v>25291</v>
      </c>
      <c r="L164" s="127">
        <v>6281</v>
      </c>
      <c r="M164" s="127">
        <v>36</v>
      </c>
      <c r="N164" s="127">
        <v>0</v>
      </c>
      <c r="O164" s="127">
        <v>18974</v>
      </c>
      <c r="P164" s="126">
        <v>25291</v>
      </c>
      <c r="Q164" s="126">
        <v>0</v>
      </c>
    </row>
    <row r="165" spans="1:18" s="125" customFormat="1" x14ac:dyDescent="0.2">
      <c r="A165" s="136" t="s">
        <v>30</v>
      </c>
      <c r="B165" s="136" t="s">
        <v>730</v>
      </c>
      <c r="C165" s="138" t="s">
        <v>32</v>
      </c>
      <c r="D165" s="138" t="s">
        <v>33</v>
      </c>
      <c r="E165" s="138" t="s">
        <v>731</v>
      </c>
      <c r="F165" s="138" t="s">
        <v>732</v>
      </c>
      <c r="G165" s="132" t="s">
        <v>733</v>
      </c>
      <c r="H165" s="136" t="s">
        <v>734</v>
      </c>
      <c r="I165" s="129" t="s">
        <v>768</v>
      </c>
      <c r="J165" s="130" t="s">
        <v>769</v>
      </c>
      <c r="K165" s="128">
        <v>0</v>
      </c>
      <c r="L165" s="127">
        <v>0</v>
      </c>
      <c r="M165" s="127">
        <v>0</v>
      </c>
      <c r="N165" s="127">
        <v>0</v>
      </c>
      <c r="O165" s="127">
        <v>0</v>
      </c>
      <c r="P165" s="126">
        <v>0</v>
      </c>
      <c r="Q165" s="126">
        <v>0</v>
      </c>
    </row>
    <row r="166" spans="1:18" s="125" customFormat="1" x14ac:dyDescent="0.2">
      <c r="A166" s="136" t="s">
        <v>30</v>
      </c>
      <c r="B166" s="135" t="s">
        <v>735</v>
      </c>
      <c r="C166" s="134" t="s">
        <v>32</v>
      </c>
      <c r="D166" s="134" t="s">
        <v>75</v>
      </c>
      <c r="E166" s="134" t="s">
        <v>736</v>
      </c>
      <c r="F166" s="133" t="s">
        <v>737</v>
      </c>
      <c r="G166" s="132" t="s">
        <v>738</v>
      </c>
      <c r="H166" s="131" t="s">
        <v>739</v>
      </c>
      <c r="I166" s="137" t="s">
        <v>768</v>
      </c>
      <c r="J166" s="137" t="s">
        <v>768</v>
      </c>
      <c r="K166" s="128">
        <v>49950</v>
      </c>
      <c r="L166" s="127">
        <v>12404</v>
      </c>
      <c r="M166" s="127">
        <v>71</v>
      </c>
      <c r="N166" s="127">
        <v>37423</v>
      </c>
      <c r="O166" s="127">
        <v>52</v>
      </c>
      <c r="P166" s="126">
        <v>49950</v>
      </c>
      <c r="Q166" s="126">
        <v>0</v>
      </c>
    </row>
    <row r="167" spans="1:18" s="125" customFormat="1" x14ac:dyDescent="0.2">
      <c r="A167" s="136" t="s">
        <v>30</v>
      </c>
      <c r="B167" s="135" t="s">
        <v>740</v>
      </c>
      <c r="C167" s="134" t="s">
        <v>32</v>
      </c>
      <c r="D167" s="134" t="s">
        <v>152</v>
      </c>
      <c r="E167" s="134" t="s">
        <v>741</v>
      </c>
      <c r="F167" s="133" t="s">
        <v>742</v>
      </c>
      <c r="G167" s="132" t="s">
        <v>743</v>
      </c>
      <c r="H167" s="131" t="s">
        <v>744</v>
      </c>
      <c r="I167" s="130" t="s">
        <v>768</v>
      </c>
      <c r="J167" s="130" t="s">
        <v>768</v>
      </c>
      <c r="K167" s="128">
        <v>28273</v>
      </c>
      <c r="L167" s="127">
        <v>7021</v>
      </c>
      <c r="M167" s="127">
        <v>164</v>
      </c>
      <c r="N167" s="127">
        <v>0</v>
      </c>
      <c r="O167" s="127">
        <v>1283</v>
      </c>
      <c r="P167" s="126">
        <v>8468</v>
      </c>
      <c r="Q167" s="126">
        <v>19805</v>
      </c>
    </row>
    <row r="168" spans="1:18" s="125" customFormat="1" x14ac:dyDescent="0.2">
      <c r="A168" s="136" t="s">
        <v>30</v>
      </c>
      <c r="B168" s="135" t="s">
        <v>745</v>
      </c>
      <c r="C168" s="134" t="s">
        <v>32</v>
      </c>
      <c r="D168" s="134" t="s">
        <v>152</v>
      </c>
      <c r="E168" s="134" t="s">
        <v>746</v>
      </c>
      <c r="F168" s="133" t="s">
        <v>747</v>
      </c>
      <c r="G168" s="132" t="s">
        <v>748</v>
      </c>
      <c r="H168" s="131" t="s">
        <v>749</v>
      </c>
      <c r="I168" s="137" t="s">
        <v>768</v>
      </c>
      <c r="J168" s="137" t="s">
        <v>769</v>
      </c>
      <c r="K168" s="128">
        <v>0</v>
      </c>
      <c r="L168" s="127">
        <v>0</v>
      </c>
      <c r="M168" s="127">
        <v>0</v>
      </c>
      <c r="N168" s="127">
        <v>0</v>
      </c>
      <c r="O168" s="127">
        <v>0</v>
      </c>
      <c r="P168" s="126">
        <v>0</v>
      </c>
      <c r="Q168" s="126">
        <v>0</v>
      </c>
    </row>
    <row r="169" spans="1:18" s="125" customFormat="1" x14ac:dyDescent="0.2">
      <c r="A169" s="136" t="s">
        <v>30</v>
      </c>
      <c r="B169" s="135" t="s">
        <v>750</v>
      </c>
      <c r="C169" s="134" t="s">
        <v>32</v>
      </c>
      <c r="D169" s="134" t="s">
        <v>152</v>
      </c>
      <c r="E169" s="134" t="s">
        <v>751</v>
      </c>
      <c r="F169" s="133" t="s">
        <v>752</v>
      </c>
      <c r="G169" s="132" t="s">
        <v>753</v>
      </c>
      <c r="H169" s="131" t="s">
        <v>29</v>
      </c>
      <c r="I169" s="137" t="s">
        <v>768</v>
      </c>
      <c r="J169" s="137" t="s">
        <v>768</v>
      </c>
      <c r="K169" s="128">
        <v>74538</v>
      </c>
      <c r="L169" s="127">
        <v>18510</v>
      </c>
      <c r="M169" s="127">
        <v>105</v>
      </c>
      <c r="N169" s="127">
        <v>55846</v>
      </c>
      <c r="O169" s="127">
        <v>77</v>
      </c>
      <c r="P169" s="126">
        <v>74538</v>
      </c>
      <c r="Q169" s="126">
        <v>0</v>
      </c>
    </row>
    <row r="170" spans="1:18" s="125" customFormat="1" x14ac:dyDescent="0.2">
      <c r="A170" s="136" t="s">
        <v>30</v>
      </c>
      <c r="B170" s="135" t="s">
        <v>754</v>
      </c>
      <c r="C170" s="134" t="s">
        <v>32</v>
      </c>
      <c r="D170" s="134" t="s">
        <v>42</v>
      </c>
      <c r="E170" s="134" t="s">
        <v>755</v>
      </c>
      <c r="F170" s="133" t="s">
        <v>756</v>
      </c>
      <c r="G170" s="132" t="s">
        <v>757</v>
      </c>
      <c r="H170" s="131" t="s">
        <v>758</v>
      </c>
      <c r="I170" s="130" t="s">
        <v>768</v>
      </c>
      <c r="J170" s="130" t="s">
        <v>768</v>
      </c>
      <c r="K170" s="128">
        <v>50431</v>
      </c>
      <c r="L170" s="127">
        <v>8096</v>
      </c>
      <c r="M170" s="127">
        <v>3179</v>
      </c>
      <c r="N170" s="127">
        <v>0</v>
      </c>
      <c r="O170" s="127">
        <v>12608</v>
      </c>
      <c r="P170" s="126">
        <v>23883</v>
      </c>
      <c r="Q170" s="126">
        <v>26548</v>
      </c>
    </row>
    <row r="171" spans="1:18" s="125" customFormat="1" x14ac:dyDescent="0.2">
      <c r="A171" s="136" t="s">
        <v>30</v>
      </c>
      <c r="B171" s="135" t="s">
        <v>759</v>
      </c>
      <c r="C171" s="134" t="s">
        <v>32</v>
      </c>
      <c r="D171" s="134" t="s">
        <v>81</v>
      </c>
      <c r="E171" s="134" t="s">
        <v>760</v>
      </c>
      <c r="F171" s="133" t="s">
        <v>761</v>
      </c>
      <c r="G171" s="132" t="s">
        <v>762</v>
      </c>
      <c r="H171" s="131" t="s">
        <v>763</v>
      </c>
      <c r="I171" s="130" t="s">
        <v>768</v>
      </c>
      <c r="J171" s="129" t="s">
        <v>768</v>
      </c>
      <c r="K171" s="128">
        <v>96236</v>
      </c>
      <c r="L171" s="127">
        <v>0</v>
      </c>
      <c r="M171" s="127">
        <v>0</v>
      </c>
      <c r="N171" s="127">
        <v>17617</v>
      </c>
      <c r="O171" s="127">
        <v>6442</v>
      </c>
      <c r="P171" s="126">
        <v>24059</v>
      </c>
      <c r="Q171" s="126">
        <v>72177</v>
      </c>
    </row>
    <row r="172" spans="1:18" ht="15.75" x14ac:dyDescent="0.25">
      <c r="A172" s="124" t="s">
        <v>992</v>
      </c>
      <c r="B172" s="123"/>
      <c r="C172" s="120"/>
      <c r="D172" s="120"/>
      <c r="E172" s="120"/>
      <c r="F172" s="120"/>
      <c r="G172" s="122"/>
      <c r="H172" s="121"/>
      <c r="I172" s="120"/>
      <c r="J172" s="120"/>
      <c r="K172" s="118">
        <f>SUBTOTAL(109,Table25[Final
Allocation])</f>
        <v>93754285</v>
      </c>
      <c r="L172" s="119">
        <f>SUBTOTAL(109,Table25[1st
Apportionment])</f>
        <v>23191606</v>
      </c>
      <c r="M172" s="119">
        <f>SUBTOTAL(109,Table25[2nd
Apportionment])</f>
        <v>12108639</v>
      </c>
      <c r="N172" s="119">
        <f>SUBTOTAL(109,Table25[3rd
Apportionment])</f>
        <v>8965116</v>
      </c>
      <c r="O172" s="119">
        <f>SUBTOTAL(109,Table25[4th
Apportionment])</f>
        <v>14877431</v>
      </c>
      <c r="P172" s="118">
        <f>SUBTOTAL(109,Table25[Total Paid])</f>
        <v>59142792</v>
      </c>
      <c r="Q172" s="118">
        <f>SUBTOTAL(109,Table25[Balance
Remaining])</f>
        <v>34611493</v>
      </c>
      <c r="R172" s="107"/>
    </row>
    <row r="173" spans="1:18" x14ac:dyDescent="0.2">
      <c r="A173" s="116" t="s">
        <v>765</v>
      </c>
      <c r="B173" s="116"/>
      <c r="C173" s="112"/>
      <c r="J173" s="284" t="s">
        <v>985</v>
      </c>
      <c r="K173" s="285">
        <f>SUMIF(Table25[Direct
Funded
Charter School
Number],"N/A",Table25[Final
Allocation])</f>
        <v>84015213</v>
      </c>
      <c r="N173" s="117"/>
      <c r="O173" s="117"/>
      <c r="P173" s="117"/>
      <c r="Q173" s="117"/>
    </row>
    <row r="174" spans="1:18" x14ac:dyDescent="0.2">
      <c r="A174" s="116" t="s">
        <v>766</v>
      </c>
      <c r="B174" s="116"/>
      <c r="C174" s="112"/>
      <c r="R174" s="115"/>
    </row>
    <row r="175" spans="1:18" x14ac:dyDescent="0.2">
      <c r="A175" s="114" t="s">
        <v>870</v>
      </c>
      <c r="B175" s="113"/>
      <c r="C175" s="112"/>
    </row>
  </sheetData>
  <conditionalFormatting sqref="G115">
    <cfRule type="duplicateValues" dxfId="310" priority="1"/>
  </conditionalFormatting>
  <conditionalFormatting sqref="G116:G171 G6:G114">
    <cfRule type="duplicateValues" dxfId="309" priority="2"/>
  </conditionalFormatting>
  <conditionalFormatting sqref="B6:B171">
    <cfRule type="duplicateValues" dxfId="308" priority="3"/>
  </conditionalFormatting>
  <hyperlinks>
    <hyperlink ref="A4" r:id="rId1" display="https://www.cde.ca.gov/fg/fo/r14/title1pa20apptoverview.asp" xr:uid="{29621698-9638-46D6-993A-A22301614E0E}"/>
  </hyperlinks>
  <pageMargins left="0.7" right="0.7" top="0.75" bottom="0.75" header="0.3" footer="0.3"/>
  <pageSetup paperSize="5" scale="48" fitToHeight="0" orientation="landscape" r:id="rId2"/>
  <headerFooter>
    <oddFooter>&amp;CPage &amp;P of &amp;N</oddFooter>
  </headerFooter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064B0-E547-4AFC-B0CE-E8448FAEE436}">
  <sheetPr>
    <pageSetUpPr fitToPage="1"/>
  </sheetPr>
  <dimension ref="A1:Q175"/>
  <sheetViews>
    <sheetView workbookViewId="0">
      <pane ySplit="8" topLeftCell="A155" activePane="bottomLeft" state="frozen"/>
      <selection pane="bottomLeft" activeCell="A172" sqref="A172"/>
    </sheetView>
  </sheetViews>
  <sheetFormatPr defaultColWidth="9.21875" defaultRowHeight="15" x14ac:dyDescent="0.2"/>
  <cols>
    <col min="1" max="1" width="14.44140625" style="187" customWidth="1"/>
    <col min="2" max="2" width="15.77734375" style="187" bestFit="1" customWidth="1"/>
    <col min="3" max="3" width="7.33203125" style="187" bestFit="1" customWidth="1"/>
    <col min="4" max="4" width="7.109375" style="187" bestFit="1" customWidth="1"/>
    <col min="5" max="5" width="8.33203125" style="187" bestFit="1" customWidth="1"/>
    <col min="6" max="6" width="10.6640625" style="187" customWidth="1"/>
    <col min="7" max="7" width="12.77734375" style="187" customWidth="1"/>
    <col min="8" max="8" width="40.6640625" style="187" customWidth="1"/>
    <col min="9" max="9" width="16.6640625" style="187" bestFit="1" customWidth="1"/>
    <col min="10" max="10" width="10.6640625" style="187" customWidth="1"/>
    <col min="11" max="11" width="11.77734375" style="187" customWidth="1"/>
    <col min="12" max="12" width="11.44140625" style="187" customWidth="1"/>
    <col min="13" max="13" width="14.6640625" style="187" bestFit="1" customWidth="1"/>
    <col min="14" max="14" width="14.21875" style="187" customWidth="1"/>
    <col min="15" max="15" width="15.5546875" style="187" customWidth="1"/>
    <col min="16" max="17" width="13.88671875" style="187" bestFit="1" customWidth="1"/>
    <col min="18" max="16384" width="9.21875" style="187"/>
  </cols>
  <sheetData>
    <row r="1" spans="1:17" ht="20.25" x14ac:dyDescent="0.3">
      <c r="A1" s="211" t="s">
        <v>953</v>
      </c>
      <c r="B1" s="210"/>
    </row>
    <row r="2" spans="1:17" ht="18" x14ac:dyDescent="0.25">
      <c r="A2" s="209" t="s">
        <v>952</v>
      </c>
      <c r="B2" s="208"/>
    </row>
    <row r="3" spans="1:17" ht="15.95" customHeight="1" x14ac:dyDescent="0.25">
      <c r="A3" s="207" t="s">
        <v>951</v>
      </c>
      <c r="B3" s="206"/>
    </row>
    <row r="4" spans="1:17" ht="15.95" customHeight="1" x14ac:dyDescent="0.2">
      <c r="A4" s="5" t="s">
        <v>950</v>
      </c>
      <c r="B4" s="5"/>
    </row>
    <row r="5" spans="1:17" ht="15.95" customHeight="1" x14ac:dyDescent="0.2">
      <c r="A5" s="5" t="s">
        <v>949</v>
      </c>
      <c r="B5" s="5"/>
    </row>
    <row r="6" spans="1:17" ht="15.95" customHeight="1" x14ac:dyDescent="0.2">
      <c r="A6" s="5" t="s">
        <v>948</v>
      </c>
      <c r="B6" s="5"/>
    </row>
    <row r="7" spans="1:17" ht="15.95" customHeight="1" x14ac:dyDescent="0.2">
      <c r="A7" s="5" t="s">
        <v>947</v>
      </c>
      <c r="B7" s="205"/>
    </row>
    <row r="8" spans="1:17" ht="78.75" x14ac:dyDescent="0.25">
      <c r="A8" s="8" t="s">
        <v>895</v>
      </c>
      <c r="B8" s="8" t="s">
        <v>6</v>
      </c>
      <c r="C8" s="8" t="s">
        <v>7</v>
      </c>
      <c r="D8" s="8" t="s">
        <v>8</v>
      </c>
      <c r="E8" s="8" t="s">
        <v>9</v>
      </c>
      <c r="F8" s="8" t="s">
        <v>10</v>
      </c>
      <c r="G8" s="8" t="s">
        <v>894</v>
      </c>
      <c r="H8" s="8" t="s">
        <v>12</v>
      </c>
      <c r="I8" s="8" t="s">
        <v>946</v>
      </c>
      <c r="J8" s="8" t="s">
        <v>16</v>
      </c>
      <c r="K8" s="8" t="s">
        <v>17</v>
      </c>
      <c r="L8" s="8" t="s">
        <v>945</v>
      </c>
      <c r="M8" s="9" t="s">
        <v>944</v>
      </c>
      <c r="N8" s="10" t="s">
        <v>890</v>
      </c>
      <c r="O8" s="10" t="s">
        <v>943</v>
      </c>
      <c r="P8" s="10" t="s">
        <v>25</v>
      </c>
      <c r="Q8" s="10" t="s">
        <v>773</v>
      </c>
    </row>
    <row r="9" spans="1:17" ht="15.95" customHeight="1" x14ac:dyDescent="0.2">
      <c r="A9" s="200" t="s">
        <v>30</v>
      </c>
      <c r="B9" s="5" t="s">
        <v>31</v>
      </c>
      <c r="C9" s="198" t="s">
        <v>32</v>
      </c>
      <c r="D9" s="198" t="s">
        <v>33</v>
      </c>
      <c r="E9" s="198" t="s">
        <v>26</v>
      </c>
      <c r="F9" s="198" t="s">
        <v>27</v>
      </c>
      <c r="G9" s="198" t="s">
        <v>33</v>
      </c>
      <c r="H9" s="199" t="s">
        <v>34</v>
      </c>
      <c r="I9" s="195">
        <v>5534823</v>
      </c>
      <c r="J9" s="198" t="s">
        <v>768</v>
      </c>
      <c r="K9" s="198" t="s">
        <v>768</v>
      </c>
      <c r="L9" s="198" t="s">
        <v>768</v>
      </c>
      <c r="M9" s="197">
        <v>5534823</v>
      </c>
      <c r="N9" s="197">
        <v>555002</v>
      </c>
      <c r="O9" s="196">
        <v>0</v>
      </c>
      <c r="P9" s="195">
        <v>555002</v>
      </c>
      <c r="Q9" s="195">
        <v>4979821</v>
      </c>
    </row>
    <row r="10" spans="1:17" ht="15.95" customHeight="1" x14ac:dyDescent="0.2">
      <c r="A10" s="200" t="s">
        <v>30</v>
      </c>
      <c r="B10" s="5" t="s">
        <v>35</v>
      </c>
      <c r="C10" s="198" t="s">
        <v>32</v>
      </c>
      <c r="D10" s="198" t="s">
        <v>36</v>
      </c>
      <c r="E10" s="198" t="s">
        <v>26</v>
      </c>
      <c r="F10" s="198" t="s">
        <v>27</v>
      </c>
      <c r="G10" s="198" t="s">
        <v>36</v>
      </c>
      <c r="H10" s="199" t="s">
        <v>37</v>
      </c>
      <c r="I10" s="195">
        <v>595344</v>
      </c>
      <c r="J10" s="198" t="s">
        <v>768</v>
      </c>
      <c r="K10" s="198" t="s">
        <v>768</v>
      </c>
      <c r="L10" s="198" t="s">
        <v>768</v>
      </c>
      <c r="M10" s="197">
        <v>595344</v>
      </c>
      <c r="N10" s="197">
        <v>59698</v>
      </c>
      <c r="O10" s="196">
        <v>188479</v>
      </c>
      <c r="P10" s="195">
        <v>248177</v>
      </c>
      <c r="Q10" s="195">
        <v>347167</v>
      </c>
    </row>
    <row r="11" spans="1:17" ht="15.95" customHeight="1" x14ac:dyDescent="0.2">
      <c r="A11" s="200" t="s">
        <v>30</v>
      </c>
      <c r="B11" s="5" t="s">
        <v>38</v>
      </c>
      <c r="C11" s="198" t="s">
        <v>32</v>
      </c>
      <c r="D11" s="198" t="s">
        <v>39</v>
      </c>
      <c r="E11" s="198" t="s">
        <v>26</v>
      </c>
      <c r="F11" s="198" t="s">
        <v>27</v>
      </c>
      <c r="G11" s="198" t="s">
        <v>39</v>
      </c>
      <c r="H11" s="199" t="s">
        <v>40</v>
      </c>
      <c r="I11" s="195">
        <v>305429</v>
      </c>
      <c r="J11" s="198" t="s">
        <v>768</v>
      </c>
      <c r="K11" s="198" t="s">
        <v>768</v>
      </c>
      <c r="L11" s="198" t="s">
        <v>768</v>
      </c>
      <c r="M11" s="197">
        <v>305429</v>
      </c>
      <c r="N11" s="197">
        <v>30627</v>
      </c>
      <c r="O11" s="196">
        <v>0</v>
      </c>
      <c r="P11" s="195">
        <v>30627</v>
      </c>
      <c r="Q11" s="195">
        <v>274802</v>
      </c>
    </row>
    <row r="12" spans="1:17" ht="15.95" customHeight="1" x14ac:dyDescent="0.2">
      <c r="A12" s="200" t="s">
        <v>30</v>
      </c>
      <c r="B12" s="5" t="s">
        <v>41</v>
      </c>
      <c r="C12" s="198" t="s">
        <v>32</v>
      </c>
      <c r="D12" s="198" t="s">
        <v>42</v>
      </c>
      <c r="E12" s="198" t="s">
        <v>26</v>
      </c>
      <c r="F12" s="198" t="s">
        <v>27</v>
      </c>
      <c r="G12" s="198" t="s">
        <v>42</v>
      </c>
      <c r="H12" s="199" t="s">
        <v>43</v>
      </c>
      <c r="I12" s="195">
        <v>23739702</v>
      </c>
      <c r="J12" s="198" t="s">
        <v>768</v>
      </c>
      <c r="K12" s="198" t="s">
        <v>768</v>
      </c>
      <c r="L12" s="198" t="s">
        <v>768</v>
      </c>
      <c r="M12" s="197">
        <v>23739702</v>
      </c>
      <c r="N12" s="197">
        <v>2380489</v>
      </c>
      <c r="O12" s="196">
        <v>3698660</v>
      </c>
      <c r="P12" s="195">
        <v>6079149</v>
      </c>
      <c r="Q12" s="195">
        <v>17660553</v>
      </c>
    </row>
    <row r="13" spans="1:17" ht="15.95" customHeight="1" x14ac:dyDescent="0.2">
      <c r="A13" s="200" t="s">
        <v>30</v>
      </c>
      <c r="B13" s="5" t="s">
        <v>44</v>
      </c>
      <c r="C13" s="198" t="s">
        <v>32</v>
      </c>
      <c r="D13" s="198" t="s">
        <v>45</v>
      </c>
      <c r="E13" s="198" t="s">
        <v>26</v>
      </c>
      <c r="F13" s="198" t="s">
        <v>27</v>
      </c>
      <c r="G13" s="198" t="s">
        <v>45</v>
      </c>
      <c r="H13" s="199" t="s">
        <v>46</v>
      </c>
      <c r="I13" s="195">
        <v>243125</v>
      </c>
      <c r="J13" s="198" t="s">
        <v>768</v>
      </c>
      <c r="K13" s="198" t="s">
        <v>768</v>
      </c>
      <c r="L13" s="198" t="s">
        <v>768</v>
      </c>
      <c r="M13" s="197">
        <v>243125</v>
      </c>
      <c r="N13" s="197">
        <v>24379</v>
      </c>
      <c r="O13" s="196">
        <v>0</v>
      </c>
      <c r="P13" s="195">
        <v>24379</v>
      </c>
      <c r="Q13" s="195">
        <v>218746</v>
      </c>
    </row>
    <row r="14" spans="1:17" ht="15.95" customHeight="1" x14ac:dyDescent="0.2">
      <c r="A14" s="200" t="s">
        <v>30</v>
      </c>
      <c r="B14" s="5" t="s">
        <v>47</v>
      </c>
      <c r="C14" s="198" t="s">
        <v>32</v>
      </c>
      <c r="D14" s="198" t="s">
        <v>48</v>
      </c>
      <c r="E14" s="198" t="s">
        <v>26</v>
      </c>
      <c r="F14" s="198" t="s">
        <v>27</v>
      </c>
      <c r="G14" s="198" t="s">
        <v>48</v>
      </c>
      <c r="H14" s="199" t="s">
        <v>49</v>
      </c>
      <c r="I14" s="195">
        <v>19825466</v>
      </c>
      <c r="J14" s="198" t="s">
        <v>768</v>
      </c>
      <c r="K14" s="198" t="s">
        <v>768</v>
      </c>
      <c r="L14" s="198" t="s">
        <v>768</v>
      </c>
      <c r="M14" s="197">
        <v>19825466</v>
      </c>
      <c r="N14" s="197">
        <v>1987990</v>
      </c>
      <c r="O14" s="196">
        <v>3155947</v>
      </c>
      <c r="P14" s="195">
        <v>5143937</v>
      </c>
      <c r="Q14" s="195">
        <v>14681529</v>
      </c>
    </row>
    <row r="15" spans="1:17" ht="15.95" customHeight="1" x14ac:dyDescent="0.2">
      <c r="A15" s="200" t="s">
        <v>30</v>
      </c>
      <c r="B15" s="5" t="s">
        <v>50</v>
      </c>
      <c r="C15" s="198" t="s">
        <v>32</v>
      </c>
      <c r="D15" s="198" t="s">
        <v>51</v>
      </c>
      <c r="E15" s="198" t="s">
        <v>26</v>
      </c>
      <c r="F15" s="198" t="s">
        <v>27</v>
      </c>
      <c r="G15" s="198" t="s">
        <v>51</v>
      </c>
      <c r="H15" s="199" t="s">
        <v>52</v>
      </c>
      <c r="I15" s="195">
        <v>576642</v>
      </c>
      <c r="J15" s="198" t="s">
        <v>768</v>
      </c>
      <c r="K15" s="198" t="s">
        <v>768</v>
      </c>
      <c r="L15" s="198" t="s">
        <v>768</v>
      </c>
      <c r="M15" s="197">
        <v>576642</v>
      </c>
      <c r="N15" s="197">
        <v>57823</v>
      </c>
      <c r="O15" s="196">
        <v>0</v>
      </c>
      <c r="P15" s="195">
        <v>57823</v>
      </c>
      <c r="Q15" s="195">
        <v>518819</v>
      </c>
    </row>
    <row r="16" spans="1:17" ht="15.95" customHeight="1" x14ac:dyDescent="0.2">
      <c r="A16" s="200" t="s">
        <v>30</v>
      </c>
      <c r="B16" s="5" t="s">
        <v>53</v>
      </c>
      <c r="C16" s="198" t="s">
        <v>32</v>
      </c>
      <c r="D16" s="198" t="s">
        <v>54</v>
      </c>
      <c r="E16" s="198" t="s">
        <v>26</v>
      </c>
      <c r="F16" s="198" t="s">
        <v>27</v>
      </c>
      <c r="G16" s="198" t="s">
        <v>54</v>
      </c>
      <c r="H16" s="199" t="s">
        <v>55</v>
      </c>
      <c r="I16" s="195">
        <v>74808</v>
      </c>
      <c r="J16" s="198" t="s">
        <v>768</v>
      </c>
      <c r="K16" s="198" t="s">
        <v>768</v>
      </c>
      <c r="L16" s="198" t="s">
        <v>768</v>
      </c>
      <c r="M16" s="197">
        <v>74808</v>
      </c>
      <c r="N16" s="197">
        <v>7501</v>
      </c>
      <c r="O16" s="196">
        <v>0</v>
      </c>
      <c r="P16" s="195">
        <v>7501</v>
      </c>
      <c r="Q16" s="195">
        <v>67307</v>
      </c>
    </row>
    <row r="17" spans="1:17" ht="15.95" customHeight="1" x14ac:dyDescent="0.2">
      <c r="A17" s="200" t="s">
        <v>30</v>
      </c>
      <c r="B17" s="5" t="s">
        <v>56</v>
      </c>
      <c r="C17" s="198" t="s">
        <v>32</v>
      </c>
      <c r="D17" s="198" t="s">
        <v>57</v>
      </c>
      <c r="E17" s="198" t="s">
        <v>26</v>
      </c>
      <c r="F17" s="198" t="s">
        <v>27</v>
      </c>
      <c r="G17" s="198" t="s">
        <v>57</v>
      </c>
      <c r="H17" s="199" t="s">
        <v>58</v>
      </c>
      <c r="I17" s="195">
        <v>810415</v>
      </c>
      <c r="J17" s="198" t="s">
        <v>768</v>
      </c>
      <c r="K17" s="198" t="s">
        <v>768</v>
      </c>
      <c r="L17" s="198" t="s">
        <v>768</v>
      </c>
      <c r="M17" s="197">
        <v>810415</v>
      </c>
      <c r="N17" s="197">
        <v>81264</v>
      </c>
      <c r="O17" s="196">
        <v>729151</v>
      </c>
      <c r="P17" s="195">
        <v>810415</v>
      </c>
      <c r="Q17" s="201">
        <v>0</v>
      </c>
    </row>
    <row r="18" spans="1:17" ht="15.95" customHeight="1" x14ac:dyDescent="0.2">
      <c r="A18" s="200" t="s">
        <v>30</v>
      </c>
      <c r="B18" s="5" t="s">
        <v>59</v>
      </c>
      <c r="C18" s="198" t="s">
        <v>32</v>
      </c>
      <c r="D18" s="198" t="s">
        <v>60</v>
      </c>
      <c r="E18" s="198" t="s">
        <v>26</v>
      </c>
      <c r="F18" s="198" t="s">
        <v>27</v>
      </c>
      <c r="G18" s="198" t="s">
        <v>60</v>
      </c>
      <c r="H18" s="199" t="s">
        <v>61</v>
      </c>
      <c r="I18" s="195">
        <v>1376206</v>
      </c>
      <c r="J18" s="198" t="s">
        <v>768</v>
      </c>
      <c r="K18" s="198" t="s">
        <v>768</v>
      </c>
      <c r="L18" s="198" t="s">
        <v>768</v>
      </c>
      <c r="M18" s="197">
        <v>1376206</v>
      </c>
      <c r="N18" s="197">
        <v>137998</v>
      </c>
      <c r="O18" s="196">
        <v>1144132</v>
      </c>
      <c r="P18" s="195">
        <v>1282130</v>
      </c>
      <c r="Q18" s="195">
        <v>94076</v>
      </c>
    </row>
    <row r="19" spans="1:17" ht="15.95" customHeight="1" x14ac:dyDescent="0.2">
      <c r="A19" s="200" t="s">
        <v>30</v>
      </c>
      <c r="B19" s="5" t="s">
        <v>62</v>
      </c>
      <c r="C19" s="198" t="s">
        <v>32</v>
      </c>
      <c r="D19" s="198" t="s">
        <v>63</v>
      </c>
      <c r="E19" s="198" t="s">
        <v>26</v>
      </c>
      <c r="F19" s="198" t="s">
        <v>27</v>
      </c>
      <c r="G19" s="198" t="s">
        <v>63</v>
      </c>
      <c r="H19" s="199" t="s">
        <v>64</v>
      </c>
      <c r="I19" s="195">
        <v>16024400</v>
      </c>
      <c r="J19" s="198" t="s">
        <v>768</v>
      </c>
      <c r="K19" s="198" t="s">
        <v>768</v>
      </c>
      <c r="L19" s="198" t="s">
        <v>768</v>
      </c>
      <c r="M19" s="197">
        <v>16024400</v>
      </c>
      <c r="N19" s="197">
        <v>1606840</v>
      </c>
      <c r="O19" s="196">
        <v>219039</v>
      </c>
      <c r="P19" s="195">
        <v>1825879</v>
      </c>
      <c r="Q19" s="195">
        <v>14198521</v>
      </c>
    </row>
    <row r="20" spans="1:17" ht="15.95" customHeight="1" x14ac:dyDescent="0.2">
      <c r="A20" s="200" t="s">
        <v>30</v>
      </c>
      <c r="B20" s="5" t="s">
        <v>65</v>
      </c>
      <c r="C20" s="198" t="s">
        <v>32</v>
      </c>
      <c r="D20" s="198" t="s">
        <v>66</v>
      </c>
      <c r="E20" s="198" t="s">
        <v>26</v>
      </c>
      <c r="F20" s="198" t="s">
        <v>27</v>
      </c>
      <c r="G20" s="198" t="s">
        <v>66</v>
      </c>
      <c r="H20" s="199" t="s">
        <v>67</v>
      </c>
      <c r="I20" s="195">
        <v>6398292</v>
      </c>
      <c r="J20" s="198" t="s">
        <v>768</v>
      </c>
      <c r="K20" s="198" t="s">
        <v>768</v>
      </c>
      <c r="L20" s="198" t="s">
        <v>768</v>
      </c>
      <c r="M20" s="197">
        <v>6398292</v>
      </c>
      <c r="N20" s="197">
        <v>641586</v>
      </c>
      <c r="O20" s="196">
        <v>2250353</v>
      </c>
      <c r="P20" s="195">
        <v>2891939</v>
      </c>
      <c r="Q20" s="195">
        <v>3506353</v>
      </c>
    </row>
    <row r="21" spans="1:17" ht="15.95" customHeight="1" x14ac:dyDescent="0.2">
      <c r="A21" s="200" t="s">
        <v>30</v>
      </c>
      <c r="B21" s="5" t="s">
        <v>68</v>
      </c>
      <c r="C21" s="198" t="s">
        <v>32</v>
      </c>
      <c r="D21" s="198" t="s">
        <v>69</v>
      </c>
      <c r="E21" s="198" t="s">
        <v>26</v>
      </c>
      <c r="F21" s="198" t="s">
        <v>27</v>
      </c>
      <c r="G21" s="198" t="s">
        <v>69</v>
      </c>
      <c r="H21" s="199" t="s">
        <v>70</v>
      </c>
      <c r="I21" s="195">
        <v>4207263</v>
      </c>
      <c r="J21" s="198" t="s">
        <v>768</v>
      </c>
      <c r="K21" s="198" t="s">
        <v>768</v>
      </c>
      <c r="L21" s="198" t="s">
        <v>768</v>
      </c>
      <c r="M21" s="197">
        <v>4207263</v>
      </c>
      <c r="N21" s="197">
        <v>421882</v>
      </c>
      <c r="O21" s="196">
        <v>0</v>
      </c>
      <c r="P21" s="195">
        <v>421882</v>
      </c>
      <c r="Q21" s="195">
        <v>3785381</v>
      </c>
    </row>
    <row r="22" spans="1:17" ht="15.95" customHeight="1" x14ac:dyDescent="0.2">
      <c r="A22" s="200" t="s">
        <v>30</v>
      </c>
      <c r="B22" s="5" t="s">
        <v>71</v>
      </c>
      <c r="C22" s="198" t="s">
        <v>32</v>
      </c>
      <c r="D22" s="198" t="s">
        <v>72</v>
      </c>
      <c r="E22" s="198" t="s">
        <v>26</v>
      </c>
      <c r="F22" s="198" t="s">
        <v>27</v>
      </c>
      <c r="G22" s="198" t="s">
        <v>72</v>
      </c>
      <c r="H22" s="199" t="s">
        <v>73</v>
      </c>
      <c r="I22" s="195">
        <v>1362265</v>
      </c>
      <c r="J22" s="198" t="s">
        <v>768</v>
      </c>
      <c r="K22" s="198" t="s">
        <v>768</v>
      </c>
      <c r="L22" s="198" t="s">
        <v>768</v>
      </c>
      <c r="M22" s="197">
        <v>1362265</v>
      </c>
      <c r="N22" s="197">
        <v>136601</v>
      </c>
      <c r="O22" s="196">
        <v>106007</v>
      </c>
      <c r="P22" s="195">
        <v>242608</v>
      </c>
      <c r="Q22" s="195">
        <v>1119657</v>
      </c>
    </row>
    <row r="23" spans="1:17" ht="15.95" customHeight="1" x14ac:dyDescent="0.2">
      <c r="A23" s="200" t="s">
        <v>30</v>
      </c>
      <c r="B23" s="5" t="s">
        <v>74</v>
      </c>
      <c r="C23" s="198" t="s">
        <v>32</v>
      </c>
      <c r="D23" s="198" t="s">
        <v>75</v>
      </c>
      <c r="E23" s="198" t="s">
        <v>26</v>
      </c>
      <c r="F23" s="198" t="s">
        <v>27</v>
      </c>
      <c r="G23" s="198" t="s">
        <v>75</v>
      </c>
      <c r="H23" s="199" t="s">
        <v>76</v>
      </c>
      <c r="I23" s="195">
        <v>16640035</v>
      </c>
      <c r="J23" s="198" t="s">
        <v>768</v>
      </c>
      <c r="K23" s="198" t="s">
        <v>768</v>
      </c>
      <c r="L23" s="198" t="s">
        <v>768</v>
      </c>
      <c r="M23" s="197">
        <v>16640035</v>
      </c>
      <c r="N23" s="197">
        <v>1668573</v>
      </c>
      <c r="O23" s="196">
        <v>2449232</v>
      </c>
      <c r="P23" s="195">
        <v>4117805</v>
      </c>
      <c r="Q23" s="195">
        <v>12522230</v>
      </c>
    </row>
    <row r="24" spans="1:17" ht="15.95" customHeight="1" x14ac:dyDescent="0.2">
      <c r="A24" s="200" t="s">
        <v>30</v>
      </c>
      <c r="B24" s="5" t="s">
        <v>77</v>
      </c>
      <c r="C24" s="198" t="s">
        <v>32</v>
      </c>
      <c r="D24" s="198" t="s">
        <v>78</v>
      </c>
      <c r="E24" s="198" t="s">
        <v>26</v>
      </c>
      <c r="F24" s="198" t="s">
        <v>27</v>
      </c>
      <c r="G24" s="198" t="s">
        <v>78</v>
      </c>
      <c r="H24" s="199" t="s">
        <v>79</v>
      </c>
      <c r="I24" s="195">
        <v>559856</v>
      </c>
      <c r="J24" s="198" t="s">
        <v>768</v>
      </c>
      <c r="K24" s="198" t="s">
        <v>768</v>
      </c>
      <c r="L24" s="198" t="s">
        <v>768</v>
      </c>
      <c r="M24" s="197">
        <v>559856</v>
      </c>
      <c r="N24" s="197">
        <v>56139</v>
      </c>
      <c r="O24" s="196">
        <v>69259</v>
      </c>
      <c r="P24" s="195">
        <v>125398</v>
      </c>
      <c r="Q24" s="195">
        <v>434458</v>
      </c>
    </row>
    <row r="25" spans="1:17" ht="15.95" customHeight="1" x14ac:dyDescent="0.2">
      <c r="A25" s="200" t="s">
        <v>30</v>
      </c>
      <c r="B25" s="5" t="s">
        <v>80</v>
      </c>
      <c r="C25" s="198" t="s">
        <v>32</v>
      </c>
      <c r="D25" s="198" t="s">
        <v>81</v>
      </c>
      <c r="E25" s="198" t="s">
        <v>26</v>
      </c>
      <c r="F25" s="198" t="s">
        <v>27</v>
      </c>
      <c r="G25" s="198" t="s">
        <v>81</v>
      </c>
      <c r="H25" s="199" t="s">
        <v>82</v>
      </c>
      <c r="I25" s="195">
        <v>150710</v>
      </c>
      <c r="J25" s="198" t="s">
        <v>768</v>
      </c>
      <c r="K25" s="198" t="s">
        <v>768</v>
      </c>
      <c r="L25" s="198" t="s">
        <v>768</v>
      </c>
      <c r="M25" s="197">
        <v>150710</v>
      </c>
      <c r="N25" s="197">
        <v>15112</v>
      </c>
      <c r="O25" s="196">
        <v>688</v>
      </c>
      <c r="P25" s="195">
        <v>15800</v>
      </c>
      <c r="Q25" s="195">
        <v>134910</v>
      </c>
    </row>
    <row r="26" spans="1:17" ht="15.95" customHeight="1" x14ac:dyDescent="0.2">
      <c r="A26" s="200" t="s">
        <v>30</v>
      </c>
      <c r="B26" s="5" t="s">
        <v>83</v>
      </c>
      <c r="C26" s="198" t="s">
        <v>32</v>
      </c>
      <c r="D26" s="198" t="s">
        <v>84</v>
      </c>
      <c r="E26" s="198" t="s">
        <v>26</v>
      </c>
      <c r="F26" s="198" t="s">
        <v>27</v>
      </c>
      <c r="G26" s="198" t="s">
        <v>84</v>
      </c>
      <c r="H26" s="199" t="s">
        <v>85</v>
      </c>
      <c r="I26" s="195">
        <v>297822</v>
      </c>
      <c r="J26" s="198" t="s">
        <v>768</v>
      </c>
      <c r="K26" s="198" t="s">
        <v>768</v>
      </c>
      <c r="L26" s="198" t="s">
        <v>768</v>
      </c>
      <c r="M26" s="197">
        <v>297822</v>
      </c>
      <c r="N26" s="197">
        <v>29864</v>
      </c>
      <c r="O26" s="196">
        <v>149313</v>
      </c>
      <c r="P26" s="195">
        <v>179177</v>
      </c>
      <c r="Q26" s="195">
        <v>118645</v>
      </c>
    </row>
    <row r="27" spans="1:17" ht="15.95" customHeight="1" x14ac:dyDescent="0.2">
      <c r="A27" s="200" t="s">
        <v>30</v>
      </c>
      <c r="B27" s="5" t="s">
        <v>86</v>
      </c>
      <c r="C27" s="198" t="s">
        <v>32</v>
      </c>
      <c r="D27" s="198" t="s">
        <v>87</v>
      </c>
      <c r="E27" s="198" t="s">
        <v>26</v>
      </c>
      <c r="F27" s="198" t="s">
        <v>27</v>
      </c>
      <c r="G27" s="198" t="s">
        <v>87</v>
      </c>
      <c r="H27" s="199" t="s">
        <v>28</v>
      </c>
      <c r="I27" s="195">
        <v>2184159</v>
      </c>
      <c r="J27" s="198" t="s">
        <v>768</v>
      </c>
      <c r="K27" s="198" t="s">
        <v>768</v>
      </c>
      <c r="L27" s="198" t="s">
        <v>768</v>
      </c>
      <c r="M27" s="197">
        <v>2184159</v>
      </c>
      <c r="N27" s="197">
        <v>219016</v>
      </c>
      <c r="O27" s="196">
        <v>747182</v>
      </c>
      <c r="P27" s="195">
        <v>966198</v>
      </c>
      <c r="Q27" s="195">
        <v>1217961</v>
      </c>
    </row>
    <row r="28" spans="1:17" ht="15.95" customHeight="1" x14ac:dyDescent="0.2">
      <c r="A28" s="200" t="s">
        <v>30</v>
      </c>
      <c r="B28" s="5" t="s">
        <v>88</v>
      </c>
      <c r="C28" s="198" t="s">
        <v>32</v>
      </c>
      <c r="D28" s="198" t="s">
        <v>89</v>
      </c>
      <c r="E28" s="198" t="s">
        <v>26</v>
      </c>
      <c r="F28" s="198" t="s">
        <v>27</v>
      </c>
      <c r="G28" s="198" t="s">
        <v>89</v>
      </c>
      <c r="H28" s="199" t="s">
        <v>90</v>
      </c>
      <c r="I28" s="195">
        <v>8975317</v>
      </c>
      <c r="J28" s="198" t="s">
        <v>768</v>
      </c>
      <c r="K28" s="198" t="s">
        <v>768</v>
      </c>
      <c r="L28" s="198" t="s">
        <v>768</v>
      </c>
      <c r="M28" s="197">
        <v>8975317</v>
      </c>
      <c r="N28" s="197">
        <v>899996</v>
      </c>
      <c r="O28" s="196">
        <v>1233730</v>
      </c>
      <c r="P28" s="195">
        <v>2133726</v>
      </c>
      <c r="Q28" s="195">
        <v>6841591</v>
      </c>
    </row>
    <row r="29" spans="1:17" ht="15.95" customHeight="1" x14ac:dyDescent="0.2">
      <c r="A29" s="200" t="s">
        <v>30</v>
      </c>
      <c r="B29" s="5" t="s">
        <v>91</v>
      </c>
      <c r="C29" s="198" t="s">
        <v>32</v>
      </c>
      <c r="D29" s="198" t="s">
        <v>92</v>
      </c>
      <c r="E29" s="198" t="s">
        <v>26</v>
      </c>
      <c r="F29" s="198" t="s">
        <v>27</v>
      </c>
      <c r="G29" s="198" t="s">
        <v>92</v>
      </c>
      <c r="H29" s="199" t="s">
        <v>93</v>
      </c>
      <c r="I29" s="195">
        <v>2792514</v>
      </c>
      <c r="J29" s="198" t="s">
        <v>768</v>
      </c>
      <c r="K29" s="198" t="s">
        <v>768</v>
      </c>
      <c r="L29" s="198" t="s">
        <v>768</v>
      </c>
      <c r="M29" s="197">
        <v>2792514</v>
      </c>
      <c r="N29" s="197">
        <v>280018</v>
      </c>
      <c r="O29" s="196">
        <v>27586</v>
      </c>
      <c r="P29" s="195">
        <v>307604</v>
      </c>
      <c r="Q29" s="195">
        <v>2484910</v>
      </c>
    </row>
    <row r="30" spans="1:17" ht="15.95" customHeight="1" x14ac:dyDescent="0.2">
      <c r="A30" s="200" t="s">
        <v>30</v>
      </c>
      <c r="B30" s="5" t="s">
        <v>94</v>
      </c>
      <c r="C30" s="198" t="s">
        <v>32</v>
      </c>
      <c r="D30" s="198" t="s">
        <v>95</v>
      </c>
      <c r="E30" s="198" t="s">
        <v>26</v>
      </c>
      <c r="F30" s="198" t="s">
        <v>27</v>
      </c>
      <c r="G30" s="198" t="s">
        <v>95</v>
      </c>
      <c r="H30" s="199" t="s">
        <v>96</v>
      </c>
      <c r="I30" s="195">
        <v>1786077</v>
      </c>
      <c r="J30" s="198" t="s">
        <v>768</v>
      </c>
      <c r="K30" s="198" t="s">
        <v>768</v>
      </c>
      <c r="L30" s="198" t="s">
        <v>768</v>
      </c>
      <c r="M30" s="197">
        <v>1786077</v>
      </c>
      <c r="N30" s="197">
        <v>179098</v>
      </c>
      <c r="O30" s="196">
        <v>1460900</v>
      </c>
      <c r="P30" s="195">
        <v>1639998</v>
      </c>
      <c r="Q30" s="195">
        <v>146079</v>
      </c>
    </row>
    <row r="31" spans="1:17" ht="15.95" customHeight="1" x14ac:dyDescent="0.2">
      <c r="A31" s="200" t="s">
        <v>30</v>
      </c>
      <c r="B31" s="5" t="s">
        <v>97</v>
      </c>
      <c r="C31" s="198" t="s">
        <v>32</v>
      </c>
      <c r="D31" s="198" t="s">
        <v>98</v>
      </c>
      <c r="E31" s="198" t="s">
        <v>26</v>
      </c>
      <c r="F31" s="198" t="s">
        <v>27</v>
      </c>
      <c r="G31" s="198" t="s">
        <v>98</v>
      </c>
      <c r="H31" s="199" t="s">
        <v>99</v>
      </c>
      <c r="I31" s="195">
        <v>5392215</v>
      </c>
      <c r="J31" s="198" t="s">
        <v>768</v>
      </c>
      <c r="K31" s="198" t="s">
        <v>768</v>
      </c>
      <c r="L31" s="198" t="s">
        <v>768</v>
      </c>
      <c r="M31" s="197">
        <v>5392215</v>
      </c>
      <c r="N31" s="197">
        <v>540702</v>
      </c>
      <c r="O31" s="196">
        <v>2231869</v>
      </c>
      <c r="P31" s="195">
        <v>2772571</v>
      </c>
      <c r="Q31" s="195">
        <v>2619644</v>
      </c>
    </row>
    <row r="32" spans="1:17" ht="15.95" customHeight="1" x14ac:dyDescent="0.2">
      <c r="A32" s="200" t="s">
        <v>30</v>
      </c>
      <c r="B32" s="5" t="s">
        <v>100</v>
      </c>
      <c r="C32" s="198" t="s">
        <v>32</v>
      </c>
      <c r="D32" s="198" t="s">
        <v>101</v>
      </c>
      <c r="E32" s="198" t="s">
        <v>26</v>
      </c>
      <c r="F32" s="198" t="s">
        <v>27</v>
      </c>
      <c r="G32" s="198" t="s">
        <v>101</v>
      </c>
      <c r="H32" s="199" t="s">
        <v>102</v>
      </c>
      <c r="I32" s="195">
        <v>7576548</v>
      </c>
      <c r="J32" s="198" t="s">
        <v>768</v>
      </c>
      <c r="K32" s="198" t="s">
        <v>768</v>
      </c>
      <c r="L32" s="198" t="s">
        <v>768</v>
      </c>
      <c r="M32" s="197">
        <v>7576548</v>
      </c>
      <c r="N32" s="197">
        <v>759735</v>
      </c>
      <c r="O32" s="196">
        <v>0</v>
      </c>
      <c r="P32" s="195">
        <v>759735</v>
      </c>
      <c r="Q32" s="195">
        <v>6816813</v>
      </c>
    </row>
    <row r="33" spans="1:17" ht="15.95" customHeight="1" x14ac:dyDescent="0.2">
      <c r="A33" s="200" t="s">
        <v>30</v>
      </c>
      <c r="B33" s="5" t="s">
        <v>103</v>
      </c>
      <c r="C33" s="198" t="s">
        <v>32</v>
      </c>
      <c r="D33" s="198" t="s">
        <v>104</v>
      </c>
      <c r="E33" s="198" t="s">
        <v>26</v>
      </c>
      <c r="F33" s="198" t="s">
        <v>27</v>
      </c>
      <c r="G33" s="198" t="s">
        <v>104</v>
      </c>
      <c r="H33" s="199" t="s">
        <v>105</v>
      </c>
      <c r="I33" s="195">
        <v>2054091</v>
      </c>
      <c r="J33" s="198" t="s">
        <v>768</v>
      </c>
      <c r="K33" s="198" t="s">
        <v>768</v>
      </c>
      <c r="L33" s="198" t="s">
        <v>768</v>
      </c>
      <c r="M33" s="197">
        <v>2054091</v>
      </c>
      <c r="N33" s="197">
        <v>205973</v>
      </c>
      <c r="O33" s="196">
        <v>0</v>
      </c>
      <c r="P33" s="195">
        <v>205973</v>
      </c>
      <c r="Q33" s="195">
        <v>1848118</v>
      </c>
    </row>
    <row r="34" spans="1:17" ht="15.95" customHeight="1" x14ac:dyDescent="0.2">
      <c r="A34" s="200" t="s">
        <v>30</v>
      </c>
      <c r="B34" s="5" t="s">
        <v>106</v>
      </c>
      <c r="C34" s="198" t="s">
        <v>32</v>
      </c>
      <c r="D34" s="198" t="s">
        <v>107</v>
      </c>
      <c r="E34" s="198" t="s">
        <v>26</v>
      </c>
      <c r="F34" s="198" t="s">
        <v>27</v>
      </c>
      <c r="G34" s="198" t="s">
        <v>107</v>
      </c>
      <c r="H34" s="199" t="s">
        <v>108</v>
      </c>
      <c r="I34" s="195">
        <v>286957</v>
      </c>
      <c r="J34" s="198" t="s">
        <v>768</v>
      </c>
      <c r="K34" s="198" t="s">
        <v>768</v>
      </c>
      <c r="L34" s="198" t="s">
        <v>768</v>
      </c>
      <c r="M34" s="197">
        <v>286957</v>
      </c>
      <c r="N34" s="197">
        <v>28775</v>
      </c>
      <c r="O34" s="196">
        <v>258182</v>
      </c>
      <c r="P34" s="195">
        <v>286957</v>
      </c>
      <c r="Q34" s="201">
        <v>0</v>
      </c>
    </row>
    <row r="35" spans="1:17" ht="15.95" customHeight="1" x14ac:dyDescent="0.2">
      <c r="A35" s="200" t="s">
        <v>30</v>
      </c>
      <c r="B35" s="5" t="s">
        <v>109</v>
      </c>
      <c r="C35" s="198" t="s">
        <v>32</v>
      </c>
      <c r="D35" s="198" t="s">
        <v>110</v>
      </c>
      <c r="E35" s="198" t="s">
        <v>26</v>
      </c>
      <c r="F35" s="198" t="s">
        <v>27</v>
      </c>
      <c r="G35" s="198" t="s">
        <v>110</v>
      </c>
      <c r="H35" s="199" t="s">
        <v>111</v>
      </c>
      <c r="I35" s="195">
        <v>134729708</v>
      </c>
      <c r="J35" s="198" t="s">
        <v>768</v>
      </c>
      <c r="K35" s="198" t="s">
        <v>768</v>
      </c>
      <c r="L35" s="198" t="s">
        <v>768</v>
      </c>
      <c r="M35" s="197">
        <v>134729708</v>
      </c>
      <c r="N35" s="197">
        <v>13509965</v>
      </c>
      <c r="O35" s="196">
        <v>0</v>
      </c>
      <c r="P35" s="195">
        <v>13509965</v>
      </c>
      <c r="Q35" s="195">
        <v>121219743</v>
      </c>
    </row>
    <row r="36" spans="1:17" ht="15.95" customHeight="1" x14ac:dyDescent="0.2">
      <c r="A36" s="200" t="s">
        <v>30</v>
      </c>
      <c r="B36" s="5" t="s">
        <v>112</v>
      </c>
      <c r="C36" s="198" t="s">
        <v>32</v>
      </c>
      <c r="D36" s="198" t="s">
        <v>113</v>
      </c>
      <c r="E36" s="198" t="s">
        <v>26</v>
      </c>
      <c r="F36" s="198" t="s">
        <v>27</v>
      </c>
      <c r="G36" s="198" t="s">
        <v>113</v>
      </c>
      <c r="H36" s="199" t="s">
        <v>114</v>
      </c>
      <c r="I36" s="195">
        <v>2464667</v>
      </c>
      <c r="J36" s="198" t="s">
        <v>768</v>
      </c>
      <c r="K36" s="198" t="s">
        <v>768</v>
      </c>
      <c r="L36" s="198" t="s">
        <v>768</v>
      </c>
      <c r="M36" s="197">
        <v>2464667</v>
      </c>
      <c r="N36" s="197">
        <v>247144</v>
      </c>
      <c r="O36" s="196">
        <v>2217523</v>
      </c>
      <c r="P36" s="195">
        <v>2464667</v>
      </c>
      <c r="Q36" s="201">
        <v>0</v>
      </c>
    </row>
    <row r="37" spans="1:17" ht="15.95" customHeight="1" x14ac:dyDescent="0.2">
      <c r="A37" s="200" t="s">
        <v>30</v>
      </c>
      <c r="B37" s="5" t="s">
        <v>115</v>
      </c>
      <c r="C37" s="198" t="s">
        <v>32</v>
      </c>
      <c r="D37" s="198" t="s">
        <v>116</v>
      </c>
      <c r="E37" s="198" t="s">
        <v>26</v>
      </c>
      <c r="F37" s="198" t="s">
        <v>27</v>
      </c>
      <c r="G37" s="198" t="s">
        <v>116</v>
      </c>
      <c r="H37" s="199" t="s">
        <v>117</v>
      </c>
      <c r="I37" s="195">
        <v>227885</v>
      </c>
      <c r="J37" s="198" t="s">
        <v>768</v>
      </c>
      <c r="K37" s="198" t="s">
        <v>768</v>
      </c>
      <c r="L37" s="198" t="s">
        <v>768</v>
      </c>
      <c r="M37" s="197">
        <v>227885</v>
      </c>
      <c r="N37" s="197">
        <v>22851</v>
      </c>
      <c r="O37" s="196">
        <v>0</v>
      </c>
      <c r="P37" s="195">
        <v>22851</v>
      </c>
      <c r="Q37" s="195">
        <v>205034</v>
      </c>
    </row>
    <row r="38" spans="1:17" ht="15.95" customHeight="1" x14ac:dyDescent="0.2">
      <c r="A38" s="200" t="s">
        <v>30</v>
      </c>
      <c r="B38" s="5" t="s">
        <v>118</v>
      </c>
      <c r="C38" s="198" t="s">
        <v>32</v>
      </c>
      <c r="D38" s="198" t="s">
        <v>119</v>
      </c>
      <c r="E38" s="198" t="s">
        <v>26</v>
      </c>
      <c r="F38" s="198" t="s">
        <v>27</v>
      </c>
      <c r="G38" s="198" t="s">
        <v>119</v>
      </c>
      <c r="H38" s="199" t="s">
        <v>120</v>
      </c>
      <c r="I38" s="195">
        <v>2075910</v>
      </c>
      <c r="J38" s="198" t="s">
        <v>768</v>
      </c>
      <c r="K38" s="198" t="s">
        <v>768</v>
      </c>
      <c r="L38" s="198" t="s">
        <v>768</v>
      </c>
      <c r="M38" s="197">
        <v>2075910</v>
      </c>
      <c r="N38" s="197">
        <v>208161</v>
      </c>
      <c r="O38" s="196">
        <v>569799</v>
      </c>
      <c r="P38" s="195">
        <v>777960</v>
      </c>
      <c r="Q38" s="195">
        <v>1297950</v>
      </c>
    </row>
    <row r="39" spans="1:17" ht="15.95" customHeight="1" x14ac:dyDescent="0.2">
      <c r="A39" s="200" t="s">
        <v>30</v>
      </c>
      <c r="B39" s="5" t="s">
        <v>121</v>
      </c>
      <c r="C39" s="198" t="s">
        <v>32</v>
      </c>
      <c r="D39" s="198" t="s">
        <v>122</v>
      </c>
      <c r="E39" s="198" t="s">
        <v>26</v>
      </c>
      <c r="F39" s="198" t="s">
        <v>27</v>
      </c>
      <c r="G39" s="198" t="s">
        <v>122</v>
      </c>
      <c r="H39" s="199" t="s">
        <v>123</v>
      </c>
      <c r="I39" s="195">
        <v>4674862</v>
      </c>
      <c r="J39" s="198" t="s">
        <v>768</v>
      </c>
      <c r="K39" s="198" t="s">
        <v>768</v>
      </c>
      <c r="L39" s="198" t="s">
        <v>768</v>
      </c>
      <c r="M39" s="197">
        <v>4674862</v>
      </c>
      <c r="N39" s="197">
        <v>468770</v>
      </c>
      <c r="O39" s="196">
        <v>2169500</v>
      </c>
      <c r="P39" s="195">
        <v>2638270</v>
      </c>
      <c r="Q39" s="195">
        <v>2036592</v>
      </c>
    </row>
    <row r="40" spans="1:17" ht="15.95" customHeight="1" x14ac:dyDescent="0.2">
      <c r="A40" s="200" t="s">
        <v>30</v>
      </c>
      <c r="B40" s="5" t="s">
        <v>124</v>
      </c>
      <c r="C40" s="198" t="s">
        <v>32</v>
      </c>
      <c r="D40" s="198" t="s">
        <v>125</v>
      </c>
      <c r="E40" s="198" t="s">
        <v>26</v>
      </c>
      <c r="F40" s="198" t="s">
        <v>27</v>
      </c>
      <c r="G40" s="198" t="s">
        <v>125</v>
      </c>
      <c r="H40" s="199" t="s">
        <v>126</v>
      </c>
      <c r="I40" s="195">
        <v>589110</v>
      </c>
      <c r="J40" s="198" t="s">
        <v>768</v>
      </c>
      <c r="K40" s="198" t="s">
        <v>768</v>
      </c>
      <c r="L40" s="198" t="s">
        <v>768</v>
      </c>
      <c r="M40" s="197">
        <v>589110</v>
      </c>
      <c r="N40" s="197">
        <v>59073</v>
      </c>
      <c r="O40" s="196">
        <v>0</v>
      </c>
      <c r="P40" s="195">
        <v>59073</v>
      </c>
      <c r="Q40" s="195">
        <v>530037</v>
      </c>
    </row>
    <row r="41" spans="1:17" ht="15.95" customHeight="1" x14ac:dyDescent="0.2">
      <c r="A41" s="200" t="s">
        <v>30</v>
      </c>
      <c r="B41" s="5" t="s">
        <v>127</v>
      </c>
      <c r="C41" s="198" t="s">
        <v>32</v>
      </c>
      <c r="D41" s="198" t="s">
        <v>128</v>
      </c>
      <c r="E41" s="198" t="s">
        <v>26</v>
      </c>
      <c r="F41" s="198" t="s">
        <v>27</v>
      </c>
      <c r="G41" s="198" t="s">
        <v>128</v>
      </c>
      <c r="H41" s="199" t="s">
        <v>129</v>
      </c>
      <c r="I41" s="195">
        <v>7168177</v>
      </c>
      <c r="J41" s="198" t="s">
        <v>768</v>
      </c>
      <c r="K41" s="198" t="s">
        <v>768</v>
      </c>
      <c r="L41" s="198" t="s">
        <v>768</v>
      </c>
      <c r="M41" s="197">
        <v>7168177</v>
      </c>
      <c r="N41" s="197">
        <v>718786</v>
      </c>
      <c r="O41" s="196">
        <v>988648</v>
      </c>
      <c r="P41" s="195">
        <v>1707434</v>
      </c>
      <c r="Q41" s="195">
        <v>5460743</v>
      </c>
    </row>
    <row r="42" spans="1:17" ht="15.95" customHeight="1" x14ac:dyDescent="0.2">
      <c r="A42" s="200" t="s">
        <v>30</v>
      </c>
      <c r="B42" s="5" t="s">
        <v>130</v>
      </c>
      <c r="C42" s="198" t="s">
        <v>32</v>
      </c>
      <c r="D42" s="198" t="s">
        <v>131</v>
      </c>
      <c r="E42" s="198" t="s">
        <v>26</v>
      </c>
      <c r="F42" s="198" t="s">
        <v>27</v>
      </c>
      <c r="G42" s="198" t="s">
        <v>131</v>
      </c>
      <c r="H42" s="199" t="s">
        <v>132</v>
      </c>
      <c r="I42" s="195">
        <v>0</v>
      </c>
      <c r="J42" s="198" t="s">
        <v>769</v>
      </c>
      <c r="K42" s="198" t="s">
        <v>769</v>
      </c>
      <c r="L42" s="198" t="s">
        <v>769</v>
      </c>
      <c r="M42" s="197">
        <v>0</v>
      </c>
      <c r="N42" s="197">
        <v>0</v>
      </c>
      <c r="O42" s="196">
        <v>0</v>
      </c>
      <c r="P42" s="195">
        <v>0</v>
      </c>
      <c r="Q42" s="201">
        <v>0</v>
      </c>
    </row>
    <row r="43" spans="1:17" ht="15.95" customHeight="1" x14ac:dyDescent="0.2">
      <c r="A43" s="200" t="s">
        <v>30</v>
      </c>
      <c r="B43" s="5" t="s">
        <v>133</v>
      </c>
      <c r="C43" s="198" t="s">
        <v>32</v>
      </c>
      <c r="D43" s="198" t="s">
        <v>134</v>
      </c>
      <c r="E43" s="198" t="s">
        <v>26</v>
      </c>
      <c r="F43" s="198" t="s">
        <v>27</v>
      </c>
      <c r="G43" s="198" t="s">
        <v>134</v>
      </c>
      <c r="H43" s="199" t="s">
        <v>135</v>
      </c>
      <c r="I43" s="195">
        <v>34886333</v>
      </c>
      <c r="J43" s="198" t="s">
        <v>768</v>
      </c>
      <c r="K43" s="198" t="s">
        <v>768</v>
      </c>
      <c r="L43" s="198" t="s">
        <v>768</v>
      </c>
      <c r="M43" s="197">
        <v>34886333</v>
      </c>
      <c r="N43" s="197">
        <v>3498212</v>
      </c>
      <c r="O43" s="196">
        <v>591398</v>
      </c>
      <c r="P43" s="195">
        <v>4089610</v>
      </c>
      <c r="Q43" s="195">
        <v>30796723</v>
      </c>
    </row>
    <row r="44" spans="1:17" ht="15.95" customHeight="1" x14ac:dyDescent="0.2">
      <c r="A44" s="200" t="s">
        <v>30</v>
      </c>
      <c r="B44" s="5" t="s">
        <v>136</v>
      </c>
      <c r="C44" s="198" t="s">
        <v>32</v>
      </c>
      <c r="D44" s="198" t="s">
        <v>137</v>
      </c>
      <c r="E44" s="198" t="s">
        <v>26</v>
      </c>
      <c r="F44" s="198" t="s">
        <v>27</v>
      </c>
      <c r="G44" s="198" t="s">
        <v>137</v>
      </c>
      <c r="H44" s="199" t="s">
        <v>138</v>
      </c>
      <c r="I44" s="195">
        <v>177794</v>
      </c>
      <c r="J44" s="198" t="s">
        <v>768</v>
      </c>
      <c r="K44" s="198" t="s">
        <v>768</v>
      </c>
      <c r="L44" s="198" t="s">
        <v>768</v>
      </c>
      <c r="M44" s="197">
        <v>177794</v>
      </c>
      <c r="N44" s="197">
        <v>17828</v>
      </c>
      <c r="O44" s="196">
        <v>0</v>
      </c>
      <c r="P44" s="195">
        <v>17828</v>
      </c>
      <c r="Q44" s="195">
        <v>159966</v>
      </c>
    </row>
    <row r="45" spans="1:17" ht="15.95" customHeight="1" x14ac:dyDescent="0.2">
      <c r="A45" s="200" t="s">
        <v>30</v>
      </c>
      <c r="B45" s="5" t="s">
        <v>139</v>
      </c>
      <c r="C45" s="198" t="s">
        <v>32</v>
      </c>
      <c r="D45" s="198" t="s">
        <v>140</v>
      </c>
      <c r="E45" s="198" t="s">
        <v>26</v>
      </c>
      <c r="F45" s="198" t="s">
        <v>27</v>
      </c>
      <c r="G45" s="198" t="s">
        <v>140</v>
      </c>
      <c r="H45" s="199" t="s">
        <v>141</v>
      </c>
      <c r="I45" s="195">
        <v>18320373</v>
      </c>
      <c r="J45" s="198" t="s">
        <v>768</v>
      </c>
      <c r="K45" s="198" t="s">
        <v>768</v>
      </c>
      <c r="L45" s="198" t="s">
        <v>768</v>
      </c>
      <c r="M45" s="197">
        <v>18320373</v>
      </c>
      <c r="N45" s="197">
        <v>1837068</v>
      </c>
      <c r="O45" s="196">
        <v>12398</v>
      </c>
      <c r="P45" s="195">
        <v>1849466</v>
      </c>
      <c r="Q45" s="195">
        <v>16470907</v>
      </c>
    </row>
    <row r="46" spans="1:17" ht="15.95" customHeight="1" x14ac:dyDescent="0.2">
      <c r="A46" s="200" t="s">
        <v>30</v>
      </c>
      <c r="B46" s="5" t="s">
        <v>142</v>
      </c>
      <c r="C46" s="198" t="s">
        <v>32</v>
      </c>
      <c r="D46" s="198" t="s">
        <v>143</v>
      </c>
      <c r="E46" s="198" t="s">
        <v>26</v>
      </c>
      <c r="F46" s="198" t="s">
        <v>27</v>
      </c>
      <c r="G46" s="198" t="s">
        <v>143</v>
      </c>
      <c r="H46" s="199" t="s">
        <v>144</v>
      </c>
      <c r="I46" s="195">
        <v>3326351</v>
      </c>
      <c r="J46" s="198" t="s">
        <v>768</v>
      </c>
      <c r="K46" s="198" t="s">
        <v>768</v>
      </c>
      <c r="L46" s="198" t="s">
        <v>768</v>
      </c>
      <c r="M46" s="197">
        <v>3326351</v>
      </c>
      <c r="N46" s="197">
        <v>333548</v>
      </c>
      <c r="O46" s="196">
        <v>2838093</v>
      </c>
      <c r="P46" s="195">
        <v>3171641</v>
      </c>
      <c r="Q46" s="195">
        <v>154710</v>
      </c>
    </row>
    <row r="47" spans="1:17" ht="15.95" customHeight="1" x14ac:dyDescent="0.2">
      <c r="A47" s="200" t="s">
        <v>30</v>
      </c>
      <c r="B47" s="5" t="s">
        <v>145</v>
      </c>
      <c r="C47" s="198" t="s">
        <v>32</v>
      </c>
      <c r="D47" s="198" t="s">
        <v>146</v>
      </c>
      <c r="E47" s="198" t="s">
        <v>26</v>
      </c>
      <c r="F47" s="198" t="s">
        <v>27</v>
      </c>
      <c r="G47" s="198" t="s">
        <v>146</v>
      </c>
      <c r="H47" s="199" t="s">
        <v>147</v>
      </c>
      <c r="I47" s="195">
        <v>12471135</v>
      </c>
      <c r="J47" s="198" t="s">
        <v>768</v>
      </c>
      <c r="K47" s="198" t="s">
        <v>768</v>
      </c>
      <c r="L47" s="198" t="s">
        <v>768</v>
      </c>
      <c r="M47" s="197">
        <v>12471135</v>
      </c>
      <c r="N47" s="197">
        <v>1250538</v>
      </c>
      <c r="O47" s="196">
        <v>80594</v>
      </c>
      <c r="P47" s="195">
        <v>1331132</v>
      </c>
      <c r="Q47" s="195">
        <v>11140003</v>
      </c>
    </row>
    <row r="48" spans="1:17" ht="15.95" customHeight="1" x14ac:dyDescent="0.2">
      <c r="A48" s="200" t="s">
        <v>30</v>
      </c>
      <c r="B48" s="5" t="s">
        <v>148</v>
      </c>
      <c r="C48" s="198" t="s">
        <v>32</v>
      </c>
      <c r="D48" s="198" t="s">
        <v>149</v>
      </c>
      <c r="E48" s="198" t="s">
        <v>26</v>
      </c>
      <c r="F48" s="198" t="s">
        <v>27</v>
      </c>
      <c r="G48" s="198" t="s">
        <v>149</v>
      </c>
      <c r="H48" s="199" t="s">
        <v>150</v>
      </c>
      <c r="I48" s="195">
        <v>8208482</v>
      </c>
      <c r="J48" s="198" t="s">
        <v>768</v>
      </c>
      <c r="K48" s="198" t="s">
        <v>768</v>
      </c>
      <c r="L48" s="198" t="s">
        <v>768</v>
      </c>
      <c r="M48" s="197">
        <v>8208482</v>
      </c>
      <c r="N48" s="197">
        <v>823102</v>
      </c>
      <c r="O48" s="196">
        <v>0</v>
      </c>
      <c r="P48" s="195">
        <v>823102</v>
      </c>
      <c r="Q48" s="195">
        <v>7385380</v>
      </c>
    </row>
    <row r="49" spans="1:17" ht="15.95" customHeight="1" x14ac:dyDescent="0.2">
      <c r="A49" s="200" t="s">
        <v>30</v>
      </c>
      <c r="B49" s="5" t="s">
        <v>151</v>
      </c>
      <c r="C49" s="198" t="s">
        <v>32</v>
      </c>
      <c r="D49" s="198" t="s">
        <v>152</v>
      </c>
      <c r="E49" s="198" t="s">
        <v>26</v>
      </c>
      <c r="F49" s="198" t="s">
        <v>27</v>
      </c>
      <c r="G49" s="198" t="s">
        <v>152</v>
      </c>
      <c r="H49" s="199" t="s">
        <v>153</v>
      </c>
      <c r="I49" s="195">
        <v>377572</v>
      </c>
      <c r="J49" s="198" t="s">
        <v>768</v>
      </c>
      <c r="K49" s="198" t="s">
        <v>768</v>
      </c>
      <c r="L49" s="198" t="s">
        <v>768</v>
      </c>
      <c r="M49" s="197">
        <v>377572</v>
      </c>
      <c r="N49" s="197">
        <v>37861</v>
      </c>
      <c r="O49" s="196">
        <v>0</v>
      </c>
      <c r="P49" s="195">
        <v>37861</v>
      </c>
      <c r="Q49" s="195">
        <v>339711</v>
      </c>
    </row>
    <row r="50" spans="1:17" ht="15.95" customHeight="1" x14ac:dyDescent="0.2">
      <c r="A50" s="200" t="s">
        <v>30</v>
      </c>
      <c r="B50" s="5" t="s">
        <v>154</v>
      </c>
      <c r="C50" s="198" t="s">
        <v>32</v>
      </c>
      <c r="D50" s="198" t="s">
        <v>155</v>
      </c>
      <c r="E50" s="198" t="s">
        <v>26</v>
      </c>
      <c r="F50" s="198" t="s">
        <v>27</v>
      </c>
      <c r="G50" s="198" t="s">
        <v>155</v>
      </c>
      <c r="H50" s="199" t="s">
        <v>156</v>
      </c>
      <c r="I50" s="195">
        <v>2269945</v>
      </c>
      <c r="J50" s="198" t="s">
        <v>768</v>
      </c>
      <c r="K50" s="198" t="s">
        <v>768</v>
      </c>
      <c r="L50" s="198" t="s">
        <v>768</v>
      </c>
      <c r="M50" s="197">
        <v>2269945</v>
      </c>
      <c r="N50" s="197">
        <v>227618</v>
      </c>
      <c r="O50" s="196">
        <v>795751</v>
      </c>
      <c r="P50" s="195">
        <v>1023369</v>
      </c>
      <c r="Q50" s="195">
        <v>1246576</v>
      </c>
    </row>
    <row r="51" spans="1:17" ht="15.95" customHeight="1" x14ac:dyDescent="0.2">
      <c r="A51" s="200" t="s">
        <v>30</v>
      </c>
      <c r="B51" s="5" t="s">
        <v>157</v>
      </c>
      <c r="C51" s="198" t="s">
        <v>32</v>
      </c>
      <c r="D51" s="198" t="s">
        <v>158</v>
      </c>
      <c r="E51" s="198" t="s">
        <v>26</v>
      </c>
      <c r="F51" s="198" t="s">
        <v>27</v>
      </c>
      <c r="G51" s="198" t="s">
        <v>158</v>
      </c>
      <c r="H51" s="199" t="s">
        <v>159</v>
      </c>
      <c r="I51" s="195">
        <v>1206882</v>
      </c>
      <c r="J51" s="198" t="s">
        <v>768</v>
      </c>
      <c r="K51" s="198" t="s">
        <v>768</v>
      </c>
      <c r="L51" s="198" t="s">
        <v>768</v>
      </c>
      <c r="M51" s="197">
        <v>1206882</v>
      </c>
      <c r="N51" s="197">
        <v>121020</v>
      </c>
      <c r="O51" s="196">
        <v>251822</v>
      </c>
      <c r="P51" s="195">
        <v>372842</v>
      </c>
      <c r="Q51" s="195">
        <v>834040</v>
      </c>
    </row>
    <row r="52" spans="1:17" ht="15.95" customHeight="1" x14ac:dyDescent="0.2">
      <c r="A52" s="200" t="s">
        <v>30</v>
      </c>
      <c r="B52" s="5" t="s">
        <v>160</v>
      </c>
      <c r="C52" s="198" t="s">
        <v>32</v>
      </c>
      <c r="D52" s="198" t="s">
        <v>110</v>
      </c>
      <c r="E52" s="198" t="s">
        <v>161</v>
      </c>
      <c r="F52" s="198" t="s">
        <v>162</v>
      </c>
      <c r="G52" s="198" t="s">
        <v>163</v>
      </c>
      <c r="H52" s="199" t="s">
        <v>164</v>
      </c>
      <c r="I52" s="195">
        <v>1207059</v>
      </c>
      <c r="J52" s="198" t="s">
        <v>768</v>
      </c>
      <c r="K52" s="198" t="s">
        <v>768</v>
      </c>
      <c r="L52" s="198" t="s">
        <v>768</v>
      </c>
      <c r="M52" s="197">
        <v>1207059</v>
      </c>
      <c r="N52" s="197">
        <v>121037</v>
      </c>
      <c r="O52" s="196">
        <v>416330</v>
      </c>
      <c r="P52" s="195">
        <v>537367</v>
      </c>
      <c r="Q52" s="195">
        <v>669692</v>
      </c>
    </row>
    <row r="53" spans="1:17" ht="15.95" customHeight="1" x14ac:dyDescent="0.2">
      <c r="A53" s="200" t="s">
        <v>30</v>
      </c>
      <c r="B53" s="5" t="s">
        <v>165</v>
      </c>
      <c r="C53" s="198" t="s">
        <v>32</v>
      </c>
      <c r="D53" s="198" t="s">
        <v>110</v>
      </c>
      <c r="E53" s="198" t="s">
        <v>166</v>
      </c>
      <c r="F53" s="198" t="s">
        <v>167</v>
      </c>
      <c r="G53" s="198" t="s">
        <v>168</v>
      </c>
      <c r="H53" s="199" t="s">
        <v>169</v>
      </c>
      <c r="I53" s="195">
        <v>713643</v>
      </c>
      <c r="J53" s="198" t="s">
        <v>768</v>
      </c>
      <c r="K53" s="198" t="s">
        <v>768</v>
      </c>
      <c r="L53" s="198" t="s">
        <v>768</v>
      </c>
      <c r="M53" s="197">
        <v>713643</v>
      </c>
      <c r="N53" s="197">
        <v>71560</v>
      </c>
      <c r="O53" s="196">
        <v>0</v>
      </c>
      <c r="P53" s="195">
        <v>71560</v>
      </c>
      <c r="Q53" s="195">
        <v>642083</v>
      </c>
    </row>
    <row r="54" spans="1:17" ht="15.95" customHeight="1" x14ac:dyDescent="0.2">
      <c r="A54" s="200" t="s">
        <v>30</v>
      </c>
      <c r="B54" s="5" t="s">
        <v>170</v>
      </c>
      <c r="C54" s="198" t="s">
        <v>32</v>
      </c>
      <c r="D54" s="198" t="s">
        <v>110</v>
      </c>
      <c r="E54" s="198" t="s">
        <v>171</v>
      </c>
      <c r="F54" s="198" t="s">
        <v>172</v>
      </c>
      <c r="G54" s="198" t="s">
        <v>173</v>
      </c>
      <c r="H54" s="199" t="s">
        <v>174</v>
      </c>
      <c r="I54" s="195">
        <v>580920</v>
      </c>
      <c r="J54" s="198" t="s">
        <v>768</v>
      </c>
      <c r="K54" s="198" t="s">
        <v>768</v>
      </c>
      <c r="L54" s="198" t="s">
        <v>768</v>
      </c>
      <c r="M54" s="197">
        <v>580920</v>
      </c>
      <c r="N54" s="197">
        <v>58251</v>
      </c>
      <c r="O54" s="196">
        <v>147926</v>
      </c>
      <c r="P54" s="195">
        <v>206177</v>
      </c>
      <c r="Q54" s="195">
        <v>374743</v>
      </c>
    </row>
    <row r="55" spans="1:17" ht="15.95" customHeight="1" x14ac:dyDescent="0.2">
      <c r="A55" s="200" t="s">
        <v>30</v>
      </c>
      <c r="B55" s="5" t="s">
        <v>175</v>
      </c>
      <c r="C55" s="198" t="s">
        <v>32</v>
      </c>
      <c r="D55" s="198" t="s">
        <v>110</v>
      </c>
      <c r="E55" s="198" t="s">
        <v>176</v>
      </c>
      <c r="F55" s="198" t="s">
        <v>177</v>
      </c>
      <c r="G55" s="198" t="s">
        <v>178</v>
      </c>
      <c r="H55" s="199" t="s">
        <v>179</v>
      </c>
      <c r="I55" s="195">
        <v>1558494</v>
      </c>
      <c r="J55" s="198" t="s">
        <v>768</v>
      </c>
      <c r="K55" s="198" t="s">
        <v>768</v>
      </c>
      <c r="L55" s="198" t="s">
        <v>768</v>
      </c>
      <c r="M55" s="197">
        <v>1558494</v>
      </c>
      <c r="N55" s="197">
        <v>156277</v>
      </c>
      <c r="O55" s="196">
        <v>903453</v>
      </c>
      <c r="P55" s="195">
        <v>1059730</v>
      </c>
      <c r="Q55" s="195">
        <v>498764</v>
      </c>
    </row>
    <row r="56" spans="1:17" ht="15.95" customHeight="1" x14ac:dyDescent="0.2">
      <c r="A56" s="200" t="s">
        <v>30</v>
      </c>
      <c r="B56" s="5" t="s">
        <v>180</v>
      </c>
      <c r="C56" s="198" t="s">
        <v>32</v>
      </c>
      <c r="D56" s="198" t="s">
        <v>140</v>
      </c>
      <c r="E56" s="198" t="s">
        <v>181</v>
      </c>
      <c r="F56" s="198" t="s">
        <v>182</v>
      </c>
      <c r="G56" s="198" t="s">
        <v>183</v>
      </c>
      <c r="H56" s="199" t="s">
        <v>184</v>
      </c>
      <c r="I56" s="195">
        <v>1041935</v>
      </c>
      <c r="J56" s="198" t="s">
        <v>768</v>
      </c>
      <c r="K56" s="198" t="s">
        <v>768</v>
      </c>
      <c r="L56" s="198" t="s">
        <v>768</v>
      </c>
      <c r="M56" s="197">
        <v>1041935</v>
      </c>
      <c r="N56" s="197">
        <v>104480</v>
      </c>
      <c r="O56" s="196">
        <v>0</v>
      </c>
      <c r="P56" s="195">
        <v>104480</v>
      </c>
      <c r="Q56" s="195">
        <v>937455</v>
      </c>
    </row>
    <row r="57" spans="1:17" ht="15.95" customHeight="1" x14ac:dyDescent="0.2">
      <c r="A57" s="200" t="s">
        <v>30</v>
      </c>
      <c r="B57" s="5" t="s">
        <v>185</v>
      </c>
      <c r="C57" s="198" t="s">
        <v>32</v>
      </c>
      <c r="D57" s="198" t="s">
        <v>48</v>
      </c>
      <c r="E57" s="198" t="s">
        <v>186</v>
      </c>
      <c r="F57" s="198" t="s">
        <v>187</v>
      </c>
      <c r="G57" s="198" t="s">
        <v>188</v>
      </c>
      <c r="H57" s="199" t="s">
        <v>189</v>
      </c>
      <c r="I57" s="195">
        <v>328871</v>
      </c>
      <c r="J57" s="198" t="s">
        <v>768</v>
      </c>
      <c r="K57" s="198" t="s">
        <v>768</v>
      </c>
      <c r="L57" s="198" t="s">
        <v>768</v>
      </c>
      <c r="M57" s="197">
        <v>328871</v>
      </c>
      <c r="N57" s="197">
        <v>32977</v>
      </c>
      <c r="O57" s="196">
        <v>18798</v>
      </c>
      <c r="P57" s="195">
        <v>51775</v>
      </c>
      <c r="Q57" s="195">
        <v>277096</v>
      </c>
    </row>
    <row r="58" spans="1:17" ht="15.95" customHeight="1" x14ac:dyDescent="0.2">
      <c r="A58" s="200" t="s">
        <v>30</v>
      </c>
      <c r="B58" s="5" t="s">
        <v>190</v>
      </c>
      <c r="C58" s="198" t="s">
        <v>32</v>
      </c>
      <c r="D58" s="198" t="s">
        <v>48</v>
      </c>
      <c r="E58" s="198" t="s">
        <v>191</v>
      </c>
      <c r="F58" s="198" t="s">
        <v>192</v>
      </c>
      <c r="G58" s="198" t="s">
        <v>193</v>
      </c>
      <c r="H58" s="199" t="s">
        <v>194</v>
      </c>
      <c r="I58" s="195">
        <v>1619543</v>
      </c>
      <c r="J58" s="198" t="s">
        <v>768</v>
      </c>
      <c r="K58" s="198" t="s">
        <v>768</v>
      </c>
      <c r="L58" s="198" t="s">
        <v>768</v>
      </c>
      <c r="M58" s="197">
        <v>1619543</v>
      </c>
      <c r="N58" s="197">
        <v>162399</v>
      </c>
      <c r="O58" s="196">
        <v>28</v>
      </c>
      <c r="P58" s="195">
        <v>162427</v>
      </c>
      <c r="Q58" s="195">
        <v>1457116</v>
      </c>
    </row>
    <row r="59" spans="1:17" ht="15.95" customHeight="1" x14ac:dyDescent="0.2">
      <c r="A59" s="200" t="s">
        <v>30</v>
      </c>
      <c r="B59" s="5" t="s">
        <v>195</v>
      </c>
      <c r="C59" s="198" t="s">
        <v>32</v>
      </c>
      <c r="D59" s="198" t="s">
        <v>110</v>
      </c>
      <c r="E59" s="198" t="s">
        <v>196</v>
      </c>
      <c r="F59" s="198" t="s">
        <v>197</v>
      </c>
      <c r="G59" s="198" t="s">
        <v>198</v>
      </c>
      <c r="H59" s="199" t="s">
        <v>199</v>
      </c>
      <c r="I59" s="195">
        <v>50729</v>
      </c>
      <c r="J59" s="198" t="s">
        <v>768</v>
      </c>
      <c r="K59" s="198" t="s">
        <v>768</v>
      </c>
      <c r="L59" s="198" t="s">
        <v>768</v>
      </c>
      <c r="M59" s="197">
        <v>50729</v>
      </c>
      <c r="N59" s="197">
        <v>5087</v>
      </c>
      <c r="O59" s="196">
        <v>0</v>
      </c>
      <c r="P59" s="195">
        <v>5087</v>
      </c>
      <c r="Q59" s="195">
        <v>45642</v>
      </c>
    </row>
    <row r="60" spans="1:17" ht="15.95" customHeight="1" x14ac:dyDescent="0.2">
      <c r="A60" s="200" t="s">
        <v>30</v>
      </c>
      <c r="B60" s="5" t="s">
        <v>200</v>
      </c>
      <c r="C60" s="198" t="s">
        <v>32</v>
      </c>
      <c r="D60" s="198" t="s">
        <v>110</v>
      </c>
      <c r="E60" s="198" t="s">
        <v>201</v>
      </c>
      <c r="F60" s="198" t="s">
        <v>202</v>
      </c>
      <c r="G60" s="198" t="s">
        <v>203</v>
      </c>
      <c r="H60" s="199" t="s">
        <v>204</v>
      </c>
      <c r="I60" s="195">
        <v>195913</v>
      </c>
      <c r="J60" s="198" t="s">
        <v>768</v>
      </c>
      <c r="K60" s="198" t="s">
        <v>768</v>
      </c>
      <c r="L60" s="198" t="s">
        <v>768</v>
      </c>
      <c r="M60" s="197">
        <v>195913</v>
      </c>
      <c r="N60" s="197">
        <v>19645</v>
      </c>
      <c r="O60" s="196">
        <v>0</v>
      </c>
      <c r="P60" s="195">
        <v>19645</v>
      </c>
      <c r="Q60" s="195">
        <v>176268</v>
      </c>
    </row>
    <row r="61" spans="1:17" ht="15.95" customHeight="1" x14ac:dyDescent="0.2">
      <c r="A61" s="200" t="s">
        <v>30</v>
      </c>
      <c r="B61" s="5" t="s">
        <v>205</v>
      </c>
      <c r="C61" s="198" t="s">
        <v>32</v>
      </c>
      <c r="D61" s="198" t="s">
        <v>66</v>
      </c>
      <c r="E61" s="198" t="s">
        <v>206</v>
      </c>
      <c r="F61" s="198" t="s">
        <v>207</v>
      </c>
      <c r="G61" s="198" t="s">
        <v>208</v>
      </c>
      <c r="H61" s="199" t="s">
        <v>209</v>
      </c>
      <c r="I61" s="195">
        <v>0</v>
      </c>
      <c r="J61" s="198" t="s">
        <v>769</v>
      </c>
      <c r="K61" s="198" t="s">
        <v>769</v>
      </c>
      <c r="L61" s="198" t="s">
        <v>769</v>
      </c>
      <c r="M61" s="197">
        <v>0</v>
      </c>
      <c r="N61" s="197">
        <v>0</v>
      </c>
      <c r="O61" s="196">
        <v>0</v>
      </c>
      <c r="P61" s="195">
        <v>0</v>
      </c>
      <c r="Q61" s="201">
        <v>0</v>
      </c>
    </row>
    <row r="62" spans="1:17" ht="15.95" customHeight="1" x14ac:dyDescent="0.2">
      <c r="A62" s="200" t="s">
        <v>30</v>
      </c>
      <c r="B62" s="5" t="s">
        <v>210</v>
      </c>
      <c r="C62" s="198" t="s">
        <v>32</v>
      </c>
      <c r="D62" s="198" t="s">
        <v>87</v>
      </c>
      <c r="E62" s="198" t="s">
        <v>211</v>
      </c>
      <c r="F62" s="198" t="s">
        <v>212</v>
      </c>
      <c r="G62" s="198" t="s">
        <v>213</v>
      </c>
      <c r="H62" s="199" t="s">
        <v>214</v>
      </c>
      <c r="I62" s="195">
        <v>50729</v>
      </c>
      <c r="J62" s="198" t="s">
        <v>768</v>
      </c>
      <c r="K62" s="198" t="s">
        <v>768</v>
      </c>
      <c r="L62" s="198" t="s">
        <v>768</v>
      </c>
      <c r="M62" s="197">
        <v>50729</v>
      </c>
      <c r="N62" s="197">
        <v>5087</v>
      </c>
      <c r="O62" s="196">
        <v>0</v>
      </c>
      <c r="P62" s="195">
        <v>5087</v>
      </c>
      <c r="Q62" s="195">
        <v>45642</v>
      </c>
    </row>
    <row r="63" spans="1:17" ht="15.95" customHeight="1" x14ac:dyDescent="0.2">
      <c r="A63" s="200" t="s">
        <v>30</v>
      </c>
      <c r="B63" s="5" t="s">
        <v>215</v>
      </c>
      <c r="C63" s="198" t="s">
        <v>32</v>
      </c>
      <c r="D63" s="198" t="s">
        <v>48</v>
      </c>
      <c r="E63" s="198" t="s">
        <v>216</v>
      </c>
      <c r="F63" s="198" t="s">
        <v>217</v>
      </c>
      <c r="G63" s="198" t="s">
        <v>218</v>
      </c>
      <c r="H63" s="199" t="s">
        <v>219</v>
      </c>
      <c r="I63" s="195">
        <v>1498778</v>
      </c>
      <c r="J63" s="198" t="s">
        <v>768</v>
      </c>
      <c r="K63" s="198" t="s">
        <v>768</v>
      </c>
      <c r="L63" s="198" t="s">
        <v>768</v>
      </c>
      <c r="M63" s="197">
        <v>1498778</v>
      </c>
      <c r="N63" s="197">
        <v>150289</v>
      </c>
      <c r="O63" s="196">
        <v>0</v>
      </c>
      <c r="P63" s="195">
        <v>150289</v>
      </c>
      <c r="Q63" s="195">
        <v>1348489</v>
      </c>
    </row>
    <row r="64" spans="1:17" ht="15.95" customHeight="1" x14ac:dyDescent="0.2">
      <c r="A64" s="200" t="s">
        <v>30</v>
      </c>
      <c r="B64" s="5" t="s">
        <v>220</v>
      </c>
      <c r="C64" s="198" t="s">
        <v>32</v>
      </c>
      <c r="D64" s="198" t="s">
        <v>48</v>
      </c>
      <c r="E64" s="198" t="s">
        <v>221</v>
      </c>
      <c r="F64" s="198" t="s">
        <v>222</v>
      </c>
      <c r="G64" s="198" t="s">
        <v>223</v>
      </c>
      <c r="H64" s="199" t="s">
        <v>224</v>
      </c>
      <c r="I64" s="195">
        <v>1251700</v>
      </c>
      <c r="J64" s="198" t="s">
        <v>768</v>
      </c>
      <c r="K64" s="198" t="s">
        <v>768</v>
      </c>
      <c r="L64" s="198" t="s">
        <v>768</v>
      </c>
      <c r="M64" s="197">
        <v>1251700</v>
      </c>
      <c r="N64" s="197">
        <v>125514</v>
      </c>
      <c r="O64" s="196">
        <v>474</v>
      </c>
      <c r="P64" s="195">
        <v>125988</v>
      </c>
      <c r="Q64" s="195">
        <v>1125712</v>
      </c>
    </row>
    <row r="65" spans="1:17" ht="15.95" customHeight="1" x14ac:dyDescent="0.2">
      <c r="A65" s="200" t="s">
        <v>30</v>
      </c>
      <c r="B65" s="5" t="s">
        <v>225</v>
      </c>
      <c r="C65" s="198" t="s">
        <v>32</v>
      </c>
      <c r="D65" s="198" t="s">
        <v>75</v>
      </c>
      <c r="E65" s="198" t="s">
        <v>226</v>
      </c>
      <c r="F65" s="198" t="s">
        <v>227</v>
      </c>
      <c r="G65" s="198" t="s">
        <v>228</v>
      </c>
      <c r="H65" s="199" t="s">
        <v>229</v>
      </c>
      <c r="I65" s="195">
        <v>1771478</v>
      </c>
      <c r="J65" s="198" t="s">
        <v>768</v>
      </c>
      <c r="K65" s="198" t="s">
        <v>768</v>
      </c>
      <c r="L65" s="198" t="s">
        <v>768</v>
      </c>
      <c r="M65" s="197">
        <v>1771478</v>
      </c>
      <c r="N65" s="197">
        <v>177634</v>
      </c>
      <c r="O65" s="196">
        <v>654693</v>
      </c>
      <c r="P65" s="195">
        <v>832327</v>
      </c>
      <c r="Q65" s="195">
        <v>939151</v>
      </c>
    </row>
    <row r="66" spans="1:17" ht="15.95" customHeight="1" x14ac:dyDescent="0.2">
      <c r="A66" s="200" t="s">
        <v>30</v>
      </c>
      <c r="B66" s="5" t="s">
        <v>230</v>
      </c>
      <c r="C66" s="198" t="s">
        <v>32</v>
      </c>
      <c r="D66" s="198" t="s">
        <v>110</v>
      </c>
      <c r="E66" s="198" t="s">
        <v>231</v>
      </c>
      <c r="F66" s="198" t="s">
        <v>232</v>
      </c>
      <c r="G66" s="198" t="s">
        <v>233</v>
      </c>
      <c r="H66" s="199" t="s">
        <v>234</v>
      </c>
      <c r="I66" s="195">
        <v>1185072</v>
      </c>
      <c r="J66" s="198" t="s">
        <v>768</v>
      </c>
      <c r="K66" s="198" t="s">
        <v>768</v>
      </c>
      <c r="L66" s="198" t="s">
        <v>768</v>
      </c>
      <c r="M66" s="197">
        <v>1185072</v>
      </c>
      <c r="N66" s="197">
        <v>118833</v>
      </c>
      <c r="O66" s="196">
        <v>0</v>
      </c>
      <c r="P66" s="195">
        <v>118833</v>
      </c>
      <c r="Q66" s="195">
        <v>1066239</v>
      </c>
    </row>
    <row r="67" spans="1:17" ht="15.95" customHeight="1" x14ac:dyDescent="0.2">
      <c r="A67" s="200" t="s">
        <v>30</v>
      </c>
      <c r="B67" s="5" t="s">
        <v>235</v>
      </c>
      <c r="C67" s="198" t="s">
        <v>32</v>
      </c>
      <c r="D67" s="198" t="s">
        <v>63</v>
      </c>
      <c r="E67" s="198" t="s">
        <v>236</v>
      </c>
      <c r="F67" s="198" t="s">
        <v>237</v>
      </c>
      <c r="G67" s="198" t="s">
        <v>238</v>
      </c>
      <c r="H67" s="199" t="s">
        <v>239</v>
      </c>
      <c r="I67" s="195">
        <v>0</v>
      </c>
      <c r="J67" s="198" t="s">
        <v>769</v>
      </c>
      <c r="K67" s="198" t="s">
        <v>769</v>
      </c>
      <c r="L67" s="198" t="s">
        <v>769</v>
      </c>
      <c r="M67" s="197">
        <v>0</v>
      </c>
      <c r="N67" s="197">
        <v>0</v>
      </c>
      <c r="O67" s="196">
        <v>0</v>
      </c>
      <c r="P67" s="195">
        <v>0</v>
      </c>
      <c r="Q67" s="201">
        <v>0</v>
      </c>
    </row>
    <row r="68" spans="1:17" ht="15.95" customHeight="1" x14ac:dyDescent="0.2">
      <c r="A68" s="200" t="s">
        <v>30</v>
      </c>
      <c r="B68" s="5" t="s">
        <v>240</v>
      </c>
      <c r="C68" s="198" t="s">
        <v>32</v>
      </c>
      <c r="D68" s="198" t="s">
        <v>146</v>
      </c>
      <c r="E68" s="198" t="s">
        <v>241</v>
      </c>
      <c r="F68" s="198" t="s">
        <v>242</v>
      </c>
      <c r="G68" s="198" t="s">
        <v>243</v>
      </c>
      <c r="H68" s="199" t="s">
        <v>244</v>
      </c>
      <c r="I68" s="195">
        <v>0</v>
      </c>
      <c r="J68" s="198" t="s">
        <v>769</v>
      </c>
      <c r="K68" s="198" t="s">
        <v>769</v>
      </c>
      <c r="L68" s="198" t="s">
        <v>769</v>
      </c>
      <c r="M68" s="197">
        <v>0</v>
      </c>
      <c r="N68" s="197">
        <v>0</v>
      </c>
      <c r="O68" s="196">
        <v>0</v>
      </c>
      <c r="P68" s="195">
        <v>0</v>
      </c>
      <c r="Q68" s="201">
        <v>0</v>
      </c>
    </row>
    <row r="69" spans="1:17" ht="15.95" customHeight="1" x14ac:dyDescent="0.2">
      <c r="A69" s="200" t="s">
        <v>30</v>
      </c>
      <c r="B69" s="5" t="s">
        <v>245</v>
      </c>
      <c r="C69" s="198" t="s">
        <v>32</v>
      </c>
      <c r="D69" s="198" t="s">
        <v>78</v>
      </c>
      <c r="E69" s="198" t="s">
        <v>246</v>
      </c>
      <c r="F69" s="198" t="s">
        <v>247</v>
      </c>
      <c r="G69" s="198" t="s">
        <v>248</v>
      </c>
      <c r="H69" s="199" t="s">
        <v>249</v>
      </c>
      <c r="I69" s="195">
        <v>0</v>
      </c>
      <c r="J69" s="198" t="s">
        <v>769</v>
      </c>
      <c r="K69" s="198" t="s">
        <v>769</v>
      </c>
      <c r="L69" s="198" t="s">
        <v>768</v>
      </c>
      <c r="M69" s="197">
        <v>0</v>
      </c>
      <c r="N69" s="197">
        <v>0</v>
      </c>
      <c r="O69" s="196">
        <v>0</v>
      </c>
      <c r="P69" s="195">
        <v>0</v>
      </c>
      <c r="Q69" s="201">
        <v>0</v>
      </c>
    </row>
    <row r="70" spans="1:17" ht="15.95" customHeight="1" x14ac:dyDescent="0.2">
      <c r="A70" s="200" t="s">
        <v>30</v>
      </c>
      <c r="B70" s="5" t="s">
        <v>250</v>
      </c>
      <c r="C70" s="198" t="s">
        <v>32</v>
      </c>
      <c r="D70" s="198" t="s">
        <v>110</v>
      </c>
      <c r="E70" s="198" t="s">
        <v>251</v>
      </c>
      <c r="F70" s="198" t="s">
        <v>252</v>
      </c>
      <c r="G70" s="198" t="s">
        <v>253</v>
      </c>
      <c r="H70" s="199" t="s">
        <v>254</v>
      </c>
      <c r="I70" s="195">
        <v>177861</v>
      </c>
      <c r="J70" s="198" t="s">
        <v>768</v>
      </c>
      <c r="K70" s="198" t="s">
        <v>768</v>
      </c>
      <c r="L70" s="198" t="s">
        <v>768</v>
      </c>
      <c r="M70" s="197">
        <v>177861</v>
      </c>
      <c r="N70" s="197">
        <v>17835</v>
      </c>
      <c r="O70" s="196">
        <v>0</v>
      </c>
      <c r="P70" s="195">
        <v>17835</v>
      </c>
      <c r="Q70" s="195">
        <v>160026</v>
      </c>
    </row>
    <row r="71" spans="1:17" ht="15.95" customHeight="1" x14ac:dyDescent="0.2">
      <c r="A71" s="200" t="s">
        <v>30</v>
      </c>
      <c r="B71" s="5" t="s">
        <v>255</v>
      </c>
      <c r="C71" s="198" t="s">
        <v>32</v>
      </c>
      <c r="D71" s="198" t="s">
        <v>81</v>
      </c>
      <c r="E71" s="198" t="s">
        <v>256</v>
      </c>
      <c r="F71" s="198" t="s">
        <v>257</v>
      </c>
      <c r="G71" s="198" t="s">
        <v>258</v>
      </c>
      <c r="H71" s="199" t="s">
        <v>259</v>
      </c>
      <c r="I71" s="195">
        <v>0</v>
      </c>
      <c r="J71" s="198" t="s">
        <v>769</v>
      </c>
      <c r="K71" s="198" t="s">
        <v>769</v>
      </c>
      <c r="L71" s="198" t="s">
        <v>769</v>
      </c>
      <c r="M71" s="197">
        <v>0</v>
      </c>
      <c r="N71" s="197">
        <v>0</v>
      </c>
      <c r="O71" s="196">
        <v>0</v>
      </c>
      <c r="P71" s="195">
        <v>0</v>
      </c>
      <c r="Q71" s="201">
        <v>0</v>
      </c>
    </row>
    <row r="72" spans="1:17" ht="15.95" customHeight="1" x14ac:dyDescent="0.2">
      <c r="A72" s="200" t="s">
        <v>30</v>
      </c>
      <c r="B72" s="5" t="s">
        <v>260</v>
      </c>
      <c r="C72" s="198" t="s">
        <v>32</v>
      </c>
      <c r="D72" s="198" t="s">
        <v>110</v>
      </c>
      <c r="E72" s="198" t="s">
        <v>261</v>
      </c>
      <c r="F72" s="198" t="s">
        <v>262</v>
      </c>
      <c r="G72" s="198" t="s">
        <v>263</v>
      </c>
      <c r="H72" s="199" t="s">
        <v>264</v>
      </c>
      <c r="I72" s="195">
        <v>245340</v>
      </c>
      <c r="J72" s="198" t="s">
        <v>768</v>
      </c>
      <c r="K72" s="198" t="s">
        <v>768</v>
      </c>
      <c r="L72" s="198" t="s">
        <v>768</v>
      </c>
      <c r="M72" s="197">
        <v>245340</v>
      </c>
      <c r="N72" s="197">
        <v>24601</v>
      </c>
      <c r="O72" s="196">
        <v>13163</v>
      </c>
      <c r="P72" s="195">
        <v>37764</v>
      </c>
      <c r="Q72" s="195">
        <v>207576</v>
      </c>
    </row>
    <row r="73" spans="1:17" ht="15.95" customHeight="1" x14ac:dyDescent="0.2">
      <c r="A73" s="200" t="s">
        <v>30</v>
      </c>
      <c r="B73" s="5" t="s">
        <v>265</v>
      </c>
      <c r="C73" s="198" t="s">
        <v>32</v>
      </c>
      <c r="D73" s="198" t="s">
        <v>110</v>
      </c>
      <c r="E73" s="198" t="s">
        <v>266</v>
      </c>
      <c r="F73" s="198" t="s">
        <v>267</v>
      </c>
      <c r="G73" s="198" t="s">
        <v>268</v>
      </c>
      <c r="H73" s="199" t="s">
        <v>269</v>
      </c>
      <c r="I73" s="195">
        <v>172549</v>
      </c>
      <c r="J73" s="198" t="s">
        <v>768</v>
      </c>
      <c r="K73" s="198" t="s">
        <v>768</v>
      </c>
      <c r="L73" s="198" t="s">
        <v>768</v>
      </c>
      <c r="M73" s="197">
        <v>172549</v>
      </c>
      <c r="N73" s="197">
        <v>17303</v>
      </c>
      <c r="O73" s="196">
        <v>7195</v>
      </c>
      <c r="P73" s="195">
        <v>24498</v>
      </c>
      <c r="Q73" s="195">
        <v>148051</v>
      </c>
    </row>
    <row r="74" spans="1:17" ht="15.95" customHeight="1" x14ac:dyDescent="0.2">
      <c r="A74" s="200" t="s">
        <v>30</v>
      </c>
      <c r="B74" s="5" t="s">
        <v>270</v>
      </c>
      <c r="C74" s="198" t="s">
        <v>32</v>
      </c>
      <c r="D74" s="198" t="s">
        <v>134</v>
      </c>
      <c r="E74" s="198" t="s">
        <v>271</v>
      </c>
      <c r="F74" s="198" t="s">
        <v>272</v>
      </c>
      <c r="G74" s="198" t="s">
        <v>273</v>
      </c>
      <c r="H74" s="199" t="s">
        <v>274</v>
      </c>
      <c r="I74" s="195">
        <v>164668</v>
      </c>
      <c r="J74" s="198" t="s">
        <v>768</v>
      </c>
      <c r="K74" s="198" t="s">
        <v>768</v>
      </c>
      <c r="L74" s="198" t="s">
        <v>768</v>
      </c>
      <c r="M74" s="197">
        <v>164668</v>
      </c>
      <c r="N74" s="197">
        <v>16512</v>
      </c>
      <c r="O74" s="196">
        <v>0</v>
      </c>
      <c r="P74" s="195">
        <v>16512</v>
      </c>
      <c r="Q74" s="195">
        <v>148156</v>
      </c>
    </row>
    <row r="75" spans="1:17" ht="15.95" customHeight="1" x14ac:dyDescent="0.2">
      <c r="A75" s="200" t="s">
        <v>30</v>
      </c>
      <c r="B75" s="5" t="s">
        <v>275</v>
      </c>
      <c r="C75" s="198" t="s">
        <v>32</v>
      </c>
      <c r="D75" s="198" t="s">
        <v>110</v>
      </c>
      <c r="E75" s="198" t="s">
        <v>276</v>
      </c>
      <c r="F75" s="198" t="s">
        <v>277</v>
      </c>
      <c r="G75" s="198" t="s">
        <v>278</v>
      </c>
      <c r="H75" s="199" t="s">
        <v>279</v>
      </c>
      <c r="I75" s="195">
        <v>263766</v>
      </c>
      <c r="J75" s="198" t="s">
        <v>768</v>
      </c>
      <c r="K75" s="198" t="s">
        <v>768</v>
      </c>
      <c r="L75" s="198" t="s">
        <v>768</v>
      </c>
      <c r="M75" s="197">
        <v>263766</v>
      </c>
      <c r="N75" s="197">
        <v>26449</v>
      </c>
      <c r="O75" s="196">
        <v>0</v>
      </c>
      <c r="P75" s="195">
        <v>26449</v>
      </c>
      <c r="Q75" s="195">
        <v>237317</v>
      </c>
    </row>
    <row r="76" spans="1:17" ht="15.95" customHeight="1" x14ac:dyDescent="0.2">
      <c r="A76" s="200" t="s">
        <v>30</v>
      </c>
      <c r="B76" s="5" t="s">
        <v>280</v>
      </c>
      <c r="C76" s="198" t="s">
        <v>32</v>
      </c>
      <c r="D76" s="198" t="s">
        <v>33</v>
      </c>
      <c r="E76" s="198" t="s">
        <v>281</v>
      </c>
      <c r="F76" s="198" t="s">
        <v>282</v>
      </c>
      <c r="G76" s="198" t="s">
        <v>283</v>
      </c>
      <c r="H76" s="199" t="s">
        <v>284</v>
      </c>
      <c r="I76" s="195">
        <v>1109706</v>
      </c>
      <c r="J76" s="198" t="s">
        <v>768</v>
      </c>
      <c r="K76" s="198" t="s">
        <v>768</v>
      </c>
      <c r="L76" s="198" t="s">
        <v>768</v>
      </c>
      <c r="M76" s="197">
        <v>1109706</v>
      </c>
      <c r="N76" s="197">
        <v>111275</v>
      </c>
      <c r="O76" s="196">
        <v>21251</v>
      </c>
      <c r="P76" s="195">
        <v>132526</v>
      </c>
      <c r="Q76" s="195">
        <v>977180</v>
      </c>
    </row>
    <row r="77" spans="1:17" ht="15.95" customHeight="1" x14ac:dyDescent="0.2">
      <c r="A77" s="200" t="s">
        <v>30</v>
      </c>
      <c r="B77" s="5" t="s">
        <v>285</v>
      </c>
      <c r="C77" s="198" t="s">
        <v>32</v>
      </c>
      <c r="D77" s="198" t="s">
        <v>110</v>
      </c>
      <c r="E77" s="198" t="s">
        <v>286</v>
      </c>
      <c r="F77" s="198" t="s">
        <v>287</v>
      </c>
      <c r="G77" s="198" t="s">
        <v>288</v>
      </c>
      <c r="H77" s="199" t="s">
        <v>289</v>
      </c>
      <c r="I77" s="195">
        <v>336495</v>
      </c>
      <c r="J77" s="198" t="s">
        <v>768</v>
      </c>
      <c r="K77" s="198" t="s">
        <v>768</v>
      </c>
      <c r="L77" s="198" t="s">
        <v>768</v>
      </c>
      <c r="M77" s="197">
        <v>336495</v>
      </c>
      <c r="N77" s="197">
        <v>33742</v>
      </c>
      <c r="O77" s="196">
        <v>296498</v>
      </c>
      <c r="P77" s="195">
        <v>330240</v>
      </c>
      <c r="Q77" s="195">
        <v>6255</v>
      </c>
    </row>
    <row r="78" spans="1:17" ht="15.95" customHeight="1" x14ac:dyDescent="0.2">
      <c r="A78" s="200" t="s">
        <v>30</v>
      </c>
      <c r="B78" s="5" t="s">
        <v>290</v>
      </c>
      <c r="C78" s="198" t="s">
        <v>32</v>
      </c>
      <c r="D78" s="198" t="s">
        <v>110</v>
      </c>
      <c r="E78" s="198" t="s">
        <v>291</v>
      </c>
      <c r="F78" s="198" t="s">
        <v>292</v>
      </c>
      <c r="G78" s="198" t="s">
        <v>293</v>
      </c>
      <c r="H78" s="199" t="s">
        <v>294</v>
      </c>
      <c r="I78" s="195">
        <v>493834</v>
      </c>
      <c r="J78" s="198" t="s">
        <v>768</v>
      </c>
      <c r="K78" s="198" t="s">
        <v>768</v>
      </c>
      <c r="L78" s="198" t="s">
        <v>768</v>
      </c>
      <c r="M78" s="197">
        <v>493834</v>
      </c>
      <c r="N78" s="197">
        <v>49519</v>
      </c>
      <c r="O78" s="196">
        <v>0</v>
      </c>
      <c r="P78" s="195">
        <v>49519</v>
      </c>
      <c r="Q78" s="195">
        <v>444315</v>
      </c>
    </row>
    <row r="79" spans="1:17" ht="15.95" customHeight="1" x14ac:dyDescent="0.2">
      <c r="A79" s="200" t="s">
        <v>30</v>
      </c>
      <c r="B79" s="5" t="s">
        <v>295</v>
      </c>
      <c r="C79" s="198" t="s">
        <v>32</v>
      </c>
      <c r="D79" s="198" t="s">
        <v>87</v>
      </c>
      <c r="E79" s="198" t="s">
        <v>296</v>
      </c>
      <c r="F79" s="198" t="s">
        <v>297</v>
      </c>
      <c r="G79" s="198" t="s">
        <v>298</v>
      </c>
      <c r="H79" s="199" t="s">
        <v>299</v>
      </c>
      <c r="I79" s="195">
        <v>47559</v>
      </c>
      <c r="J79" s="198" t="s">
        <v>768</v>
      </c>
      <c r="K79" s="198" t="s">
        <v>768</v>
      </c>
      <c r="L79" s="198" t="s">
        <v>768</v>
      </c>
      <c r="M79" s="197">
        <v>47559</v>
      </c>
      <c r="N79" s="197">
        <v>4769</v>
      </c>
      <c r="O79" s="196">
        <v>0</v>
      </c>
      <c r="P79" s="195">
        <v>4769</v>
      </c>
      <c r="Q79" s="195">
        <v>42790</v>
      </c>
    </row>
    <row r="80" spans="1:17" ht="15.95" customHeight="1" x14ac:dyDescent="0.2">
      <c r="A80" s="200" t="s">
        <v>30</v>
      </c>
      <c r="B80" s="5" t="s">
        <v>300</v>
      </c>
      <c r="C80" s="198" t="s">
        <v>32</v>
      </c>
      <c r="D80" s="198" t="s">
        <v>48</v>
      </c>
      <c r="E80" s="198" t="s">
        <v>301</v>
      </c>
      <c r="F80" s="198" t="s">
        <v>302</v>
      </c>
      <c r="G80" s="198" t="s">
        <v>303</v>
      </c>
      <c r="H80" s="199" t="s">
        <v>304</v>
      </c>
      <c r="I80" s="195">
        <v>169366</v>
      </c>
      <c r="J80" s="198" t="s">
        <v>768</v>
      </c>
      <c r="K80" s="198" t="s">
        <v>768</v>
      </c>
      <c r="L80" s="198" t="s">
        <v>768</v>
      </c>
      <c r="M80" s="197">
        <v>169366</v>
      </c>
      <c r="N80" s="197">
        <v>16983</v>
      </c>
      <c r="O80" s="196">
        <v>20061</v>
      </c>
      <c r="P80" s="195">
        <v>37044</v>
      </c>
      <c r="Q80" s="195">
        <v>132322</v>
      </c>
    </row>
    <row r="81" spans="1:17" ht="15.95" customHeight="1" x14ac:dyDescent="0.2">
      <c r="A81" s="200" t="s">
        <v>30</v>
      </c>
      <c r="B81" s="5" t="s">
        <v>305</v>
      </c>
      <c r="C81" s="198" t="s">
        <v>32</v>
      </c>
      <c r="D81" s="198" t="s">
        <v>110</v>
      </c>
      <c r="E81" s="198" t="s">
        <v>306</v>
      </c>
      <c r="F81" s="198" t="s">
        <v>307</v>
      </c>
      <c r="G81" s="198" t="s">
        <v>308</v>
      </c>
      <c r="H81" s="199" t="s">
        <v>309</v>
      </c>
      <c r="I81" s="195">
        <v>280783</v>
      </c>
      <c r="J81" s="198" t="s">
        <v>768</v>
      </c>
      <c r="K81" s="198" t="s">
        <v>768</v>
      </c>
      <c r="L81" s="198" t="s">
        <v>768</v>
      </c>
      <c r="M81" s="197">
        <v>280783</v>
      </c>
      <c r="N81" s="197">
        <v>28155</v>
      </c>
      <c r="O81" s="196">
        <v>252628</v>
      </c>
      <c r="P81" s="195">
        <v>280783</v>
      </c>
      <c r="Q81" s="201">
        <v>0</v>
      </c>
    </row>
    <row r="82" spans="1:17" ht="15.95" customHeight="1" x14ac:dyDescent="0.2">
      <c r="A82" s="200" t="s">
        <v>30</v>
      </c>
      <c r="B82" s="5" t="s">
        <v>310</v>
      </c>
      <c r="C82" s="198" t="s">
        <v>32</v>
      </c>
      <c r="D82" s="198" t="s">
        <v>131</v>
      </c>
      <c r="E82" s="198" t="s">
        <v>311</v>
      </c>
      <c r="F82" s="198" t="s">
        <v>312</v>
      </c>
      <c r="G82" s="198" t="s">
        <v>313</v>
      </c>
      <c r="H82" s="199" t="s">
        <v>314</v>
      </c>
      <c r="I82" s="195">
        <v>1701752</v>
      </c>
      <c r="J82" s="198" t="s">
        <v>768</v>
      </c>
      <c r="K82" s="198" t="s">
        <v>768</v>
      </c>
      <c r="L82" s="198" t="s">
        <v>768</v>
      </c>
      <c r="M82" s="197">
        <v>1701752</v>
      </c>
      <c r="N82" s="197">
        <v>170643</v>
      </c>
      <c r="O82" s="196">
        <v>1531109</v>
      </c>
      <c r="P82" s="195">
        <v>1701752</v>
      </c>
      <c r="Q82" s="201">
        <v>0</v>
      </c>
    </row>
    <row r="83" spans="1:17" ht="15.95" customHeight="1" x14ac:dyDescent="0.2">
      <c r="A83" s="200" t="s">
        <v>30</v>
      </c>
      <c r="B83" s="5" t="s">
        <v>315</v>
      </c>
      <c r="C83" s="198" t="s">
        <v>32</v>
      </c>
      <c r="D83" s="198" t="s">
        <v>146</v>
      </c>
      <c r="E83" s="198" t="s">
        <v>316</v>
      </c>
      <c r="F83" s="198" t="s">
        <v>317</v>
      </c>
      <c r="G83" s="198" t="s">
        <v>318</v>
      </c>
      <c r="H83" s="199" t="s">
        <v>319</v>
      </c>
      <c r="I83" s="195">
        <v>0</v>
      </c>
      <c r="J83" s="198" t="s">
        <v>769</v>
      </c>
      <c r="K83" s="198" t="s">
        <v>769</v>
      </c>
      <c r="L83" s="198" t="s">
        <v>769</v>
      </c>
      <c r="M83" s="197">
        <v>0</v>
      </c>
      <c r="N83" s="197">
        <v>0</v>
      </c>
      <c r="O83" s="196">
        <v>0</v>
      </c>
      <c r="P83" s="195">
        <v>0</v>
      </c>
      <c r="Q83" s="201">
        <v>0</v>
      </c>
    </row>
    <row r="84" spans="1:17" ht="15.95" customHeight="1" x14ac:dyDescent="0.2">
      <c r="A84" s="200" t="s">
        <v>30</v>
      </c>
      <c r="B84" s="5" t="s">
        <v>320</v>
      </c>
      <c r="C84" s="198" t="s">
        <v>32</v>
      </c>
      <c r="D84" s="198" t="s">
        <v>110</v>
      </c>
      <c r="E84" s="198" t="s">
        <v>321</v>
      </c>
      <c r="F84" s="198" t="s">
        <v>322</v>
      </c>
      <c r="G84" s="198" t="s">
        <v>323</v>
      </c>
      <c r="H84" s="199" t="s">
        <v>324</v>
      </c>
      <c r="I84" s="195">
        <v>186207</v>
      </c>
      <c r="J84" s="198" t="s">
        <v>768</v>
      </c>
      <c r="K84" s="198" t="s">
        <v>768</v>
      </c>
      <c r="L84" s="198" t="s">
        <v>768</v>
      </c>
      <c r="M84" s="197">
        <v>186207</v>
      </c>
      <c r="N84" s="197">
        <v>18672</v>
      </c>
      <c r="O84" s="196">
        <v>0</v>
      </c>
      <c r="P84" s="195">
        <v>18672</v>
      </c>
      <c r="Q84" s="195">
        <v>167535</v>
      </c>
    </row>
    <row r="85" spans="1:17" ht="15.95" customHeight="1" x14ac:dyDescent="0.2">
      <c r="A85" s="200" t="s">
        <v>30</v>
      </c>
      <c r="B85" s="5" t="s">
        <v>325</v>
      </c>
      <c r="C85" s="198" t="s">
        <v>32</v>
      </c>
      <c r="D85" s="198" t="s">
        <v>110</v>
      </c>
      <c r="E85" s="198" t="s">
        <v>326</v>
      </c>
      <c r="F85" s="198" t="s">
        <v>327</v>
      </c>
      <c r="G85" s="198" t="s">
        <v>328</v>
      </c>
      <c r="H85" s="199" t="s">
        <v>329</v>
      </c>
      <c r="I85" s="195">
        <v>457864</v>
      </c>
      <c r="J85" s="198" t="s">
        <v>768</v>
      </c>
      <c r="K85" s="198" t="s">
        <v>768</v>
      </c>
      <c r="L85" s="198" t="s">
        <v>768</v>
      </c>
      <c r="M85" s="197">
        <v>457864</v>
      </c>
      <c r="N85" s="197">
        <v>45912</v>
      </c>
      <c r="O85" s="196">
        <v>0</v>
      </c>
      <c r="P85" s="195">
        <v>45912</v>
      </c>
      <c r="Q85" s="195">
        <v>411952</v>
      </c>
    </row>
    <row r="86" spans="1:17" ht="15.95" customHeight="1" x14ac:dyDescent="0.2">
      <c r="A86" s="200" t="s">
        <v>30</v>
      </c>
      <c r="B86" s="5" t="s">
        <v>330</v>
      </c>
      <c r="C86" s="198" t="s">
        <v>32</v>
      </c>
      <c r="D86" s="198" t="s">
        <v>98</v>
      </c>
      <c r="E86" s="198" t="s">
        <v>331</v>
      </c>
      <c r="F86" s="198" t="s">
        <v>332</v>
      </c>
      <c r="G86" s="198" t="s">
        <v>333</v>
      </c>
      <c r="H86" s="199" t="s">
        <v>334</v>
      </c>
      <c r="I86" s="195">
        <v>448622</v>
      </c>
      <c r="J86" s="198" t="s">
        <v>768</v>
      </c>
      <c r="K86" s="198" t="s">
        <v>768</v>
      </c>
      <c r="L86" s="198" t="s">
        <v>768</v>
      </c>
      <c r="M86" s="197">
        <v>448622</v>
      </c>
      <c r="N86" s="197">
        <v>44985</v>
      </c>
      <c r="O86" s="196">
        <v>0</v>
      </c>
      <c r="P86" s="195">
        <v>44985</v>
      </c>
      <c r="Q86" s="195">
        <v>403637</v>
      </c>
    </row>
    <row r="87" spans="1:17" ht="15.95" customHeight="1" x14ac:dyDescent="0.2">
      <c r="A87" s="200" t="s">
        <v>30</v>
      </c>
      <c r="B87" s="5" t="s">
        <v>335</v>
      </c>
      <c r="C87" s="198" t="s">
        <v>32</v>
      </c>
      <c r="D87" s="198" t="s">
        <v>63</v>
      </c>
      <c r="E87" s="198" t="s">
        <v>336</v>
      </c>
      <c r="F87" s="198" t="s">
        <v>337</v>
      </c>
      <c r="G87" s="198" t="s">
        <v>338</v>
      </c>
      <c r="H87" s="199" t="s">
        <v>339</v>
      </c>
      <c r="I87" s="195">
        <v>0</v>
      </c>
      <c r="J87" s="198" t="s">
        <v>769</v>
      </c>
      <c r="K87" s="198" t="s">
        <v>769</v>
      </c>
      <c r="L87" s="198" t="s">
        <v>769</v>
      </c>
      <c r="M87" s="197">
        <v>0</v>
      </c>
      <c r="N87" s="197">
        <v>0</v>
      </c>
      <c r="O87" s="196">
        <v>0</v>
      </c>
      <c r="P87" s="195">
        <v>0</v>
      </c>
      <c r="Q87" s="201">
        <v>0</v>
      </c>
    </row>
    <row r="88" spans="1:17" ht="15.95" customHeight="1" x14ac:dyDescent="0.2">
      <c r="A88" s="200" t="s">
        <v>30</v>
      </c>
      <c r="B88" s="5" t="s">
        <v>340</v>
      </c>
      <c r="C88" s="198" t="s">
        <v>32</v>
      </c>
      <c r="D88" s="198" t="s">
        <v>110</v>
      </c>
      <c r="E88" s="198" t="s">
        <v>341</v>
      </c>
      <c r="F88" s="198" t="s">
        <v>342</v>
      </c>
      <c r="G88" s="198" t="s">
        <v>343</v>
      </c>
      <c r="H88" s="199" t="s">
        <v>344</v>
      </c>
      <c r="I88" s="195">
        <v>206199</v>
      </c>
      <c r="J88" s="198" t="s">
        <v>768</v>
      </c>
      <c r="K88" s="198" t="s">
        <v>768</v>
      </c>
      <c r="L88" s="198" t="s">
        <v>768</v>
      </c>
      <c r="M88" s="197">
        <v>206199</v>
      </c>
      <c r="N88" s="197">
        <v>20677</v>
      </c>
      <c r="O88" s="196">
        <v>0</v>
      </c>
      <c r="P88" s="195">
        <v>20677</v>
      </c>
      <c r="Q88" s="195">
        <v>185522</v>
      </c>
    </row>
    <row r="89" spans="1:17" ht="15.95" customHeight="1" x14ac:dyDescent="0.2">
      <c r="A89" s="200" t="s">
        <v>30</v>
      </c>
      <c r="B89" s="5" t="s">
        <v>345</v>
      </c>
      <c r="C89" s="198" t="s">
        <v>32</v>
      </c>
      <c r="D89" s="198" t="s">
        <v>110</v>
      </c>
      <c r="E89" s="198" t="s">
        <v>346</v>
      </c>
      <c r="F89" s="198" t="s">
        <v>347</v>
      </c>
      <c r="G89" s="198" t="s">
        <v>348</v>
      </c>
      <c r="H89" s="199" t="s">
        <v>349</v>
      </c>
      <c r="I89" s="195">
        <v>196148</v>
      </c>
      <c r="J89" s="198" t="s">
        <v>768</v>
      </c>
      <c r="K89" s="198" t="s">
        <v>768</v>
      </c>
      <c r="L89" s="198" t="s">
        <v>768</v>
      </c>
      <c r="M89" s="197">
        <v>196148</v>
      </c>
      <c r="N89" s="197">
        <v>19669</v>
      </c>
      <c r="O89" s="196">
        <v>0</v>
      </c>
      <c r="P89" s="195">
        <v>19669</v>
      </c>
      <c r="Q89" s="195">
        <v>176479</v>
      </c>
    </row>
    <row r="90" spans="1:17" ht="15.95" customHeight="1" x14ac:dyDescent="0.2">
      <c r="A90" s="200" t="s">
        <v>30</v>
      </c>
      <c r="B90" s="5" t="s">
        <v>350</v>
      </c>
      <c r="C90" s="198" t="s">
        <v>32</v>
      </c>
      <c r="D90" s="198" t="s">
        <v>140</v>
      </c>
      <c r="E90" s="198" t="s">
        <v>351</v>
      </c>
      <c r="F90" s="198" t="s">
        <v>352</v>
      </c>
      <c r="G90" s="198" t="s">
        <v>353</v>
      </c>
      <c r="H90" s="199" t="s">
        <v>354</v>
      </c>
      <c r="I90" s="195">
        <v>489504</v>
      </c>
      <c r="J90" s="198" t="s">
        <v>768</v>
      </c>
      <c r="K90" s="198" t="s">
        <v>768</v>
      </c>
      <c r="L90" s="198" t="s">
        <v>768</v>
      </c>
      <c r="M90" s="197">
        <v>489504</v>
      </c>
      <c r="N90" s="197">
        <v>49085</v>
      </c>
      <c r="O90" s="196">
        <v>7684</v>
      </c>
      <c r="P90" s="195">
        <v>56769</v>
      </c>
      <c r="Q90" s="195">
        <v>432735</v>
      </c>
    </row>
    <row r="91" spans="1:17" ht="15.95" customHeight="1" x14ac:dyDescent="0.2">
      <c r="A91" s="200" t="s">
        <v>30</v>
      </c>
      <c r="B91" s="5" t="s">
        <v>355</v>
      </c>
      <c r="C91" s="198" t="s">
        <v>32</v>
      </c>
      <c r="D91" s="198" t="s">
        <v>110</v>
      </c>
      <c r="E91" s="198" t="s">
        <v>356</v>
      </c>
      <c r="F91" s="198" t="s">
        <v>357</v>
      </c>
      <c r="G91" s="198" t="s">
        <v>358</v>
      </c>
      <c r="H91" s="199" t="s">
        <v>359</v>
      </c>
      <c r="I91" s="195">
        <v>428978</v>
      </c>
      <c r="J91" s="198" t="s">
        <v>768</v>
      </c>
      <c r="K91" s="198" t="s">
        <v>768</v>
      </c>
      <c r="L91" s="198" t="s">
        <v>768</v>
      </c>
      <c r="M91" s="197">
        <v>428978</v>
      </c>
      <c r="N91" s="197">
        <v>43016</v>
      </c>
      <c r="O91" s="196">
        <v>0</v>
      </c>
      <c r="P91" s="195">
        <v>43016</v>
      </c>
      <c r="Q91" s="195">
        <v>385962</v>
      </c>
    </row>
    <row r="92" spans="1:17" ht="15.95" customHeight="1" x14ac:dyDescent="0.2">
      <c r="A92" s="200" t="s">
        <v>30</v>
      </c>
      <c r="B92" s="5" t="s">
        <v>360</v>
      </c>
      <c r="C92" s="198" t="s">
        <v>32</v>
      </c>
      <c r="D92" s="198" t="s">
        <v>110</v>
      </c>
      <c r="E92" s="198" t="s">
        <v>361</v>
      </c>
      <c r="F92" s="198" t="s">
        <v>362</v>
      </c>
      <c r="G92" s="198" t="s">
        <v>363</v>
      </c>
      <c r="H92" s="199" t="s">
        <v>364</v>
      </c>
      <c r="I92" s="195">
        <v>193504</v>
      </c>
      <c r="J92" s="198" t="s">
        <v>768</v>
      </c>
      <c r="K92" s="198" t="s">
        <v>768</v>
      </c>
      <c r="L92" s="198" t="s">
        <v>768</v>
      </c>
      <c r="M92" s="197">
        <v>193504</v>
      </c>
      <c r="N92" s="197">
        <v>19403</v>
      </c>
      <c r="O92" s="196">
        <v>0</v>
      </c>
      <c r="P92" s="195">
        <v>19403</v>
      </c>
      <c r="Q92" s="195">
        <v>174101</v>
      </c>
    </row>
    <row r="93" spans="1:17" ht="15.95" customHeight="1" x14ac:dyDescent="0.2">
      <c r="A93" s="200" t="s">
        <v>30</v>
      </c>
      <c r="B93" s="5" t="s">
        <v>365</v>
      </c>
      <c r="C93" s="198" t="s">
        <v>32</v>
      </c>
      <c r="D93" s="198" t="s">
        <v>33</v>
      </c>
      <c r="E93" s="198" t="s">
        <v>366</v>
      </c>
      <c r="F93" s="198" t="s">
        <v>367</v>
      </c>
      <c r="G93" s="198" t="s">
        <v>368</v>
      </c>
      <c r="H93" s="199" t="s">
        <v>369</v>
      </c>
      <c r="I93" s="195">
        <v>470416</v>
      </c>
      <c r="J93" s="198" t="s">
        <v>768</v>
      </c>
      <c r="K93" s="198" t="s">
        <v>768</v>
      </c>
      <c r="L93" s="198" t="s">
        <v>768</v>
      </c>
      <c r="M93" s="197">
        <v>470416</v>
      </c>
      <c r="N93" s="197">
        <v>47171</v>
      </c>
      <c r="O93" s="196">
        <v>21015</v>
      </c>
      <c r="P93" s="195">
        <v>68186</v>
      </c>
      <c r="Q93" s="195">
        <v>402230</v>
      </c>
    </row>
    <row r="94" spans="1:17" ht="15.95" customHeight="1" x14ac:dyDescent="0.2">
      <c r="A94" s="200" t="s">
        <v>30</v>
      </c>
      <c r="B94" s="5" t="s">
        <v>370</v>
      </c>
      <c r="C94" s="198" t="s">
        <v>32</v>
      </c>
      <c r="D94" s="198" t="s">
        <v>42</v>
      </c>
      <c r="E94" s="198" t="s">
        <v>371</v>
      </c>
      <c r="F94" s="198" t="s">
        <v>372</v>
      </c>
      <c r="G94" s="198" t="s">
        <v>373</v>
      </c>
      <c r="H94" s="199" t="s">
        <v>374</v>
      </c>
      <c r="I94" s="195">
        <v>559228</v>
      </c>
      <c r="J94" s="198" t="s">
        <v>768</v>
      </c>
      <c r="K94" s="198" t="s">
        <v>768</v>
      </c>
      <c r="L94" s="198" t="s">
        <v>768</v>
      </c>
      <c r="M94" s="197">
        <v>559228</v>
      </c>
      <c r="N94" s="197">
        <v>56076</v>
      </c>
      <c r="O94" s="196">
        <v>0</v>
      </c>
      <c r="P94" s="195">
        <v>56076</v>
      </c>
      <c r="Q94" s="195">
        <v>503152</v>
      </c>
    </row>
    <row r="95" spans="1:17" ht="15.95" customHeight="1" x14ac:dyDescent="0.2">
      <c r="A95" s="200" t="s">
        <v>30</v>
      </c>
      <c r="B95" s="5" t="s">
        <v>375</v>
      </c>
      <c r="C95" s="198" t="s">
        <v>32</v>
      </c>
      <c r="D95" s="198" t="s">
        <v>110</v>
      </c>
      <c r="E95" s="198" t="s">
        <v>376</v>
      </c>
      <c r="F95" s="198" t="s">
        <v>377</v>
      </c>
      <c r="G95" s="198" t="s">
        <v>378</v>
      </c>
      <c r="H95" s="199" t="s">
        <v>379</v>
      </c>
      <c r="I95" s="195">
        <v>747035</v>
      </c>
      <c r="J95" s="198" t="s">
        <v>768</v>
      </c>
      <c r="K95" s="198" t="s">
        <v>768</v>
      </c>
      <c r="L95" s="198" t="s">
        <v>768</v>
      </c>
      <c r="M95" s="197">
        <v>747035</v>
      </c>
      <c r="N95" s="197">
        <v>74909</v>
      </c>
      <c r="O95" s="196">
        <v>0</v>
      </c>
      <c r="P95" s="195">
        <v>74909</v>
      </c>
      <c r="Q95" s="195">
        <v>672126</v>
      </c>
    </row>
    <row r="96" spans="1:17" ht="15.95" customHeight="1" x14ac:dyDescent="0.2">
      <c r="A96" s="200" t="s">
        <v>30</v>
      </c>
      <c r="B96" s="5" t="s">
        <v>380</v>
      </c>
      <c r="C96" s="198" t="s">
        <v>32</v>
      </c>
      <c r="D96" s="198" t="s">
        <v>110</v>
      </c>
      <c r="E96" s="198" t="s">
        <v>381</v>
      </c>
      <c r="F96" s="198" t="s">
        <v>382</v>
      </c>
      <c r="G96" s="198" t="s">
        <v>383</v>
      </c>
      <c r="H96" s="199" t="s">
        <v>384</v>
      </c>
      <c r="I96" s="195">
        <v>166726</v>
      </c>
      <c r="J96" s="198" t="s">
        <v>768</v>
      </c>
      <c r="K96" s="198" t="s">
        <v>768</v>
      </c>
      <c r="L96" s="198" t="s">
        <v>768</v>
      </c>
      <c r="M96" s="197">
        <v>166726</v>
      </c>
      <c r="N96" s="197">
        <v>16718</v>
      </c>
      <c r="O96" s="196">
        <v>0</v>
      </c>
      <c r="P96" s="195">
        <v>16718</v>
      </c>
      <c r="Q96" s="195">
        <v>150008</v>
      </c>
    </row>
    <row r="97" spans="1:17" ht="15.95" customHeight="1" x14ac:dyDescent="0.2">
      <c r="A97" s="200" t="s">
        <v>30</v>
      </c>
      <c r="B97" s="5" t="s">
        <v>385</v>
      </c>
      <c r="C97" s="198" t="s">
        <v>32</v>
      </c>
      <c r="D97" s="198" t="s">
        <v>110</v>
      </c>
      <c r="E97" s="198" t="s">
        <v>386</v>
      </c>
      <c r="F97" s="198" t="s">
        <v>387</v>
      </c>
      <c r="G97" s="198" t="s">
        <v>388</v>
      </c>
      <c r="H97" s="199" t="s">
        <v>818</v>
      </c>
      <c r="I97" s="195">
        <v>413050</v>
      </c>
      <c r="J97" s="198" t="s">
        <v>768</v>
      </c>
      <c r="K97" s="198" t="s">
        <v>768</v>
      </c>
      <c r="L97" s="198" t="s">
        <v>768</v>
      </c>
      <c r="M97" s="197">
        <v>413050</v>
      </c>
      <c r="N97" s="197">
        <v>41418</v>
      </c>
      <c r="O97" s="196">
        <v>0</v>
      </c>
      <c r="P97" s="195">
        <v>41418</v>
      </c>
      <c r="Q97" s="195">
        <v>371632</v>
      </c>
    </row>
    <row r="98" spans="1:17" ht="15.95" customHeight="1" x14ac:dyDescent="0.2">
      <c r="A98" s="200" t="s">
        <v>30</v>
      </c>
      <c r="B98" s="5" t="s">
        <v>390</v>
      </c>
      <c r="C98" s="198" t="s">
        <v>32</v>
      </c>
      <c r="D98" s="198" t="s">
        <v>110</v>
      </c>
      <c r="E98" s="198" t="s">
        <v>391</v>
      </c>
      <c r="F98" s="198" t="s">
        <v>392</v>
      </c>
      <c r="G98" s="198" t="s">
        <v>393</v>
      </c>
      <c r="H98" s="199" t="s">
        <v>394</v>
      </c>
      <c r="I98" s="195">
        <v>518837</v>
      </c>
      <c r="J98" s="198" t="s">
        <v>768</v>
      </c>
      <c r="K98" s="198" t="s">
        <v>768</v>
      </c>
      <c r="L98" s="198" t="s">
        <v>768</v>
      </c>
      <c r="M98" s="197">
        <v>518837</v>
      </c>
      <c r="N98" s="197">
        <v>52026</v>
      </c>
      <c r="O98" s="196">
        <v>0</v>
      </c>
      <c r="P98" s="195">
        <v>52026</v>
      </c>
      <c r="Q98" s="195">
        <v>466811</v>
      </c>
    </row>
    <row r="99" spans="1:17" ht="15.95" customHeight="1" x14ac:dyDescent="0.2">
      <c r="A99" s="200" t="s">
        <v>30</v>
      </c>
      <c r="B99" s="5" t="s">
        <v>395</v>
      </c>
      <c r="C99" s="198" t="s">
        <v>32</v>
      </c>
      <c r="D99" s="198" t="s">
        <v>396</v>
      </c>
      <c r="E99" s="198" t="s">
        <v>26</v>
      </c>
      <c r="F99" s="198" t="s">
        <v>397</v>
      </c>
      <c r="G99" s="198" t="s">
        <v>398</v>
      </c>
      <c r="H99" s="199" t="s">
        <v>399</v>
      </c>
      <c r="I99" s="195">
        <v>1703500</v>
      </c>
      <c r="J99" s="198" t="s">
        <v>768</v>
      </c>
      <c r="K99" s="198" t="s">
        <v>768</v>
      </c>
      <c r="L99" s="198" t="s">
        <v>768</v>
      </c>
      <c r="M99" s="197">
        <v>1703500</v>
      </c>
      <c r="N99" s="197">
        <v>170818</v>
      </c>
      <c r="O99" s="196">
        <v>0</v>
      </c>
      <c r="P99" s="195">
        <v>170818</v>
      </c>
      <c r="Q99" s="195">
        <v>1532682</v>
      </c>
    </row>
    <row r="100" spans="1:17" ht="15.95" customHeight="1" x14ac:dyDescent="0.2">
      <c r="A100" s="200" t="s">
        <v>30</v>
      </c>
      <c r="B100" s="5" t="s">
        <v>400</v>
      </c>
      <c r="C100" s="198" t="s">
        <v>32</v>
      </c>
      <c r="D100" s="198" t="s">
        <v>66</v>
      </c>
      <c r="E100" s="198" t="s">
        <v>401</v>
      </c>
      <c r="F100" s="198" t="s">
        <v>402</v>
      </c>
      <c r="G100" s="198" t="s">
        <v>403</v>
      </c>
      <c r="H100" s="199" t="s">
        <v>404</v>
      </c>
      <c r="I100" s="195">
        <v>0</v>
      </c>
      <c r="J100" s="198" t="s">
        <v>769</v>
      </c>
      <c r="K100" s="198" t="s">
        <v>769</v>
      </c>
      <c r="L100" s="198" t="s">
        <v>769</v>
      </c>
      <c r="M100" s="197">
        <v>0</v>
      </c>
      <c r="N100" s="197">
        <v>0</v>
      </c>
      <c r="O100" s="196">
        <v>0</v>
      </c>
      <c r="P100" s="195">
        <v>0</v>
      </c>
      <c r="Q100" s="201">
        <v>0</v>
      </c>
    </row>
    <row r="101" spans="1:17" ht="15.95" customHeight="1" x14ac:dyDescent="0.2">
      <c r="A101" s="200" t="s">
        <v>30</v>
      </c>
      <c r="B101" s="5" t="s">
        <v>405</v>
      </c>
      <c r="C101" s="198" t="s">
        <v>32</v>
      </c>
      <c r="D101" s="198" t="s">
        <v>110</v>
      </c>
      <c r="E101" s="198" t="s">
        <v>406</v>
      </c>
      <c r="F101" s="198" t="s">
        <v>407</v>
      </c>
      <c r="G101" s="198" t="s">
        <v>408</v>
      </c>
      <c r="H101" s="199" t="s">
        <v>409</v>
      </c>
      <c r="I101" s="195">
        <v>569661</v>
      </c>
      <c r="J101" s="198" t="s">
        <v>768</v>
      </c>
      <c r="K101" s="198" t="s">
        <v>768</v>
      </c>
      <c r="L101" s="198" t="s">
        <v>768</v>
      </c>
      <c r="M101" s="197">
        <v>569661</v>
      </c>
      <c r="N101" s="197">
        <v>57123</v>
      </c>
      <c r="O101" s="196">
        <v>0</v>
      </c>
      <c r="P101" s="195">
        <v>57123</v>
      </c>
      <c r="Q101" s="195">
        <v>512538</v>
      </c>
    </row>
    <row r="102" spans="1:17" ht="15.95" customHeight="1" x14ac:dyDescent="0.2">
      <c r="A102" s="200" t="s">
        <v>30</v>
      </c>
      <c r="B102" s="5" t="s">
        <v>410</v>
      </c>
      <c r="C102" s="198" t="s">
        <v>32</v>
      </c>
      <c r="D102" s="198" t="s">
        <v>110</v>
      </c>
      <c r="E102" s="198" t="s">
        <v>411</v>
      </c>
      <c r="F102" s="198" t="s">
        <v>412</v>
      </c>
      <c r="G102" s="198" t="s">
        <v>413</v>
      </c>
      <c r="H102" s="199" t="s">
        <v>414</v>
      </c>
      <c r="I102" s="195">
        <v>384070</v>
      </c>
      <c r="J102" s="198" t="s">
        <v>768</v>
      </c>
      <c r="K102" s="198" t="s">
        <v>768</v>
      </c>
      <c r="L102" s="198" t="s">
        <v>768</v>
      </c>
      <c r="M102" s="197">
        <v>384070</v>
      </c>
      <c r="N102" s="197">
        <v>38513</v>
      </c>
      <c r="O102" s="196">
        <v>113636</v>
      </c>
      <c r="P102" s="195">
        <v>152149</v>
      </c>
      <c r="Q102" s="195">
        <v>231921</v>
      </c>
    </row>
    <row r="103" spans="1:17" ht="15.95" customHeight="1" x14ac:dyDescent="0.2">
      <c r="A103" s="200" t="s">
        <v>30</v>
      </c>
      <c r="B103" s="5" t="s">
        <v>415</v>
      </c>
      <c r="C103" s="198" t="s">
        <v>32</v>
      </c>
      <c r="D103" s="198" t="s">
        <v>110</v>
      </c>
      <c r="E103" s="198" t="s">
        <v>416</v>
      </c>
      <c r="F103" s="198" t="s">
        <v>417</v>
      </c>
      <c r="G103" s="198" t="s">
        <v>418</v>
      </c>
      <c r="H103" s="199" t="s">
        <v>817</v>
      </c>
      <c r="I103" s="195">
        <v>518326</v>
      </c>
      <c r="J103" s="198" t="s">
        <v>768</v>
      </c>
      <c r="K103" s="198" t="s">
        <v>768</v>
      </c>
      <c r="L103" s="198" t="s">
        <v>768</v>
      </c>
      <c r="M103" s="197">
        <v>518326</v>
      </c>
      <c r="N103" s="197">
        <v>51975</v>
      </c>
      <c r="O103" s="196">
        <v>229918</v>
      </c>
      <c r="P103" s="195">
        <v>281893</v>
      </c>
      <c r="Q103" s="195">
        <v>236433</v>
      </c>
    </row>
    <row r="104" spans="1:17" ht="15.95" customHeight="1" x14ac:dyDescent="0.2">
      <c r="A104" s="200" t="s">
        <v>30</v>
      </c>
      <c r="B104" s="5" t="s">
        <v>420</v>
      </c>
      <c r="C104" s="198" t="s">
        <v>32</v>
      </c>
      <c r="D104" s="198" t="s">
        <v>140</v>
      </c>
      <c r="E104" s="198" t="s">
        <v>421</v>
      </c>
      <c r="F104" s="198" t="s">
        <v>422</v>
      </c>
      <c r="G104" s="198" t="s">
        <v>423</v>
      </c>
      <c r="H104" s="199" t="s">
        <v>424</v>
      </c>
      <c r="I104" s="195">
        <v>117687</v>
      </c>
      <c r="J104" s="198" t="s">
        <v>768</v>
      </c>
      <c r="K104" s="198" t="s">
        <v>768</v>
      </c>
      <c r="L104" s="198" t="s">
        <v>768</v>
      </c>
      <c r="M104" s="197">
        <v>117687</v>
      </c>
      <c r="N104" s="197">
        <v>11801</v>
      </c>
      <c r="O104" s="196">
        <v>0</v>
      </c>
      <c r="P104" s="195">
        <v>11801</v>
      </c>
      <c r="Q104" s="195">
        <v>105886</v>
      </c>
    </row>
    <row r="105" spans="1:17" ht="15.95" customHeight="1" x14ac:dyDescent="0.2">
      <c r="A105" s="200" t="s">
        <v>30</v>
      </c>
      <c r="B105" s="5" t="s">
        <v>425</v>
      </c>
      <c r="C105" s="198" t="s">
        <v>32</v>
      </c>
      <c r="D105" s="198" t="s">
        <v>75</v>
      </c>
      <c r="E105" s="198" t="s">
        <v>426</v>
      </c>
      <c r="F105" s="198" t="s">
        <v>427</v>
      </c>
      <c r="G105" s="198" t="s">
        <v>428</v>
      </c>
      <c r="H105" s="199" t="s">
        <v>429</v>
      </c>
      <c r="I105" s="195">
        <v>789474</v>
      </c>
      <c r="J105" s="198" t="s">
        <v>768</v>
      </c>
      <c r="K105" s="198" t="s">
        <v>768</v>
      </c>
      <c r="L105" s="198" t="s">
        <v>768</v>
      </c>
      <c r="M105" s="197">
        <v>789474</v>
      </c>
      <c r="N105" s="197">
        <v>79164</v>
      </c>
      <c r="O105" s="196">
        <v>178955</v>
      </c>
      <c r="P105" s="195">
        <v>258119</v>
      </c>
      <c r="Q105" s="195">
        <v>531355</v>
      </c>
    </row>
    <row r="106" spans="1:17" ht="15.95" customHeight="1" x14ac:dyDescent="0.2">
      <c r="A106" s="200" t="s">
        <v>30</v>
      </c>
      <c r="B106" s="5" t="s">
        <v>430</v>
      </c>
      <c r="C106" s="198" t="s">
        <v>32</v>
      </c>
      <c r="D106" s="198" t="s">
        <v>110</v>
      </c>
      <c r="E106" s="198" t="s">
        <v>431</v>
      </c>
      <c r="F106" s="198" t="s">
        <v>432</v>
      </c>
      <c r="G106" s="198" t="s">
        <v>433</v>
      </c>
      <c r="H106" s="199" t="s">
        <v>434</v>
      </c>
      <c r="I106" s="195">
        <v>279011</v>
      </c>
      <c r="J106" s="198" t="s">
        <v>768</v>
      </c>
      <c r="K106" s="198" t="s">
        <v>768</v>
      </c>
      <c r="L106" s="198" t="s">
        <v>768</v>
      </c>
      <c r="M106" s="197">
        <v>279011</v>
      </c>
      <c r="N106" s="197">
        <v>27978</v>
      </c>
      <c r="O106" s="196">
        <v>0</v>
      </c>
      <c r="P106" s="195">
        <v>27978</v>
      </c>
      <c r="Q106" s="195">
        <v>251033</v>
      </c>
    </row>
    <row r="107" spans="1:17" ht="15.95" customHeight="1" x14ac:dyDescent="0.2">
      <c r="A107" s="200" t="s">
        <v>30</v>
      </c>
      <c r="B107" s="5" t="s">
        <v>435</v>
      </c>
      <c r="C107" s="198" t="s">
        <v>32</v>
      </c>
      <c r="D107" s="198" t="s">
        <v>110</v>
      </c>
      <c r="E107" s="198" t="s">
        <v>436</v>
      </c>
      <c r="F107" s="198" t="s">
        <v>437</v>
      </c>
      <c r="G107" s="198" t="s">
        <v>438</v>
      </c>
      <c r="H107" s="199" t="s">
        <v>439</v>
      </c>
      <c r="I107" s="195">
        <v>685275</v>
      </c>
      <c r="J107" s="198" t="s">
        <v>768</v>
      </c>
      <c r="K107" s="198" t="s">
        <v>768</v>
      </c>
      <c r="L107" s="198" t="s">
        <v>768</v>
      </c>
      <c r="M107" s="197">
        <v>685275</v>
      </c>
      <c r="N107" s="197">
        <v>68716</v>
      </c>
      <c r="O107" s="196">
        <v>0</v>
      </c>
      <c r="P107" s="195">
        <v>68716</v>
      </c>
      <c r="Q107" s="195">
        <v>616559</v>
      </c>
    </row>
    <row r="108" spans="1:17" ht="15.95" customHeight="1" x14ac:dyDescent="0.2">
      <c r="A108" s="200" t="s">
        <v>30</v>
      </c>
      <c r="B108" s="5" t="s">
        <v>440</v>
      </c>
      <c r="C108" s="198" t="s">
        <v>32</v>
      </c>
      <c r="D108" s="198" t="s">
        <v>110</v>
      </c>
      <c r="E108" s="198" t="s">
        <v>441</v>
      </c>
      <c r="F108" s="198" t="s">
        <v>442</v>
      </c>
      <c r="G108" s="198" t="s">
        <v>443</v>
      </c>
      <c r="H108" s="199" t="s">
        <v>444</v>
      </c>
      <c r="I108" s="195">
        <v>114141</v>
      </c>
      <c r="J108" s="198" t="s">
        <v>768</v>
      </c>
      <c r="K108" s="198" t="s">
        <v>768</v>
      </c>
      <c r="L108" s="198" t="s">
        <v>768</v>
      </c>
      <c r="M108" s="197">
        <v>114141</v>
      </c>
      <c r="N108" s="197">
        <v>11446</v>
      </c>
      <c r="O108" s="196">
        <v>38044</v>
      </c>
      <c r="P108" s="195">
        <v>49490</v>
      </c>
      <c r="Q108" s="195">
        <v>64651</v>
      </c>
    </row>
    <row r="109" spans="1:17" ht="15.95" customHeight="1" x14ac:dyDescent="0.2">
      <c r="A109" s="200" t="s">
        <v>30</v>
      </c>
      <c r="B109" s="5" t="s">
        <v>445</v>
      </c>
      <c r="C109" s="198" t="s">
        <v>32</v>
      </c>
      <c r="D109" s="198" t="s">
        <v>152</v>
      </c>
      <c r="E109" s="198" t="s">
        <v>446</v>
      </c>
      <c r="F109" s="198" t="s">
        <v>447</v>
      </c>
      <c r="G109" s="198" t="s">
        <v>448</v>
      </c>
      <c r="H109" s="199" t="s">
        <v>449</v>
      </c>
      <c r="I109" s="195">
        <v>0</v>
      </c>
      <c r="J109" s="198" t="s">
        <v>768</v>
      </c>
      <c r="K109" s="198" t="s">
        <v>769</v>
      </c>
      <c r="L109" s="198" t="s">
        <v>768</v>
      </c>
      <c r="M109" s="197">
        <v>0</v>
      </c>
      <c r="N109" s="197">
        <v>0</v>
      </c>
      <c r="O109" s="196">
        <v>0</v>
      </c>
      <c r="P109" s="195">
        <v>0</v>
      </c>
      <c r="Q109" s="201">
        <v>0</v>
      </c>
    </row>
    <row r="110" spans="1:17" ht="15.95" customHeight="1" x14ac:dyDescent="0.2">
      <c r="A110" s="200" t="s">
        <v>30</v>
      </c>
      <c r="B110" s="5" t="s">
        <v>450</v>
      </c>
      <c r="C110" s="198" t="s">
        <v>32</v>
      </c>
      <c r="D110" s="198" t="s">
        <v>42</v>
      </c>
      <c r="E110" s="198" t="s">
        <v>451</v>
      </c>
      <c r="F110" s="198" t="s">
        <v>452</v>
      </c>
      <c r="G110" s="198" t="s">
        <v>453</v>
      </c>
      <c r="H110" s="199" t="s">
        <v>454</v>
      </c>
      <c r="I110" s="195">
        <v>260743</v>
      </c>
      <c r="J110" s="198" t="s">
        <v>768</v>
      </c>
      <c r="K110" s="198" t="s">
        <v>768</v>
      </c>
      <c r="L110" s="198" t="s">
        <v>768</v>
      </c>
      <c r="M110" s="197">
        <v>260743</v>
      </c>
      <c r="N110" s="197">
        <v>26146</v>
      </c>
      <c r="O110" s="196">
        <v>0</v>
      </c>
      <c r="P110" s="195">
        <v>26146</v>
      </c>
      <c r="Q110" s="195">
        <v>234597</v>
      </c>
    </row>
    <row r="111" spans="1:17" ht="15.95" customHeight="1" x14ac:dyDescent="0.2">
      <c r="A111" s="200" t="s">
        <v>30</v>
      </c>
      <c r="B111" s="5" t="s">
        <v>455</v>
      </c>
      <c r="C111" s="198" t="s">
        <v>32</v>
      </c>
      <c r="D111" s="198" t="s">
        <v>110</v>
      </c>
      <c r="E111" s="198" t="s">
        <v>456</v>
      </c>
      <c r="F111" s="198" t="s">
        <v>457</v>
      </c>
      <c r="G111" s="198" t="s">
        <v>458</v>
      </c>
      <c r="H111" s="199" t="s">
        <v>459</v>
      </c>
      <c r="I111" s="195">
        <v>1534727</v>
      </c>
      <c r="J111" s="198" t="s">
        <v>768</v>
      </c>
      <c r="K111" s="198" t="s">
        <v>768</v>
      </c>
      <c r="L111" s="198" t="s">
        <v>768</v>
      </c>
      <c r="M111" s="197">
        <v>1534727</v>
      </c>
      <c r="N111" s="197">
        <v>153894</v>
      </c>
      <c r="O111" s="196">
        <v>177915</v>
      </c>
      <c r="P111" s="195">
        <v>331809</v>
      </c>
      <c r="Q111" s="195">
        <v>1202918</v>
      </c>
    </row>
    <row r="112" spans="1:17" ht="15.95" customHeight="1" x14ac:dyDescent="0.2">
      <c r="A112" s="200" t="s">
        <v>30</v>
      </c>
      <c r="B112" s="5" t="s">
        <v>460</v>
      </c>
      <c r="C112" s="198" t="s">
        <v>32</v>
      </c>
      <c r="D112" s="198" t="s">
        <v>48</v>
      </c>
      <c r="E112" s="198" t="s">
        <v>461</v>
      </c>
      <c r="F112" s="198" t="s">
        <v>462</v>
      </c>
      <c r="G112" s="198" t="s">
        <v>463</v>
      </c>
      <c r="H112" s="199" t="s">
        <v>464</v>
      </c>
      <c r="I112" s="195">
        <v>176480</v>
      </c>
      <c r="J112" s="198" t="s">
        <v>768</v>
      </c>
      <c r="K112" s="198" t="s">
        <v>768</v>
      </c>
      <c r="L112" s="198" t="s">
        <v>768</v>
      </c>
      <c r="M112" s="197">
        <v>176480</v>
      </c>
      <c r="N112" s="197">
        <v>17697</v>
      </c>
      <c r="O112" s="196">
        <v>0</v>
      </c>
      <c r="P112" s="195">
        <v>17697</v>
      </c>
      <c r="Q112" s="195">
        <v>158783</v>
      </c>
    </row>
    <row r="113" spans="1:17" ht="15.95" customHeight="1" x14ac:dyDescent="0.2">
      <c r="A113" s="200" t="s">
        <v>30</v>
      </c>
      <c r="B113" s="5" t="s">
        <v>465</v>
      </c>
      <c r="C113" s="198" t="s">
        <v>32</v>
      </c>
      <c r="D113" s="198" t="s">
        <v>110</v>
      </c>
      <c r="E113" s="198" t="s">
        <v>466</v>
      </c>
      <c r="F113" s="198" t="s">
        <v>467</v>
      </c>
      <c r="G113" s="198" t="s">
        <v>468</v>
      </c>
      <c r="H113" s="199" t="s">
        <v>942</v>
      </c>
      <c r="I113" s="195">
        <v>350062</v>
      </c>
      <c r="J113" s="198" t="s">
        <v>768</v>
      </c>
      <c r="K113" s="198" t="s">
        <v>768</v>
      </c>
      <c r="L113" s="198" t="s">
        <v>768</v>
      </c>
      <c r="M113" s="197">
        <v>350062</v>
      </c>
      <c r="N113" s="197">
        <v>35102</v>
      </c>
      <c r="O113" s="196">
        <v>0</v>
      </c>
      <c r="P113" s="195">
        <v>35102</v>
      </c>
      <c r="Q113" s="195">
        <v>314960</v>
      </c>
    </row>
    <row r="114" spans="1:17" ht="15.95" customHeight="1" x14ac:dyDescent="0.2">
      <c r="A114" s="200" t="s">
        <v>30</v>
      </c>
      <c r="B114" s="5" t="s">
        <v>470</v>
      </c>
      <c r="C114" s="198" t="s">
        <v>32</v>
      </c>
      <c r="D114" s="198" t="s">
        <v>110</v>
      </c>
      <c r="E114" s="198" t="s">
        <v>471</v>
      </c>
      <c r="F114" s="198" t="s">
        <v>472</v>
      </c>
      <c r="G114" s="198" t="s">
        <v>473</v>
      </c>
      <c r="H114" s="199" t="s">
        <v>474</v>
      </c>
      <c r="I114" s="195">
        <v>81868</v>
      </c>
      <c r="J114" s="198" t="s">
        <v>768</v>
      </c>
      <c r="K114" s="198" t="s">
        <v>768</v>
      </c>
      <c r="L114" s="198" t="s">
        <v>768</v>
      </c>
      <c r="M114" s="197">
        <v>81868</v>
      </c>
      <c r="N114" s="197">
        <v>8209</v>
      </c>
      <c r="O114" s="196">
        <v>21457</v>
      </c>
      <c r="P114" s="195">
        <v>29666</v>
      </c>
      <c r="Q114" s="195">
        <v>52202</v>
      </c>
    </row>
    <row r="115" spans="1:17" ht="15.95" customHeight="1" x14ac:dyDescent="0.2">
      <c r="A115" s="200" t="s">
        <v>30</v>
      </c>
      <c r="B115" s="5" t="s">
        <v>475</v>
      </c>
      <c r="C115" s="198" t="s">
        <v>32</v>
      </c>
      <c r="D115" s="198" t="s">
        <v>152</v>
      </c>
      <c r="E115" s="198" t="s">
        <v>476</v>
      </c>
      <c r="F115" s="198" t="s">
        <v>477</v>
      </c>
      <c r="G115" s="198" t="s">
        <v>478</v>
      </c>
      <c r="H115" s="199" t="s">
        <v>479</v>
      </c>
      <c r="I115" s="195">
        <v>0</v>
      </c>
      <c r="J115" s="198" t="s">
        <v>768</v>
      </c>
      <c r="K115" s="198" t="s">
        <v>769</v>
      </c>
      <c r="L115" s="198" t="s">
        <v>768</v>
      </c>
      <c r="M115" s="197">
        <v>0</v>
      </c>
      <c r="N115" s="197">
        <v>0</v>
      </c>
      <c r="O115" s="196">
        <v>0</v>
      </c>
      <c r="P115" s="195">
        <v>0</v>
      </c>
      <c r="Q115" s="201">
        <v>0</v>
      </c>
    </row>
    <row r="116" spans="1:17" ht="15.95" customHeight="1" x14ac:dyDescent="0.2">
      <c r="A116" s="200" t="s">
        <v>30</v>
      </c>
      <c r="B116" s="5" t="s">
        <v>480</v>
      </c>
      <c r="C116" s="198" t="s">
        <v>32</v>
      </c>
      <c r="D116" s="198" t="s">
        <v>95</v>
      </c>
      <c r="E116" s="198" t="s">
        <v>481</v>
      </c>
      <c r="F116" s="198" t="s">
        <v>482</v>
      </c>
      <c r="G116" s="198" t="s">
        <v>483</v>
      </c>
      <c r="H116" s="199" t="s">
        <v>484</v>
      </c>
      <c r="I116" s="195">
        <v>0</v>
      </c>
      <c r="J116" s="198" t="s">
        <v>769</v>
      </c>
      <c r="K116" s="198" t="s">
        <v>769</v>
      </c>
      <c r="L116" s="198" t="s">
        <v>768</v>
      </c>
      <c r="M116" s="197">
        <v>0</v>
      </c>
      <c r="N116" s="197">
        <v>0</v>
      </c>
      <c r="O116" s="196">
        <v>0</v>
      </c>
      <c r="P116" s="195">
        <v>0</v>
      </c>
      <c r="Q116" s="201">
        <v>0</v>
      </c>
    </row>
    <row r="117" spans="1:17" ht="15.95" customHeight="1" x14ac:dyDescent="0.2">
      <c r="A117" s="200" t="s">
        <v>30</v>
      </c>
      <c r="B117" s="5" t="s">
        <v>485</v>
      </c>
      <c r="C117" s="198" t="s">
        <v>32</v>
      </c>
      <c r="D117" s="198" t="s">
        <v>110</v>
      </c>
      <c r="E117" s="198" t="s">
        <v>486</v>
      </c>
      <c r="F117" s="198" t="s">
        <v>487</v>
      </c>
      <c r="G117" s="198" t="s">
        <v>488</v>
      </c>
      <c r="H117" s="199" t="s">
        <v>489</v>
      </c>
      <c r="I117" s="195">
        <v>0</v>
      </c>
      <c r="J117" s="198" t="s">
        <v>768</v>
      </c>
      <c r="K117" s="198" t="s">
        <v>768</v>
      </c>
      <c r="L117" s="198" t="s">
        <v>769</v>
      </c>
      <c r="M117" s="197">
        <v>0</v>
      </c>
      <c r="N117" s="197">
        <v>0</v>
      </c>
      <c r="O117" s="196">
        <v>0</v>
      </c>
      <c r="P117" s="195">
        <v>0</v>
      </c>
      <c r="Q117" s="201">
        <v>0</v>
      </c>
    </row>
    <row r="118" spans="1:17" ht="15.95" customHeight="1" x14ac:dyDescent="0.2">
      <c r="A118" s="200" t="s">
        <v>30</v>
      </c>
      <c r="B118" s="5" t="s">
        <v>490</v>
      </c>
      <c r="C118" s="198" t="s">
        <v>32</v>
      </c>
      <c r="D118" s="198" t="s">
        <v>110</v>
      </c>
      <c r="E118" s="198" t="s">
        <v>491</v>
      </c>
      <c r="F118" s="198" t="s">
        <v>492</v>
      </c>
      <c r="G118" s="198" t="s">
        <v>493</v>
      </c>
      <c r="H118" s="199" t="s">
        <v>494</v>
      </c>
      <c r="I118" s="195">
        <v>624975</v>
      </c>
      <c r="J118" s="198" t="s">
        <v>768</v>
      </c>
      <c r="K118" s="198" t="s">
        <v>768</v>
      </c>
      <c r="L118" s="198" t="s">
        <v>768</v>
      </c>
      <c r="M118" s="197">
        <v>624975</v>
      </c>
      <c r="N118" s="197">
        <v>62669</v>
      </c>
      <c r="O118" s="196">
        <v>40248</v>
      </c>
      <c r="P118" s="195">
        <v>102917</v>
      </c>
      <c r="Q118" s="195">
        <v>522058</v>
      </c>
    </row>
    <row r="119" spans="1:17" ht="15.95" customHeight="1" x14ac:dyDescent="0.2">
      <c r="A119" s="200" t="s">
        <v>30</v>
      </c>
      <c r="B119" s="5" t="s">
        <v>495</v>
      </c>
      <c r="C119" s="198" t="s">
        <v>32</v>
      </c>
      <c r="D119" s="198" t="s">
        <v>110</v>
      </c>
      <c r="E119" s="198" t="s">
        <v>496</v>
      </c>
      <c r="F119" s="198" t="s">
        <v>497</v>
      </c>
      <c r="G119" s="198" t="s">
        <v>498</v>
      </c>
      <c r="H119" s="199" t="s">
        <v>499</v>
      </c>
      <c r="I119" s="195">
        <v>416102</v>
      </c>
      <c r="J119" s="198" t="s">
        <v>768</v>
      </c>
      <c r="K119" s="198" t="s">
        <v>768</v>
      </c>
      <c r="L119" s="198" t="s">
        <v>768</v>
      </c>
      <c r="M119" s="197">
        <v>416102</v>
      </c>
      <c r="N119" s="197">
        <v>41725</v>
      </c>
      <c r="O119" s="196">
        <v>54236</v>
      </c>
      <c r="P119" s="195">
        <v>95961</v>
      </c>
      <c r="Q119" s="195">
        <v>320141</v>
      </c>
    </row>
    <row r="120" spans="1:17" ht="15.95" customHeight="1" x14ac:dyDescent="0.2">
      <c r="A120" s="200" t="s">
        <v>30</v>
      </c>
      <c r="B120" s="204" t="s">
        <v>775</v>
      </c>
      <c r="C120" s="198" t="s">
        <v>32</v>
      </c>
      <c r="D120" s="203" t="s">
        <v>33</v>
      </c>
      <c r="E120" s="203" t="s">
        <v>500</v>
      </c>
      <c r="F120" s="198" t="s">
        <v>501</v>
      </c>
      <c r="G120" s="198" t="s">
        <v>502</v>
      </c>
      <c r="H120" s="199" t="s">
        <v>503</v>
      </c>
      <c r="I120" s="195">
        <v>281561</v>
      </c>
      <c r="J120" s="202" t="s">
        <v>768</v>
      </c>
      <c r="K120" s="202" t="s">
        <v>768</v>
      </c>
      <c r="L120" s="202" t="s">
        <v>768</v>
      </c>
      <c r="M120" s="197">
        <v>281561</v>
      </c>
      <c r="N120" s="197">
        <v>28234</v>
      </c>
      <c r="O120" s="196">
        <v>11237</v>
      </c>
      <c r="P120" s="195">
        <v>39471</v>
      </c>
      <c r="Q120" s="195">
        <v>242090</v>
      </c>
    </row>
    <row r="121" spans="1:17" ht="15.95" customHeight="1" x14ac:dyDescent="0.2">
      <c r="A121" s="200" t="s">
        <v>30</v>
      </c>
      <c r="B121" s="5" t="s">
        <v>504</v>
      </c>
      <c r="C121" s="198" t="s">
        <v>32</v>
      </c>
      <c r="D121" s="198" t="s">
        <v>110</v>
      </c>
      <c r="E121" s="198" t="s">
        <v>505</v>
      </c>
      <c r="F121" s="198" t="s">
        <v>506</v>
      </c>
      <c r="G121" s="198" t="s">
        <v>507</v>
      </c>
      <c r="H121" s="199" t="s">
        <v>508</v>
      </c>
      <c r="I121" s="195">
        <v>254440</v>
      </c>
      <c r="J121" s="198" t="s">
        <v>768</v>
      </c>
      <c r="K121" s="198" t="s">
        <v>768</v>
      </c>
      <c r="L121" s="198" t="s">
        <v>768</v>
      </c>
      <c r="M121" s="197">
        <v>254440</v>
      </c>
      <c r="N121" s="197">
        <v>25514</v>
      </c>
      <c r="O121" s="196">
        <v>0</v>
      </c>
      <c r="P121" s="195">
        <v>25514</v>
      </c>
      <c r="Q121" s="195">
        <v>228926</v>
      </c>
    </row>
    <row r="122" spans="1:17" ht="15.95" customHeight="1" x14ac:dyDescent="0.2">
      <c r="A122" s="200" t="s">
        <v>30</v>
      </c>
      <c r="B122" s="5" t="s">
        <v>509</v>
      </c>
      <c r="C122" s="198" t="s">
        <v>32</v>
      </c>
      <c r="D122" s="198" t="s">
        <v>140</v>
      </c>
      <c r="E122" s="198" t="s">
        <v>510</v>
      </c>
      <c r="F122" s="198" t="s">
        <v>511</v>
      </c>
      <c r="G122" s="198" t="s">
        <v>512</v>
      </c>
      <c r="H122" s="199" t="s">
        <v>513</v>
      </c>
      <c r="I122" s="195">
        <v>0</v>
      </c>
      <c r="J122" s="198" t="s">
        <v>769</v>
      </c>
      <c r="K122" s="198" t="s">
        <v>769</v>
      </c>
      <c r="L122" s="198" t="s">
        <v>768</v>
      </c>
      <c r="M122" s="197">
        <v>0</v>
      </c>
      <c r="N122" s="197">
        <v>0</v>
      </c>
      <c r="O122" s="196">
        <v>0</v>
      </c>
      <c r="P122" s="195">
        <v>0</v>
      </c>
      <c r="Q122" s="201">
        <v>0</v>
      </c>
    </row>
    <row r="123" spans="1:17" ht="15.95" customHeight="1" x14ac:dyDescent="0.2">
      <c r="A123" s="200" t="s">
        <v>30</v>
      </c>
      <c r="B123" s="5" t="s">
        <v>514</v>
      </c>
      <c r="C123" s="198" t="s">
        <v>32</v>
      </c>
      <c r="D123" s="198" t="s">
        <v>131</v>
      </c>
      <c r="E123" s="198" t="s">
        <v>515</v>
      </c>
      <c r="F123" s="198" t="s">
        <v>516</v>
      </c>
      <c r="G123" s="198" t="s">
        <v>517</v>
      </c>
      <c r="H123" s="199" t="s">
        <v>518</v>
      </c>
      <c r="I123" s="195">
        <v>145300</v>
      </c>
      <c r="J123" s="198" t="s">
        <v>768</v>
      </c>
      <c r="K123" s="198" t="s">
        <v>768</v>
      </c>
      <c r="L123" s="198" t="s">
        <v>768</v>
      </c>
      <c r="M123" s="197">
        <v>145300</v>
      </c>
      <c r="N123" s="197">
        <v>14570</v>
      </c>
      <c r="O123" s="196">
        <v>0</v>
      </c>
      <c r="P123" s="195">
        <v>14570</v>
      </c>
      <c r="Q123" s="195">
        <v>130730</v>
      </c>
    </row>
    <row r="124" spans="1:17" ht="15.95" customHeight="1" x14ac:dyDescent="0.2">
      <c r="A124" s="200" t="s">
        <v>30</v>
      </c>
      <c r="B124" s="5" t="s">
        <v>519</v>
      </c>
      <c r="C124" s="198" t="s">
        <v>32</v>
      </c>
      <c r="D124" s="198" t="s">
        <v>134</v>
      </c>
      <c r="E124" s="198" t="s">
        <v>520</v>
      </c>
      <c r="F124" s="198" t="s">
        <v>521</v>
      </c>
      <c r="G124" s="198" t="s">
        <v>522</v>
      </c>
      <c r="H124" s="199" t="s">
        <v>523</v>
      </c>
      <c r="I124" s="195">
        <v>939527</v>
      </c>
      <c r="J124" s="198" t="s">
        <v>768</v>
      </c>
      <c r="K124" s="198" t="s">
        <v>768</v>
      </c>
      <c r="L124" s="198" t="s">
        <v>768</v>
      </c>
      <c r="M124" s="197">
        <v>939527</v>
      </c>
      <c r="N124" s="197">
        <v>94211</v>
      </c>
      <c r="O124" s="196">
        <v>0</v>
      </c>
      <c r="P124" s="195">
        <v>94211</v>
      </c>
      <c r="Q124" s="195">
        <v>845316</v>
      </c>
    </row>
    <row r="125" spans="1:17" ht="15.95" customHeight="1" x14ac:dyDescent="0.2">
      <c r="A125" s="200" t="s">
        <v>30</v>
      </c>
      <c r="B125" s="5" t="s">
        <v>524</v>
      </c>
      <c r="C125" s="198" t="s">
        <v>32</v>
      </c>
      <c r="D125" s="198" t="s">
        <v>110</v>
      </c>
      <c r="E125" s="198" t="s">
        <v>525</v>
      </c>
      <c r="F125" s="198" t="s">
        <v>526</v>
      </c>
      <c r="G125" s="198" t="s">
        <v>527</v>
      </c>
      <c r="H125" s="199" t="s">
        <v>528</v>
      </c>
      <c r="I125" s="195">
        <v>126856</v>
      </c>
      <c r="J125" s="198" t="s">
        <v>768</v>
      </c>
      <c r="K125" s="198" t="s">
        <v>768</v>
      </c>
      <c r="L125" s="198" t="s">
        <v>768</v>
      </c>
      <c r="M125" s="197">
        <v>126856</v>
      </c>
      <c r="N125" s="197">
        <v>12721</v>
      </c>
      <c r="O125" s="196">
        <v>0</v>
      </c>
      <c r="P125" s="195">
        <v>12721</v>
      </c>
      <c r="Q125" s="195">
        <v>114135</v>
      </c>
    </row>
    <row r="126" spans="1:17" ht="15.95" customHeight="1" x14ac:dyDescent="0.2">
      <c r="A126" s="200" t="s">
        <v>30</v>
      </c>
      <c r="B126" s="5" t="s">
        <v>529</v>
      </c>
      <c r="C126" s="198" t="s">
        <v>32</v>
      </c>
      <c r="D126" s="198" t="s">
        <v>95</v>
      </c>
      <c r="E126" s="198" t="s">
        <v>530</v>
      </c>
      <c r="F126" s="198" t="s">
        <v>531</v>
      </c>
      <c r="G126" s="198" t="s">
        <v>532</v>
      </c>
      <c r="H126" s="199" t="s">
        <v>533</v>
      </c>
      <c r="I126" s="195">
        <v>351574</v>
      </c>
      <c r="J126" s="198" t="s">
        <v>768</v>
      </c>
      <c r="K126" s="198" t="s">
        <v>768</v>
      </c>
      <c r="L126" s="198" t="s">
        <v>768</v>
      </c>
      <c r="M126" s="197">
        <v>351574</v>
      </c>
      <c r="N126" s="197">
        <v>35254</v>
      </c>
      <c r="O126" s="196">
        <v>0</v>
      </c>
      <c r="P126" s="195">
        <v>35254</v>
      </c>
      <c r="Q126" s="195">
        <v>316320</v>
      </c>
    </row>
    <row r="127" spans="1:17" ht="15.95" customHeight="1" x14ac:dyDescent="0.2">
      <c r="A127" s="200" t="s">
        <v>30</v>
      </c>
      <c r="B127" s="5" t="s">
        <v>534</v>
      </c>
      <c r="C127" s="198" t="s">
        <v>32</v>
      </c>
      <c r="D127" s="198" t="s">
        <v>54</v>
      </c>
      <c r="E127" s="198" t="s">
        <v>535</v>
      </c>
      <c r="F127" s="198" t="s">
        <v>536</v>
      </c>
      <c r="G127" s="198" t="s">
        <v>537</v>
      </c>
      <c r="H127" s="199" t="s">
        <v>538</v>
      </c>
      <c r="I127" s="195">
        <v>0</v>
      </c>
      <c r="J127" s="198" t="s">
        <v>769</v>
      </c>
      <c r="K127" s="198" t="s">
        <v>769</v>
      </c>
      <c r="L127" s="198" t="s">
        <v>768</v>
      </c>
      <c r="M127" s="197">
        <v>0</v>
      </c>
      <c r="N127" s="197">
        <v>0</v>
      </c>
      <c r="O127" s="196">
        <v>0</v>
      </c>
      <c r="P127" s="195">
        <v>0</v>
      </c>
      <c r="Q127" s="201">
        <v>0</v>
      </c>
    </row>
    <row r="128" spans="1:17" ht="15.95" customHeight="1" x14ac:dyDescent="0.2">
      <c r="A128" s="200" t="s">
        <v>30</v>
      </c>
      <c r="B128" s="5" t="s">
        <v>539</v>
      </c>
      <c r="C128" s="198" t="s">
        <v>32</v>
      </c>
      <c r="D128" s="198" t="s">
        <v>140</v>
      </c>
      <c r="E128" s="198" t="s">
        <v>540</v>
      </c>
      <c r="F128" s="198" t="s">
        <v>541</v>
      </c>
      <c r="G128" s="198" t="s">
        <v>542</v>
      </c>
      <c r="H128" s="199" t="s">
        <v>543</v>
      </c>
      <c r="I128" s="195">
        <v>259516</v>
      </c>
      <c r="J128" s="198" t="s">
        <v>768</v>
      </c>
      <c r="K128" s="198" t="s">
        <v>768</v>
      </c>
      <c r="L128" s="198" t="s">
        <v>768</v>
      </c>
      <c r="M128" s="197">
        <v>259516</v>
      </c>
      <c r="N128" s="197">
        <v>26023</v>
      </c>
      <c r="O128" s="196">
        <v>9531</v>
      </c>
      <c r="P128" s="195">
        <v>35554</v>
      </c>
      <c r="Q128" s="195">
        <v>223962</v>
      </c>
    </row>
    <row r="129" spans="1:17" ht="15.95" customHeight="1" x14ac:dyDescent="0.2">
      <c r="A129" s="200" t="s">
        <v>30</v>
      </c>
      <c r="B129" s="5" t="s">
        <v>544</v>
      </c>
      <c r="C129" s="198" t="s">
        <v>32</v>
      </c>
      <c r="D129" s="198" t="s">
        <v>81</v>
      </c>
      <c r="E129" s="198" t="s">
        <v>545</v>
      </c>
      <c r="F129" s="198" t="s">
        <v>546</v>
      </c>
      <c r="G129" s="198" t="s">
        <v>547</v>
      </c>
      <c r="H129" s="199" t="s">
        <v>548</v>
      </c>
      <c r="I129" s="195">
        <v>438665</v>
      </c>
      <c r="J129" s="198" t="s">
        <v>768</v>
      </c>
      <c r="K129" s="198" t="s">
        <v>768</v>
      </c>
      <c r="L129" s="198" t="s">
        <v>768</v>
      </c>
      <c r="M129" s="197">
        <v>438665</v>
      </c>
      <c r="N129" s="197">
        <v>43987</v>
      </c>
      <c r="O129" s="196">
        <v>249880</v>
      </c>
      <c r="P129" s="195">
        <v>293867</v>
      </c>
      <c r="Q129" s="195">
        <v>144798</v>
      </c>
    </row>
    <row r="130" spans="1:17" ht="15.95" customHeight="1" x14ac:dyDescent="0.2">
      <c r="A130" s="200" t="s">
        <v>30</v>
      </c>
      <c r="B130" s="5" t="s">
        <v>549</v>
      </c>
      <c r="C130" s="198" t="s">
        <v>32</v>
      </c>
      <c r="D130" s="198" t="s">
        <v>54</v>
      </c>
      <c r="E130" s="198" t="s">
        <v>550</v>
      </c>
      <c r="F130" s="198" t="s">
        <v>551</v>
      </c>
      <c r="G130" s="198" t="s">
        <v>552</v>
      </c>
      <c r="H130" s="199" t="s">
        <v>553</v>
      </c>
      <c r="I130" s="195">
        <v>0</v>
      </c>
      <c r="J130" s="198" t="s">
        <v>769</v>
      </c>
      <c r="K130" s="198" t="s">
        <v>769</v>
      </c>
      <c r="L130" s="198" t="s">
        <v>769</v>
      </c>
      <c r="M130" s="197">
        <v>0</v>
      </c>
      <c r="N130" s="197">
        <v>0</v>
      </c>
      <c r="O130" s="196">
        <v>0</v>
      </c>
      <c r="P130" s="195">
        <v>0</v>
      </c>
      <c r="Q130" s="201">
        <v>0</v>
      </c>
    </row>
    <row r="131" spans="1:17" ht="15.95" customHeight="1" x14ac:dyDescent="0.2">
      <c r="A131" s="200" t="s">
        <v>30</v>
      </c>
      <c r="B131" s="5" t="s">
        <v>554</v>
      </c>
      <c r="C131" s="198" t="s">
        <v>32</v>
      </c>
      <c r="D131" s="198" t="s">
        <v>95</v>
      </c>
      <c r="E131" s="198" t="s">
        <v>555</v>
      </c>
      <c r="F131" s="198" t="s">
        <v>556</v>
      </c>
      <c r="G131" s="198" t="s">
        <v>557</v>
      </c>
      <c r="H131" s="199" t="s">
        <v>819</v>
      </c>
      <c r="I131" s="195">
        <v>46488</v>
      </c>
      <c r="J131" s="198" t="s">
        <v>768</v>
      </c>
      <c r="K131" s="198" t="s">
        <v>768</v>
      </c>
      <c r="L131" s="198" t="s">
        <v>768</v>
      </c>
      <c r="M131" s="197">
        <v>46488</v>
      </c>
      <c r="N131" s="197">
        <v>4662</v>
      </c>
      <c r="O131" s="196">
        <v>0</v>
      </c>
      <c r="P131" s="195">
        <v>4662</v>
      </c>
      <c r="Q131" s="195">
        <v>41826</v>
      </c>
    </row>
    <row r="132" spans="1:17" ht="15.95" customHeight="1" x14ac:dyDescent="0.2">
      <c r="A132" s="200" t="s">
        <v>30</v>
      </c>
      <c r="B132" s="5" t="s">
        <v>559</v>
      </c>
      <c r="C132" s="198" t="s">
        <v>32</v>
      </c>
      <c r="D132" s="198" t="s">
        <v>110</v>
      </c>
      <c r="E132" s="198" t="s">
        <v>560</v>
      </c>
      <c r="F132" s="198" t="s">
        <v>561</v>
      </c>
      <c r="G132" s="198" t="s">
        <v>562</v>
      </c>
      <c r="H132" s="199" t="s">
        <v>941</v>
      </c>
      <c r="I132" s="195">
        <v>123653</v>
      </c>
      <c r="J132" s="198" t="s">
        <v>768</v>
      </c>
      <c r="K132" s="198" t="s">
        <v>768</v>
      </c>
      <c r="L132" s="198" t="s">
        <v>768</v>
      </c>
      <c r="M132" s="197">
        <v>123653</v>
      </c>
      <c r="N132" s="197">
        <v>12399</v>
      </c>
      <c r="O132" s="196">
        <v>0</v>
      </c>
      <c r="P132" s="195">
        <v>12399</v>
      </c>
      <c r="Q132" s="195">
        <v>111254</v>
      </c>
    </row>
    <row r="133" spans="1:17" ht="15.95" customHeight="1" x14ac:dyDescent="0.2">
      <c r="A133" s="200" t="s">
        <v>30</v>
      </c>
      <c r="B133" s="5" t="s">
        <v>564</v>
      </c>
      <c r="C133" s="198" t="s">
        <v>32</v>
      </c>
      <c r="D133" s="198" t="s">
        <v>110</v>
      </c>
      <c r="E133" s="198" t="s">
        <v>565</v>
      </c>
      <c r="F133" s="198" t="s">
        <v>566</v>
      </c>
      <c r="G133" s="198" t="s">
        <v>567</v>
      </c>
      <c r="H133" s="199" t="s">
        <v>940</v>
      </c>
      <c r="I133" s="195">
        <v>134718</v>
      </c>
      <c r="J133" s="198" t="s">
        <v>768</v>
      </c>
      <c r="K133" s="198" t="s">
        <v>768</v>
      </c>
      <c r="L133" s="198" t="s">
        <v>768</v>
      </c>
      <c r="M133" s="197">
        <v>134718</v>
      </c>
      <c r="N133" s="197">
        <v>13509</v>
      </c>
      <c r="O133" s="196">
        <v>0</v>
      </c>
      <c r="P133" s="195">
        <v>13509</v>
      </c>
      <c r="Q133" s="195">
        <v>121209</v>
      </c>
    </row>
    <row r="134" spans="1:17" ht="15.95" customHeight="1" x14ac:dyDescent="0.2">
      <c r="A134" s="200" t="s">
        <v>30</v>
      </c>
      <c r="B134" s="5" t="s">
        <v>569</v>
      </c>
      <c r="C134" s="198" t="s">
        <v>32</v>
      </c>
      <c r="D134" s="198" t="s">
        <v>110</v>
      </c>
      <c r="E134" s="198" t="s">
        <v>570</v>
      </c>
      <c r="F134" s="198" t="s">
        <v>571</v>
      </c>
      <c r="G134" s="198" t="s">
        <v>572</v>
      </c>
      <c r="H134" s="199" t="s">
        <v>573</v>
      </c>
      <c r="I134" s="195">
        <v>275842</v>
      </c>
      <c r="J134" s="198" t="s">
        <v>768</v>
      </c>
      <c r="K134" s="198" t="s">
        <v>768</v>
      </c>
      <c r="L134" s="198" t="s">
        <v>768</v>
      </c>
      <c r="M134" s="197">
        <v>275842</v>
      </c>
      <c r="N134" s="197">
        <v>27660</v>
      </c>
      <c r="O134" s="196">
        <v>0</v>
      </c>
      <c r="P134" s="195">
        <v>27660</v>
      </c>
      <c r="Q134" s="195">
        <v>248182</v>
      </c>
    </row>
    <row r="135" spans="1:17" ht="15.95" customHeight="1" x14ac:dyDescent="0.2">
      <c r="A135" s="200" t="s">
        <v>30</v>
      </c>
      <c r="B135" s="5" t="s">
        <v>574</v>
      </c>
      <c r="C135" s="198" t="s">
        <v>32</v>
      </c>
      <c r="D135" s="198" t="s">
        <v>110</v>
      </c>
      <c r="E135" s="198" t="s">
        <v>575</v>
      </c>
      <c r="F135" s="198" t="s">
        <v>576</v>
      </c>
      <c r="G135" s="198" t="s">
        <v>577</v>
      </c>
      <c r="H135" s="199" t="s">
        <v>578</v>
      </c>
      <c r="I135" s="195">
        <v>181359</v>
      </c>
      <c r="J135" s="198" t="s">
        <v>768</v>
      </c>
      <c r="K135" s="198" t="s">
        <v>768</v>
      </c>
      <c r="L135" s="198" t="s">
        <v>768</v>
      </c>
      <c r="M135" s="197">
        <v>181359</v>
      </c>
      <c r="N135" s="197">
        <v>18186</v>
      </c>
      <c r="O135" s="196">
        <v>11865</v>
      </c>
      <c r="P135" s="195">
        <v>30051</v>
      </c>
      <c r="Q135" s="195">
        <v>151308</v>
      </c>
    </row>
    <row r="136" spans="1:17" ht="15.95" customHeight="1" x14ac:dyDescent="0.2">
      <c r="A136" s="200" t="s">
        <v>30</v>
      </c>
      <c r="B136" s="5" t="s">
        <v>579</v>
      </c>
      <c r="C136" s="198" t="s">
        <v>32</v>
      </c>
      <c r="D136" s="198" t="s">
        <v>54</v>
      </c>
      <c r="E136" s="198" t="s">
        <v>580</v>
      </c>
      <c r="F136" s="198" t="s">
        <v>581</v>
      </c>
      <c r="G136" s="198" t="s">
        <v>582</v>
      </c>
      <c r="H136" s="199" t="s">
        <v>822</v>
      </c>
      <c r="I136" s="195">
        <v>1353837</v>
      </c>
      <c r="J136" s="198" t="s">
        <v>768</v>
      </c>
      <c r="K136" s="198" t="s">
        <v>768</v>
      </c>
      <c r="L136" s="198" t="s">
        <v>768</v>
      </c>
      <c r="M136" s="197">
        <v>1353837</v>
      </c>
      <c r="N136" s="197">
        <v>135755</v>
      </c>
      <c r="O136" s="196">
        <v>0</v>
      </c>
      <c r="P136" s="195">
        <v>135755</v>
      </c>
      <c r="Q136" s="195">
        <v>1218082</v>
      </c>
    </row>
    <row r="137" spans="1:17" ht="15.95" customHeight="1" x14ac:dyDescent="0.2">
      <c r="A137" s="200" t="s">
        <v>30</v>
      </c>
      <c r="B137" s="5" t="s">
        <v>584</v>
      </c>
      <c r="C137" s="198" t="s">
        <v>32</v>
      </c>
      <c r="D137" s="198" t="s">
        <v>152</v>
      </c>
      <c r="E137" s="198" t="s">
        <v>585</v>
      </c>
      <c r="F137" s="198" t="s">
        <v>586</v>
      </c>
      <c r="G137" s="198" t="s">
        <v>587</v>
      </c>
      <c r="H137" s="199" t="s">
        <v>588</v>
      </c>
      <c r="I137" s="195">
        <v>135075</v>
      </c>
      <c r="J137" s="198" t="s">
        <v>768</v>
      </c>
      <c r="K137" s="198" t="s">
        <v>768</v>
      </c>
      <c r="L137" s="198" t="s">
        <v>768</v>
      </c>
      <c r="M137" s="197">
        <v>135075</v>
      </c>
      <c r="N137" s="197">
        <v>13545</v>
      </c>
      <c r="O137" s="196">
        <v>0</v>
      </c>
      <c r="P137" s="195">
        <v>13545</v>
      </c>
      <c r="Q137" s="195">
        <v>121530</v>
      </c>
    </row>
    <row r="138" spans="1:17" ht="15.95" customHeight="1" x14ac:dyDescent="0.2">
      <c r="A138" s="200" t="s">
        <v>30</v>
      </c>
      <c r="B138" s="5" t="s">
        <v>589</v>
      </c>
      <c r="C138" s="198" t="s">
        <v>32</v>
      </c>
      <c r="D138" s="198" t="s">
        <v>63</v>
      </c>
      <c r="E138" s="198" t="s">
        <v>590</v>
      </c>
      <c r="F138" s="198" t="s">
        <v>591</v>
      </c>
      <c r="G138" s="198" t="s">
        <v>592</v>
      </c>
      <c r="H138" s="199" t="s">
        <v>593</v>
      </c>
      <c r="I138" s="195">
        <v>856224</v>
      </c>
      <c r="J138" s="198" t="s">
        <v>768</v>
      </c>
      <c r="K138" s="198" t="s">
        <v>768</v>
      </c>
      <c r="L138" s="198" t="s">
        <v>768</v>
      </c>
      <c r="M138" s="197">
        <v>856224</v>
      </c>
      <c r="N138" s="197">
        <v>85857</v>
      </c>
      <c r="O138" s="196">
        <v>0</v>
      </c>
      <c r="P138" s="195">
        <v>85857</v>
      </c>
      <c r="Q138" s="195">
        <v>770367</v>
      </c>
    </row>
    <row r="139" spans="1:17" ht="15.95" customHeight="1" x14ac:dyDescent="0.2">
      <c r="A139" s="200" t="s">
        <v>30</v>
      </c>
      <c r="B139" s="5" t="s">
        <v>594</v>
      </c>
      <c r="C139" s="198" t="s">
        <v>32</v>
      </c>
      <c r="D139" s="198" t="s">
        <v>39</v>
      </c>
      <c r="E139" s="198" t="s">
        <v>595</v>
      </c>
      <c r="F139" s="198" t="s">
        <v>596</v>
      </c>
      <c r="G139" s="198" t="s">
        <v>597</v>
      </c>
      <c r="H139" s="199" t="s">
        <v>598</v>
      </c>
      <c r="I139" s="195">
        <v>0</v>
      </c>
      <c r="J139" s="198" t="s">
        <v>769</v>
      </c>
      <c r="K139" s="198" t="s">
        <v>769</v>
      </c>
      <c r="L139" s="198" t="s">
        <v>769</v>
      </c>
      <c r="M139" s="197">
        <v>0</v>
      </c>
      <c r="N139" s="197">
        <v>0</v>
      </c>
      <c r="O139" s="196">
        <v>0</v>
      </c>
      <c r="P139" s="195">
        <v>0</v>
      </c>
      <c r="Q139" s="201">
        <v>0</v>
      </c>
    </row>
    <row r="140" spans="1:17" ht="15.95" customHeight="1" x14ac:dyDescent="0.2">
      <c r="A140" s="200" t="s">
        <v>30</v>
      </c>
      <c r="B140" s="5" t="s">
        <v>599</v>
      </c>
      <c r="C140" s="198" t="s">
        <v>32</v>
      </c>
      <c r="D140" s="198" t="s">
        <v>600</v>
      </c>
      <c r="E140" s="198" t="s">
        <v>601</v>
      </c>
      <c r="F140" s="198" t="s">
        <v>602</v>
      </c>
      <c r="G140" s="198" t="s">
        <v>603</v>
      </c>
      <c r="H140" s="199" t="s">
        <v>604</v>
      </c>
      <c r="I140" s="195">
        <v>160426</v>
      </c>
      <c r="J140" s="198" t="s">
        <v>768</v>
      </c>
      <c r="K140" s="198" t="s">
        <v>768</v>
      </c>
      <c r="L140" s="198" t="s">
        <v>768</v>
      </c>
      <c r="M140" s="197">
        <v>160426</v>
      </c>
      <c r="N140" s="197">
        <v>16087</v>
      </c>
      <c r="O140" s="196">
        <v>34931</v>
      </c>
      <c r="P140" s="195">
        <v>51018</v>
      </c>
      <c r="Q140" s="195">
        <v>109408</v>
      </c>
    </row>
    <row r="141" spans="1:17" ht="15.95" customHeight="1" x14ac:dyDescent="0.2">
      <c r="A141" s="200" t="s">
        <v>30</v>
      </c>
      <c r="B141" s="5" t="s">
        <v>605</v>
      </c>
      <c r="C141" s="198" t="s">
        <v>32</v>
      </c>
      <c r="D141" s="198" t="s">
        <v>33</v>
      </c>
      <c r="E141" s="198" t="s">
        <v>606</v>
      </c>
      <c r="F141" s="198" t="s">
        <v>607</v>
      </c>
      <c r="G141" s="198" t="s">
        <v>608</v>
      </c>
      <c r="H141" s="199" t="s">
        <v>609</v>
      </c>
      <c r="I141" s="195">
        <v>290679</v>
      </c>
      <c r="J141" s="198" t="s">
        <v>768</v>
      </c>
      <c r="K141" s="198" t="s">
        <v>768</v>
      </c>
      <c r="L141" s="198" t="s">
        <v>768</v>
      </c>
      <c r="M141" s="197">
        <v>290679</v>
      </c>
      <c r="N141" s="197">
        <v>29148</v>
      </c>
      <c r="O141" s="196">
        <v>0</v>
      </c>
      <c r="P141" s="195">
        <v>29148</v>
      </c>
      <c r="Q141" s="195">
        <v>261531</v>
      </c>
    </row>
    <row r="142" spans="1:17" ht="15.95" customHeight="1" x14ac:dyDescent="0.2">
      <c r="A142" s="200" t="s">
        <v>30</v>
      </c>
      <c r="B142" s="5" t="s">
        <v>610</v>
      </c>
      <c r="C142" s="198" t="s">
        <v>32</v>
      </c>
      <c r="D142" s="198" t="s">
        <v>611</v>
      </c>
      <c r="E142" s="198" t="s">
        <v>612</v>
      </c>
      <c r="F142" s="198" t="s">
        <v>613</v>
      </c>
      <c r="G142" s="198" t="s">
        <v>614</v>
      </c>
      <c r="H142" s="199" t="s">
        <v>615</v>
      </c>
      <c r="I142" s="195">
        <v>227398</v>
      </c>
      <c r="J142" s="198" t="s">
        <v>768</v>
      </c>
      <c r="K142" s="198" t="s">
        <v>768</v>
      </c>
      <c r="L142" s="198" t="s">
        <v>768</v>
      </c>
      <c r="M142" s="197">
        <v>227398</v>
      </c>
      <c r="N142" s="197">
        <v>22802</v>
      </c>
      <c r="O142" s="196">
        <v>36258</v>
      </c>
      <c r="P142" s="195">
        <v>59060</v>
      </c>
      <c r="Q142" s="195">
        <v>168338</v>
      </c>
    </row>
    <row r="143" spans="1:17" ht="15.95" customHeight="1" x14ac:dyDescent="0.2">
      <c r="A143" s="200" t="s">
        <v>30</v>
      </c>
      <c r="B143" s="5" t="s">
        <v>616</v>
      </c>
      <c r="C143" s="198" t="s">
        <v>32</v>
      </c>
      <c r="D143" s="198" t="s">
        <v>54</v>
      </c>
      <c r="E143" s="198" t="s">
        <v>617</v>
      </c>
      <c r="F143" s="198" t="s">
        <v>618</v>
      </c>
      <c r="G143" s="198" t="s">
        <v>619</v>
      </c>
      <c r="H143" s="199" t="s">
        <v>620</v>
      </c>
      <c r="I143" s="195">
        <v>1598391</v>
      </c>
      <c r="J143" s="198" t="s">
        <v>768</v>
      </c>
      <c r="K143" s="198" t="s">
        <v>768</v>
      </c>
      <c r="L143" s="198" t="s">
        <v>768</v>
      </c>
      <c r="M143" s="197">
        <v>1598391</v>
      </c>
      <c r="N143" s="197">
        <v>160278</v>
      </c>
      <c r="O143" s="196">
        <v>0</v>
      </c>
      <c r="P143" s="195">
        <v>160278</v>
      </c>
      <c r="Q143" s="195">
        <v>1438113</v>
      </c>
    </row>
    <row r="144" spans="1:17" ht="15.95" customHeight="1" x14ac:dyDescent="0.2">
      <c r="A144" s="200" t="s">
        <v>30</v>
      </c>
      <c r="B144" s="5" t="s">
        <v>621</v>
      </c>
      <c r="C144" s="198" t="s">
        <v>32</v>
      </c>
      <c r="D144" s="198" t="s">
        <v>89</v>
      </c>
      <c r="E144" s="198" t="s">
        <v>622</v>
      </c>
      <c r="F144" s="198" t="s">
        <v>623</v>
      </c>
      <c r="G144" s="198" t="s">
        <v>624</v>
      </c>
      <c r="H144" s="199" t="s">
        <v>820</v>
      </c>
      <c r="I144" s="195">
        <v>77742</v>
      </c>
      <c r="J144" s="198" t="s">
        <v>768</v>
      </c>
      <c r="K144" s="198" t="s">
        <v>768</v>
      </c>
      <c r="L144" s="198" t="s">
        <v>768</v>
      </c>
      <c r="M144" s="197">
        <v>77742</v>
      </c>
      <c r="N144" s="197">
        <v>7796</v>
      </c>
      <c r="O144" s="196">
        <v>1785</v>
      </c>
      <c r="P144" s="195">
        <v>9581</v>
      </c>
      <c r="Q144" s="195">
        <v>68161</v>
      </c>
    </row>
    <row r="145" spans="1:17" ht="15.95" customHeight="1" x14ac:dyDescent="0.2">
      <c r="A145" s="200" t="s">
        <v>30</v>
      </c>
      <c r="B145" s="5" t="s">
        <v>626</v>
      </c>
      <c r="C145" s="198" t="s">
        <v>32</v>
      </c>
      <c r="D145" s="198" t="s">
        <v>627</v>
      </c>
      <c r="E145" s="198" t="s">
        <v>628</v>
      </c>
      <c r="F145" s="198" t="s">
        <v>629</v>
      </c>
      <c r="G145" s="198" t="s">
        <v>630</v>
      </c>
      <c r="H145" s="199" t="s">
        <v>631</v>
      </c>
      <c r="I145" s="195">
        <v>221229</v>
      </c>
      <c r="J145" s="198" t="s">
        <v>768</v>
      </c>
      <c r="K145" s="198" t="s">
        <v>768</v>
      </c>
      <c r="L145" s="198" t="s">
        <v>768</v>
      </c>
      <c r="M145" s="197">
        <v>221229</v>
      </c>
      <c r="N145" s="197">
        <v>22184</v>
      </c>
      <c r="O145" s="196">
        <v>120618</v>
      </c>
      <c r="P145" s="195">
        <v>142802</v>
      </c>
      <c r="Q145" s="195">
        <v>78427</v>
      </c>
    </row>
    <row r="146" spans="1:17" ht="15.95" customHeight="1" x14ac:dyDescent="0.2">
      <c r="A146" s="200" t="s">
        <v>30</v>
      </c>
      <c r="B146" s="5" t="s">
        <v>632</v>
      </c>
      <c r="C146" s="198" t="s">
        <v>32</v>
      </c>
      <c r="D146" s="198" t="s">
        <v>54</v>
      </c>
      <c r="E146" s="198" t="s">
        <v>633</v>
      </c>
      <c r="F146" s="198" t="s">
        <v>634</v>
      </c>
      <c r="G146" s="198" t="s">
        <v>635</v>
      </c>
      <c r="H146" s="199" t="s">
        <v>636</v>
      </c>
      <c r="I146" s="195">
        <v>0</v>
      </c>
      <c r="J146" s="198" t="s">
        <v>769</v>
      </c>
      <c r="K146" s="198" t="s">
        <v>769</v>
      </c>
      <c r="L146" s="198" t="s">
        <v>769</v>
      </c>
      <c r="M146" s="197">
        <v>0</v>
      </c>
      <c r="N146" s="197">
        <v>0</v>
      </c>
      <c r="O146" s="196">
        <v>0</v>
      </c>
      <c r="P146" s="195">
        <v>0</v>
      </c>
      <c r="Q146" s="201">
        <v>0</v>
      </c>
    </row>
    <row r="147" spans="1:17" ht="15.95" customHeight="1" x14ac:dyDescent="0.2">
      <c r="A147" s="200" t="s">
        <v>30</v>
      </c>
      <c r="B147" s="5" t="s">
        <v>637</v>
      </c>
      <c r="C147" s="198" t="s">
        <v>32</v>
      </c>
      <c r="D147" s="198" t="s">
        <v>95</v>
      </c>
      <c r="E147" s="198" t="s">
        <v>638</v>
      </c>
      <c r="F147" s="198" t="s">
        <v>639</v>
      </c>
      <c r="G147" s="198" t="s">
        <v>640</v>
      </c>
      <c r="H147" s="199" t="s">
        <v>641</v>
      </c>
      <c r="I147" s="195">
        <v>110970</v>
      </c>
      <c r="J147" s="198" t="s">
        <v>768</v>
      </c>
      <c r="K147" s="198" t="s">
        <v>768</v>
      </c>
      <c r="L147" s="198" t="s">
        <v>768</v>
      </c>
      <c r="M147" s="197">
        <v>110970</v>
      </c>
      <c r="N147" s="197">
        <v>11128</v>
      </c>
      <c r="O147" s="196">
        <v>99842</v>
      </c>
      <c r="P147" s="195">
        <v>110970</v>
      </c>
      <c r="Q147" s="201">
        <v>0</v>
      </c>
    </row>
    <row r="148" spans="1:17" ht="15.95" customHeight="1" x14ac:dyDescent="0.2">
      <c r="A148" s="200" t="s">
        <v>30</v>
      </c>
      <c r="B148" s="5" t="s">
        <v>642</v>
      </c>
      <c r="C148" s="198" t="s">
        <v>32</v>
      </c>
      <c r="D148" s="198" t="s">
        <v>81</v>
      </c>
      <c r="E148" s="198" t="s">
        <v>643</v>
      </c>
      <c r="F148" s="198" t="s">
        <v>644</v>
      </c>
      <c r="G148" s="198" t="s">
        <v>645</v>
      </c>
      <c r="H148" s="199" t="s">
        <v>646</v>
      </c>
      <c r="I148" s="195">
        <v>0</v>
      </c>
      <c r="J148" s="198" t="s">
        <v>769</v>
      </c>
      <c r="K148" s="198" t="s">
        <v>769</v>
      </c>
      <c r="L148" s="198" t="s">
        <v>769</v>
      </c>
      <c r="M148" s="197">
        <v>0</v>
      </c>
      <c r="N148" s="197">
        <v>0</v>
      </c>
      <c r="O148" s="196">
        <v>0</v>
      </c>
      <c r="P148" s="195">
        <v>0</v>
      </c>
      <c r="Q148" s="201">
        <v>0</v>
      </c>
    </row>
    <row r="149" spans="1:17" ht="15.95" customHeight="1" x14ac:dyDescent="0.2">
      <c r="A149" s="200" t="s">
        <v>30</v>
      </c>
      <c r="B149" s="5" t="s">
        <v>647</v>
      </c>
      <c r="C149" s="198" t="s">
        <v>32</v>
      </c>
      <c r="D149" s="198" t="s">
        <v>66</v>
      </c>
      <c r="E149" s="198" t="s">
        <v>648</v>
      </c>
      <c r="F149" s="198" t="s">
        <v>649</v>
      </c>
      <c r="G149" s="198" t="s">
        <v>650</v>
      </c>
      <c r="H149" s="199" t="s">
        <v>651</v>
      </c>
      <c r="I149" s="195">
        <v>60193</v>
      </c>
      <c r="J149" s="198" t="s">
        <v>768</v>
      </c>
      <c r="K149" s="198" t="s">
        <v>768</v>
      </c>
      <c r="L149" s="198" t="s">
        <v>768</v>
      </c>
      <c r="M149" s="197">
        <v>60193</v>
      </c>
      <c r="N149" s="197">
        <v>6036</v>
      </c>
      <c r="O149" s="196">
        <v>25362</v>
      </c>
      <c r="P149" s="195">
        <v>31398</v>
      </c>
      <c r="Q149" s="195">
        <v>28795</v>
      </c>
    </row>
    <row r="150" spans="1:17" ht="15.95" customHeight="1" x14ac:dyDescent="0.2">
      <c r="A150" s="200" t="s">
        <v>30</v>
      </c>
      <c r="B150" s="5" t="s">
        <v>652</v>
      </c>
      <c r="C150" s="198" t="s">
        <v>32</v>
      </c>
      <c r="D150" s="198" t="s">
        <v>33</v>
      </c>
      <c r="E150" s="198" t="s">
        <v>653</v>
      </c>
      <c r="F150" s="198" t="s">
        <v>654</v>
      </c>
      <c r="G150" s="198" t="s">
        <v>655</v>
      </c>
      <c r="H150" s="199" t="s">
        <v>656</v>
      </c>
      <c r="I150" s="195">
        <v>0</v>
      </c>
      <c r="J150" s="198" t="s">
        <v>768</v>
      </c>
      <c r="K150" s="198" t="s">
        <v>769</v>
      </c>
      <c r="L150" s="198" t="s">
        <v>768</v>
      </c>
      <c r="M150" s="197">
        <v>0</v>
      </c>
      <c r="N150" s="197">
        <v>0</v>
      </c>
      <c r="O150" s="196">
        <v>0</v>
      </c>
      <c r="P150" s="195">
        <v>0</v>
      </c>
      <c r="Q150" s="201">
        <v>0</v>
      </c>
    </row>
    <row r="151" spans="1:17" ht="15.95" customHeight="1" x14ac:dyDescent="0.2">
      <c r="A151" s="200" t="s">
        <v>30</v>
      </c>
      <c r="B151" s="5" t="s">
        <v>657</v>
      </c>
      <c r="C151" s="198" t="s">
        <v>32</v>
      </c>
      <c r="D151" s="198" t="s">
        <v>33</v>
      </c>
      <c r="E151" s="198" t="s">
        <v>658</v>
      </c>
      <c r="F151" s="198" t="s">
        <v>659</v>
      </c>
      <c r="G151" s="198" t="s">
        <v>660</v>
      </c>
      <c r="H151" s="199" t="s">
        <v>661</v>
      </c>
      <c r="I151" s="195">
        <v>0</v>
      </c>
      <c r="J151" s="198" t="s">
        <v>768</v>
      </c>
      <c r="K151" s="198" t="s">
        <v>769</v>
      </c>
      <c r="L151" s="198" t="s">
        <v>768</v>
      </c>
      <c r="M151" s="197">
        <v>0</v>
      </c>
      <c r="N151" s="197">
        <v>0</v>
      </c>
      <c r="O151" s="196">
        <v>0</v>
      </c>
      <c r="P151" s="195">
        <v>0</v>
      </c>
      <c r="Q151" s="201">
        <v>0</v>
      </c>
    </row>
    <row r="152" spans="1:17" ht="15.95" customHeight="1" x14ac:dyDescent="0.2">
      <c r="A152" s="200" t="s">
        <v>30</v>
      </c>
      <c r="B152" s="5" t="s">
        <v>662</v>
      </c>
      <c r="C152" s="198" t="s">
        <v>32</v>
      </c>
      <c r="D152" s="198" t="s">
        <v>663</v>
      </c>
      <c r="E152" s="198" t="s">
        <v>664</v>
      </c>
      <c r="F152" s="198" t="s">
        <v>665</v>
      </c>
      <c r="G152" s="198" t="s">
        <v>666</v>
      </c>
      <c r="H152" s="199" t="s">
        <v>667</v>
      </c>
      <c r="I152" s="195">
        <v>92919</v>
      </c>
      <c r="J152" s="198" t="s">
        <v>768</v>
      </c>
      <c r="K152" s="198" t="s">
        <v>768</v>
      </c>
      <c r="L152" s="198" t="s">
        <v>768</v>
      </c>
      <c r="M152" s="197">
        <v>92919</v>
      </c>
      <c r="N152" s="197">
        <v>9317</v>
      </c>
      <c r="O152" s="196">
        <v>83602</v>
      </c>
      <c r="P152" s="195">
        <v>92919</v>
      </c>
      <c r="Q152" s="201">
        <v>0</v>
      </c>
    </row>
    <row r="153" spans="1:17" ht="15.95" customHeight="1" x14ac:dyDescent="0.2">
      <c r="A153" s="200" t="s">
        <v>30</v>
      </c>
      <c r="B153" s="5" t="s">
        <v>668</v>
      </c>
      <c r="C153" s="198" t="s">
        <v>32</v>
      </c>
      <c r="D153" s="198" t="s">
        <v>669</v>
      </c>
      <c r="E153" s="198" t="s">
        <v>670</v>
      </c>
      <c r="F153" s="198" t="s">
        <v>671</v>
      </c>
      <c r="G153" s="198" t="s">
        <v>672</v>
      </c>
      <c r="H153" s="199" t="s">
        <v>783</v>
      </c>
      <c r="I153" s="195">
        <v>0</v>
      </c>
      <c r="J153" s="198" t="s">
        <v>769</v>
      </c>
      <c r="K153" s="198" t="s">
        <v>769</v>
      </c>
      <c r="L153" s="198" t="s">
        <v>768</v>
      </c>
      <c r="M153" s="197">
        <v>0</v>
      </c>
      <c r="N153" s="197">
        <v>0</v>
      </c>
      <c r="O153" s="196">
        <v>0</v>
      </c>
      <c r="P153" s="195">
        <v>0</v>
      </c>
      <c r="Q153" s="201">
        <v>0</v>
      </c>
    </row>
    <row r="154" spans="1:17" ht="15.95" customHeight="1" x14ac:dyDescent="0.2">
      <c r="A154" s="200" t="s">
        <v>30</v>
      </c>
      <c r="B154" s="5" t="s">
        <v>674</v>
      </c>
      <c r="C154" s="198" t="s">
        <v>32</v>
      </c>
      <c r="D154" s="198" t="s">
        <v>675</v>
      </c>
      <c r="E154" s="198" t="s">
        <v>676</v>
      </c>
      <c r="F154" s="198" t="s">
        <v>677</v>
      </c>
      <c r="G154" s="198" t="s">
        <v>678</v>
      </c>
      <c r="H154" s="199" t="s">
        <v>679</v>
      </c>
      <c r="I154" s="195">
        <v>190874</v>
      </c>
      <c r="J154" s="198" t="s">
        <v>768</v>
      </c>
      <c r="K154" s="198" t="s">
        <v>768</v>
      </c>
      <c r="L154" s="198" t="s">
        <v>768</v>
      </c>
      <c r="M154" s="197">
        <v>190874</v>
      </c>
      <c r="N154" s="197">
        <v>19140</v>
      </c>
      <c r="O154" s="196">
        <v>99947</v>
      </c>
      <c r="P154" s="195">
        <v>119087</v>
      </c>
      <c r="Q154" s="195">
        <v>71787</v>
      </c>
    </row>
    <row r="155" spans="1:17" ht="15.95" customHeight="1" x14ac:dyDescent="0.2">
      <c r="A155" s="200" t="s">
        <v>30</v>
      </c>
      <c r="B155" s="5" t="s">
        <v>680</v>
      </c>
      <c r="C155" s="198" t="s">
        <v>32</v>
      </c>
      <c r="D155" s="198" t="s">
        <v>110</v>
      </c>
      <c r="E155" s="198" t="s">
        <v>681</v>
      </c>
      <c r="F155" s="198" t="s">
        <v>682</v>
      </c>
      <c r="G155" s="198" t="s">
        <v>683</v>
      </c>
      <c r="H155" s="199" t="s">
        <v>939</v>
      </c>
      <c r="I155" s="195">
        <v>114602</v>
      </c>
      <c r="J155" s="198" t="s">
        <v>768</v>
      </c>
      <c r="K155" s="198" t="s">
        <v>768</v>
      </c>
      <c r="L155" s="198" t="s">
        <v>768</v>
      </c>
      <c r="M155" s="197">
        <v>114602</v>
      </c>
      <c r="N155" s="197">
        <v>11492</v>
      </c>
      <c r="O155" s="196">
        <v>11460</v>
      </c>
      <c r="P155" s="195">
        <v>22952</v>
      </c>
      <c r="Q155" s="195">
        <v>91650</v>
      </c>
    </row>
    <row r="156" spans="1:17" ht="15.95" customHeight="1" x14ac:dyDescent="0.2">
      <c r="A156" s="200" t="s">
        <v>30</v>
      </c>
      <c r="B156" s="5" t="s">
        <v>685</v>
      </c>
      <c r="C156" s="198" t="s">
        <v>32</v>
      </c>
      <c r="D156" s="198" t="s">
        <v>149</v>
      </c>
      <c r="E156" s="198" t="s">
        <v>686</v>
      </c>
      <c r="F156" s="198" t="s">
        <v>687</v>
      </c>
      <c r="G156" s="198" t="s">
        <v>688</v>
      </c>
      <c r="H156" s="199" t="s">
        <v>689</v>
      </c>
      <c r="I156" s="195">
        <v>66068</v>
      </c>
      <c r="J156" s="198" t="s">
        <v>768</v>
      </c>
      <c r="K156" s="198" t="s">
        <v>768</v>
      </c>
      <c r="L156" s="198" t="s">
        <v>768</v>
      </c>
      <c r="M156" s="197">
        <v>66068</v>
      </c>
      <c r="N156" s="197">
        <v>6625</v>
      </c>
      <c r="O156" s="196">
        <v>0</v>
      </c>
      <c r="P156" s="195">
        <v>6625</v>
      </c>
      <c r="Q156" s="195">
        <v>59443</v>
      </c>
    </row>
    <row r="157" spans="1:17" ht="15.95" customHeight="1" x14ac:dyDescent="0.2">
      <c r="A157" s="200" t="s">
        <v>30</v>
      </c>
      <c r="B157" s="5" t="s">
        <v>690</v>
      </c>
      <c r="C157" s="198" t="s">
        <v>32</v>
      </c>
      <c r="D157" s="198" t="s">
        <v>33</v>
      </c>
      <c r="E157" s="198" t="s">
        <v>691</v>
      </c>
      <c r="F157" s="198" t="s">
        <v>692</v>
      </c>
      <c r="G157" s="198" t="s">
        <v>693</v>
      </c>
      <c r="H157" s="199" t="s">
        <v>694</v>
      </c>
      <c r="I157" s="195">
        <v>279084</v>
      </c>
      <c r="J157" s="198" t="s">
        <v>768</v>
      </c>
      <c r="K157" s="198" t="s">
        <v>768</v>
      </c>
      <c r="L157" s="198" t="s">
        <v>768</v>
      </c>
      <c r="M157" s="197">
        <v>279084</v>
      </c>
      <c r="N157" s="197">
        <v>27985</v>
      </c>
      <c r="O157" s="196">
        <v>199923</v>
      </c>
      <c r="P157" s="195">
        <v>227908</v>
      </c>
      <c r="Q157" s="195">
        <v>51176</v>
      </c>
    </row>
    <row r="158" spans="1:17" ht="15.95" customHeight="1" x14ac:dyDescent="0.2">
      <c r="A158" s="200" t="s">
        <v>30</v>
      </c>
      <c r="B158" s="5" t="s">
        <v>695</v>
      </c>
      <c r="C158" s="198" t="s">
        <v>32</v>
      </c>
      <c r="D158" s="198" t="s">
        <v>81</v>
      </c>
      <c r="E158" s="198" t="s">
        <v>696</v>
      </c>
      <c r="F158" s="198" t="s">
        <v>697</v>
      </c>
      <c r="G158" s="198" t="s">
        <v>698</v>
      </c>
      <c r="H158" s="199" t="s">
        <v>699</v>
      </c>
      <c r="I158" s="195">
        <v>0</v>
      </c>
      <c r="J158" s="198" t="s">
        <v>769</v>
      </c>
      <c r="K158" s="198" t="s">
        <v>769</v>
      </c>
      <c r="L158" s="198" t="s">
        <v>769</v>
      </c>
      <c r="M158" s="197">
        <v>0</v>
      </c>
      <c r="N158" s="197">
        <v>0</v>
      </c>
      <c r="O158" s="196">
        <v>0</v>
      </c>
      <c r="P158" s="195">
        <v>0</v>
      </c>
      <c r="Q158" s="201">
        <v>0</v>
      </c>
    </row>
    <row r="159" spans="1:17" ht="15.95" customHeight="1" x14ac:dyDescent="0.2">
      <c r="A159" s="200" t="s">
        <v>30</v>
      </c>
      <c r="B159" s="5" t="s">
        <v>700</v>
      </c>
      <c r="C159" s="198" t="s">
        <v>32</v>
      </c>
      <c r="D159" s="198" t="s">
        <v>48</v>
      </c>
      <c r="E159" s="198" t="s">
        <v>701</v>
      </c>
      <c r="F159" s="198" t="s">
        <v>702</v>
      </c>
      <c r="G159" s="198" t="s">
        <v>703</v>
      </c>
      <c r="H159" s="199" t="s">
        <v>704</v>
      </c>
      <c r="I159" s="195">
        <v>260090</v>
      </c>
      <c r="J159" s="198" t="s">
        <v>768</v>
      </c>
      <c r="K159" s="198" t="s">
        <v>768</v>
      </c>
      <c r="L159" s="198" t="s">
        <v>768</v>
      </c>
      <c r="M159" s="197">
        <v>260090</v>
      </c>
      <c r="N159" s="197">
        <v>26080</v>
      </c>
      <c r="O159" s="196">
        <v>11</v>
      </c>
      <c r="P159" s="195">
        <v>26091</v>
      </c>
      <c r="Q159" s="195">
        <v>233999</v>
      </c>
    </row>
    <row r="160" spans="1:17" ht="15.95" customHeight="1" x14ac:dyDescent="0.2">
      <c r="A160" s="200" t="s">
        <v>30</v>
      </c>
      <c r="B160" s="5" t="s">
        <v>705</v>
      </c>
      <c r="C160" s="198" t="s">
        <v>32</v>
      </c>
      <c r="D160" s="198" t="s">
        <v>33</v>
      </c>
      <c r="E160" s="198" t="s">
        <v>706</v>
      </c>
      <c r="F160" s="198" t="s">
        <v>707</v>
      </c>
      <c r="G160" s="198" t="s">
        <v>708</v>
      </c>
      <c r="H160" s="199" t="s">
        <v>709</v>
      </c>
      <c r="I160" s="195">
        <v>0</v>
      </c>
      <c r="J160" s="198" t="s">
        <v>769</v>
      </c>
      <c r="K160" s="198" t="s">
        <v>769</v>
      </c>
      <c r="L160" s="198" t="s">
        <v>769</v>
      </c>
      <c r="M160" s="197">
        <v>0</v>
      </c>
      <c r="N160" s="197">
        <v>0</v>
      </c>
      <c r="O160" s="196">
        <v>0</v>
      </c>
      <c r="P160" s="195">
        <v>0</v>
      </c>
      <c r="Q160" s="201">
        <v>0</v>
      </c>
    </row>
    <row r="161" spans="1:17" ht="15.95" customHeight="1" x14ac:dyDescent="0.2">
      <c r="A161" s="200" t="s">
        <v>30</v>
      </c>
      <c r="B161" s="5" t="s">
        <v>710</v>
      </c>
      <c r="C161" s="198" t="s">
        <v>32</v>
      </c>
      <c r="D161" s="198" t="s">
        <v>152</v>
      </c>
      <c r="E161" s="198" t="s">
        <v>711</v>
      </c>
      <c r="F161" s="198" t="s">
        <v>712</v>
      </c>
      <c r="G161" s="198" t="s">
        <v>713</v>
      </c>
      <c r="H161" s="199" t="s">
        <v>714</v>
      </c>
      <c r="I161" s="195">
        <v>0</v>
      </c>
      <c r="J161" s="198" t="s">
        <v>769</v>
      </c>
      <c r="K161" s="198" t="s">
        <v>769</v>
      </c>
      <c r="L161" s="198" t="s">
        <v>769</v>
      </c>
      <c r="M161" s="197">
        <v>0</v>
      </c>
      <c r="N161" s="197">
        <v>0</v>
      </c>
      <c r="O161" s="196">
        <v>0</v>
      </c>
      <c r="P161" s="195">
        <v>0</v>
      </c>
      <c r="Q161" s="201">
        <v>0</v>
      </c>
    </row>
    <row r="162" spans="1:17" ht="15.95" customHeight="1" x14ac:dyDescent="0.2">
      <c r="A162" s="200" t="s">
        <v>30</v>
      </c>
      <c r="B162" s="5" t="s">
        <v>715</v>
      </c>
      <c r="C162" s="198" t="s">
        <v>32</v>
      </c>
      <c r="D162" s="198" t="s">
        <v>95</v>
      </c>
      <c r="E162" s="198" t="s">
        <v>716</v>
      </c>
      <c r="F162" s="198" t="s">
        <v>717</v>
      </c>
      <c r="G162" s="198" t="s">
        <v>718</v>
      </c>
      <c r="H162" s="199" t="s">
        <v>719</v>
      </c>
      <c r="I162" s="195">
        <v>60241</v>
      </c>
      <c r="J162" s="198" t="s">
        <v>768</v>
      </c>
      <c r="K162" s="198" t="s">
        <v>768</v>
      </c>
      <c r="L162" s="198" t="s">
        <v>768</v>
      </c>
      <c r="M162" s="197">
        <v>60241</v>
      </c>
      <c r="N162" s="197">
        <v>6041</v>
      </c>
      <c r="O162" s="196">
        <v>0</v>
      </c>
      <c r="P162" s="195">
        <v>6041</v>
      </c>
      <c r="Q162" s="195">
        <v>54200</v>
      </c>
    </row>
    <row r="163" spans="1:17" ht="15.95" customHeight="1" x14ac:dyDescent="0.2">
      <c r="A163" s="200" t="s">
        <v>30</v>
      </c>
      <c r="B163" s="5" t="s">
        <v>720</v>
      </c>
      <c r="C163" s="198" t="s">
        <v>32</v>
      </c>
      <c r="D163" s="198" t="s">
        <v>81</v>
      </c>
      <c r="E163" s="198" t="s">
        <v>721</v>
      </c>
      <c r="F163" s="198" t="s">
        <v>722</v>
      </c>
      <c r="G163" s="198" t="s">
        <v>723</v>
      </c>
      <c r="H163" s="199" t="s">
        <v>724</v>
      </c>
      <c r="I163" s="195">
        <v>0</v>
      </c>
      <c r="J163" s="198" t="s">
        <v>769</v>
      </c>
      <c r="K163" s="198" t="s">
        <v>769</v>
      </c>
      <c r="L163" s="198" t="s">
        <v>769</v>
      </c>
      <c r="M163" s="197">
        <v>0</v>
      </c>
      <c r="N163" s="197">
        <v>0</v>
      </c>
      <c r="O163" s="196">
        <v>0</v>
      </c>
      <c r="P163" s="195">
        <v>0</v>
      </c>
      <c r="Q163" s="201">
        <v>0</v>
      </c>
    </row>
    <row r="164" spans="1:17" ht="15.95" customHeight="1" x14ac:dyDescent="0.2">
      <c r="A164" s="200" t="s">
        <v>30</v>
      </c>
      <c r="B164" s="5" t="s">
        <v>725</v>
      </c>
      <c r="C164" s="198" t="s">
        <v>32</v>
      </c>
      <c r="D164" s="198" t="s">
        <v>33</v>
      </c>
      <c r="E164" s="198" t="s">
        <v>726</v>
      </c>
      <c r="F164" s="198" t="s">
        <v>727</v>
      </c>
      <c r="G164" s="198" t="s">
        <v>728</v>
      </c>
      <c r="H164" s="199" t="s">
        <v>938</v>
      </c>
      <c r="I164" s="195">
        <v>107800</v>
      </c>
      <c r="J164" s="198" t="s">
        <v>768</v>
      </c>
      <c r="K164" s="198" t="s">
        <v>768</v>
      </c>
      <c r="L164" s="198" t="s">
        <v>768</v>
      </c>
      <c r="M164" s="197">
        <v>107800</v>
      </c>
      <c r="N164" s="197">
        <v>10810</v>
      </c>
      <c r="O164" s="196">
        <v>68212</v>
      </c>
      <c r="P164" s="195">
        <v>79022</v>
      </c>
      <c r="Q164" s="195">
        <v>28778</v>
      </c>
    </row>
    <row r="165" spans="1:17" ht="15.95" customHeight="1" x14ac:dyDescent="0.2">
      <c r="A165" s="200" t="s">
        <v>30</v>
      </c>
      <c r="B165" s="5" t="s">
        <v>730</v>
      </c>
      <c r="C165" s="198" t="s">
        <v>32</v>
      </c>
      <c r="D165" s="198" t="s">
        <v>33</v>
      </c>
      <c r="E165" s="198" t="s">
        <v>731</v>
      </c>
      <c r="F165" s="198" t="s">
        <v>732</v>
      </c>
      <c r="G165" s="198" t="s">
        <v>733</v>
      </c>
      <c r="H165" s="199" t="s">
        <v>734</v>
      </c>
      <c r="I165" s="195">
        <v>110970</v>
      </c>
      <c r="J165" s="198" t="s">
        <v>768</v>
      </c>
      <c r="K165" s="198" t="s">
        <v>768</v>
      </c>
      <c r="L165" s="198" t="s">
        <v>768</v>
      </c>
      <c r="M165" s="197">
        <v>110970</v>
      </c>
      <c r="N165" s="197">
        <v>11128</v>
      </c>
      <c r="O165" s="196">
        <v>0</v>
      </c>
      <c r="P165" s="195">
        <v>11128</v>
      </c>
      <c r="Q165" s="195">
        <v>99842</v>
      </c>
    </row>
    <row r="166" spans="1:17" ht="15.95" customHeight="1" x14ac:dyDescent="0.2">
      <c r="A166" s="200" t="s">
        <v>30</v>
      </c>
      <c r="B166" s="5" t="s">
        <v>735</v>
      </c>
      <c r="C166" s="198" t="s">
        <v>32</v>
      </c>
      <c r="D166" s="198" t="s">
        <v>75</v>
      </c>
      <c r="E166" s="198" t="s">
        <v>736</v>
      </c>
      <c r="F166" s="198" t="s">
        <v>737</v>
      </c>
      <c r="G166" s="198" t="s">
        <v>738</v>
      </c>
      <c r="H166" s="199" t="s">
        <v>739</v>
      </c>
      <c r="I166" s="195">
        <v>197454</v>
      </c>
      <c r="J166" s="198" t="s">
        <v>768</v>
      </c>
      <c r="K166" s="198" t="s">
        <v>768</v>
      </c>
      <c r="L166" s="198" t="s">
        <v>768</v>
      </c>
      <c r="M166" s="197">
        <v>197454</v>
      </c>
      <c r="N166" s="197">
        <v>19800</v>
      </c>
      <c r="O166" s="196">
        <v>17</v>
      </c>
      <c r="P166" s="195">
        <v>19817</v>
      </c>
      <c r="Q166" s="195">
        <v>177637</v>
      </c>
    </row>
    <row r="167" spans="1:17" ht="15.95" customHeight="1" x14ac:dyDescent="0.2">
      <c r="A167" s="200" t="s">
        <v>30</v>
      </c>
      <c r="B167" s="5" t="s">
        <v>740</v>
      </c>
      <c r="C167" s="198" t="s">
        <v>32</v>
      </c>
      <c r="D167" s="198" t="s">
        <v>152</v>
      </c>
      <c r="E167" s="198" t="s">
        <v>741</v>
      </c>
      <c r="F167" s="198" t="s">
        <v>742</v>
      </c>
      <c r="G167" s="198" t="s">
        <v>743</v>
      </c>
      <c r="H167" s="199" t="s">
        <v>937</v>
      </c>
      <c r="I167" s="195">
        <v>111764</v>
      </c>
      <c r="J167" s="198" t="s">
        <v>768</v>
      </c>
      <c r="K167" s="198" t="s">
        <v>768</v>
      </c>
      <c r="L167" s="198" t="s">
        <v>768</v>
      </c>
      <c r="M167" s="197">
        <v>111764</v>
      </c>
      <c r="N167" s="197">
        <v>11207</v>
      </c>
      <c r="O167" s="196">
        <v>0</v>
      </c>
      <c r="P167" s="195">
        <v>11207</v>
      </c>
      <c r="Q167" s="195">
        <v>100557</v>
      </c>
    </row>
    <row r="168" spans="1:17" ht="15.95" customHeight="1" x14ac:dyDescent="0.2">
      <c r="A168" s="200" t="s">
        <v>30</v>
      </c>
      <c r="B168" s="5" t="s">
        <v>745</v>
      </c>
      <c r="C168" s="198" t="s">
        <v>32</v>
      </c>
      <c r="D168" s="198" t="s">
        <v>152</v>
      </c>
      <c r="E168" s="198" t="s">
        <v>746</v>
      </c>
      <c r="F168" s="198" t="s">
        <v>747</v>
      </c>
      <c r="G168" s="198" t="s">
        <v>748</v>
      </c>
      <c r="H168" s="199" t="s">
        <v>749</v>
      </c>
      <c r="I168" s="195">
        <v>0</v>
      </c>
      <c r="J168" s="198" t="s">
        <v>768</v>
      </c>
      <c r="K168" s="198" t="s">
        <v>768</v>
      </c>
      <c r="L168" s="198" t="s">
        <v>769</v>
      </c>
      <c r="M168" s="197">
        <v>0</v>
      </c>
      <c r="N168" s="197">
        <v>0</v>
      </c>
      <c r="O168" s="196">
        <v>0</v>
      </c>
      <c r="P168" s="195">
        <v>0</v>
      </c>
      <c r="Q168" s="201">
        <v>0</v>
      </c>
    </row>
    <row r="169" spans="1:17" ht="15.95" customHeight="1" x14ac:dyDescent="0.2">
      <c r="A169" s="200" t="s">
        <v>30</v>
      </c>
      <c r="B169" s="5" t="s">
        <v>750</v>
      </c>
      <c r="C169" s="198" t="s">
        <v>32</v>
      </c>
      <c r="D169" s="198" t="s">
        <v>152</v>
      </c>
      <c r="E169" s="198" t="s">
        <v>751</v>
      </c>
      <c r="F169" s="198" t="s">
        <v>752</v>
      </c>
      <c r="G169" s="198" t="s">
        <v>753</v>
      </c>
      <c r="H169" s="199" t="s">
        <v>29</v>
      </c>
      <c r="I169" s="195">
        <v>294651</v>
      </c>
      <c r="J169" s="198" t="s">
        <v>768</v>
      </c>
      <c r="K169" s="198" t="s">
        <v>768</v>
      </c>
      <c r="L169" s="198" t="s">
        <v>768</v>
      </c>
      <c r="M169" s="197">
        <v>294651</v>
      </c>
      <c r="N169" s="197">
        <v>29546</v>
      </c>
      <c r="O169" s="196">
        <v>265105</v>
      </c>
      <c r="P169" s="195">
        <v>294651</v>
      </c>
      <c r="Q169" s="201">
        <v>0</v>
      </c>
    </row>
    <row r="170" spans="1:17" ht="15.95" customHeight="1" x14ac:dyDescent="0.2">
      <c r="A170" s="200" t="s">
        <v>30</v>
      </c>
      <c r="B170" s="5" t="s">
        <v>754</v>
      </c>
      <c r="C170" s="198" t="s">
        <v>32</v>
      </c>
      <c r="D170" s="198" t="s">
        <v>42</v>
      </c>
      <c r="E170" s="198" t="s">
        <v>755</v>
      </c>
      <c r="F170" s="198" t="s">
        <v>756</v>
      </c>
      <c r="G170" s="198" t="s">
        <v>757</v>
      </c>
      <c r="H170" s="199" t="s">
        <v>758</v>
      </c>
      <c r="I170" s="195">
        <v>191968</v>
      </c>
      <c r="J170" s="198" t="s">
        <v>768</v>
      </c>
      <c r="K170" s="198" t="s">
        <v>768</v>
      </c>
      <c r="L170" s="198" t="s">
        <v>768</v>
      </c>
      <c r="M170" s="197">
        <v>191968</v>
      </c>
      <c r="N170" s="197">
        <v>19250</v>
      </c>
      <c r="O170" s="196">
        <v>64181</v>
      </c>
      <c r="P170" s="195">
        <v>83431</v>
      </c>
      <c r="Q170" s="195">
        <v>108537</v>
      </c>
    </row>
    <row r="171" spans="1:17" ht="15.95" customHeight="1" x14ac:dyDescent="0.2">
      <c r="A171" s="200" t="s">
        <v>30</v>
      </c>
      <c r="B171" s="5" t="s">
        <v>759</v>
      </c>
      <c r="C171" s="198" t="s">
        <v>32</v>
      </c>
      <c r="D171" s="198" t="s">
        <v>81</v>
      </c>
      <c r="E171" s="198" t="s">
        <v>760</v>
      </c>
      <c r="F171" s="198" t="s">
        <v>761</v>
      </c>
      <c r="G171" s="198" t="s">
        <v>762</v>
      </c>
      <c r="H171" s="199" t="s">
        <v>763</v>
      </c>
      <c r="I171" s="195">
        <v>366327</v>
      </c>
      <c r="J171" s="198" t="s">
        <v>768</v>
      </c>
      <c r="K171" s="198" t="s">
        <v>768</v>
      </c>
      <c r="L171" s="198" t="s">
        <v>768</v>
      </c>
      <c r="M171" s="197">
        <v>366327</v>
      </c>
      <c r="N171" s="197">
        <v>36733</v>
      </c>
      <c r="O171" s="196">
        <v>0</v>
      </c>
      <c r="P171" s="195">
        <v>36733</v>
      </c>
      <c r="Q171" s="195">
        <v>329594</v>
      </c>
    </row>
    <row r="172" spans="1:17" ht="15.95" customHeight="1" x14ac:dyDescent="0.25">
      <c r="A172" s="194" t="s">
        <v>992</v>
      </c>
      <c r="B172" s="193"/>
      <c r="C172" s="191"/>
      <c r="D172" s="191"/>
      <c r="E172" s="191"/>
      <c r="F172" s="191"/>
      <c r="G172" s="191"/>
      <c r="H172" s="192"/>
      <c r="I172" s="189">
        <f>SUBTOTAL(109,Table37[Revised 
Eligibility
Amount])</f>
        <v>406349105</v>
      </c>
      <c r="J172" s="191"/>
      <c r="K172" s="191"/>
      <c r="L172" s="191"/>
      <c r="M172" s="190">
        <f>SUBTOTAL(109,Table37[Revised
Allocation
Amount])</f>
        <v>406349105</v>
      </c>
      <c r="N172" s="190">
        <f>SUBTOTAL(109,Table37[1st
Apportionment])</f>
        <v>40746495</v>
      </c>
      <c r="O172" s="189">
        <f>SUBTOTAL(109,Table37[2nd Apportionment])</f>
        <v>37195717</v>
      </c>
      <c r="P172" s="189">
        <f>SUBTOTAL(109,Table37[Total Paid])</f>
        <v>77942212</v>
      </c>
      <c r="Q172" s="189">
        <f>SUBTOTAL(109,Table37[Balance
Remaining])</f>
        <v>328406893</v>
      </c>
    </row>
    <row r="173" spans="1:17" ht="15.95" customHeight="1" x14ac:dyDescent="0.2">
      <c r="A173" s="187" t="s">
        <v>765</v>
      </c>
      <c r="L173" s="284" t="s">
        <v>985</v>
      </c>
      <c r="M173" s="285">
        <f>SUMIF(Table37[Direct
Funded
Charter School
Number],"N/A",Table37[Revised
Allocation
Amount])</f>
        <v>362945667</v>
      </c>
      <c r="N173" s="285"/>
    </row>
    <row r="174" spans="1:17" ht="15.95" customHeight="1" x14ac:dyDescent="0.2">
      <c r="A174" s="187" t="s">
        <v>766</v>
      </c>
    </row>
    <row r="175" spans="1:17" x14ac:dyDescent="0.2">
      <c r="A175" s="188" t="s">
        <v>776</v>
      </c>
    </row>
  </sheetData>
  <pageMargins left="0.7" right="0.7" top="0.75" bottom="0.75" header="0.3" footer="0.3"/>
  <pageSetup scale="42" fitToHeight="0" orientation="landscape" horizontalDpi="200" verticalDpi="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BF220-C82F-4C30-A89A-6B943DD3AC40}">
  <sheetPr>
    <pageSetUpPr fitToPage="1"/>
  </sheetPr>
  <dimension ref="A1:X175"/>
  <sheetViews>
    <sheetView zoomScaleNormal="100" workbookViewId="0">
      <pane xSplit="8" ySplit="8" topLeftCell="I9" activePane="bottomRight" state="frozen"/>
      <selection activeCell="C1" sqref="C1"/>
      <selection pane="topRight" activeCell="I1" sqref="I1"/>
      <selection pane="bottomLeft" activeCell="C9" sqref="C9"/>
      <selection pane="bottomRight" activeCell="C172" sqref="C172"/>
    </sheetView>
  </sheetViews>
  <sheetFormatPr defaultColWidth="9.21875" defaultRowHeight="15" x14ac:dyDescent="0.2"/>
  <cols>
    <col min="1" max="1" width="17.6640625" style="2" customWidth="1"/>
    <col min="2" max="2" width="17.88671875" style="2" customWidth="1"/>
    <col min="3" max="3" width="9.33203125" style="2" customWidth="1"/>
    <col min="4" max="4" width="8.88671875" style="2" customWidth="1"/>
    <col min="5" max="5" width="10.109375" style="2" customWidth="1"/>
    <col min="6" max="6" width="11.88671875" style="2" customWidth="1"/>
    <col min="7" max="7" width="11.44140625" style="2" customWidth="1"/>
    <col min="8" max="8" width="48.109375" style="2" customWidth="1"/>
    <col min="9" max="9" width="15" style="2" bestFit="1" customWidth="1"/>
    <col min="10" max="10" width="13.88671875" style="2" bestFit="1" customWidth="1"/>
    <col min="11" max="11" width="15" style="2" bestFit="1" customWidth="1"/>
    <col min="12" max="12" width="12.44140625" style="2" customWidth="1"/>
    <col min="13" max="13" width="10.6640625" style="2" customWidth="1"/>
    <col min="14" max="14" width="12" style="2" customWidth="1"/>
    <col min="15" max="15" width="21.44140625" style="2" bestFit="1" customWidth="1"/>
    <col min="16" max="16" width="22.109375" style="2" customWidth="1"/>
    <col min="17" max="17" width="21.44140625" style="2" bestFit="1" customWidth="1"/>
    <col min="18" max="18" width="20.6640625" style="2" bestFit="1" customWidth="1"/>
    <col min="19" max="19" width="22.109375" style="2" customWidth="1"/>
    <col min="20" max="20" width="20.5546875" style="2" bestFit="1" customWidth="1"/>
    <col min="21" max="21" width="16.88671875" style="2" bestFit="1" customWidth="1"/>
    <col min="22" max="22" width="21.109375" style="2" customWidth="1"/>
    <col min="23" max="23" width="12.33203125" style="2" bestFit="1" customWidth="1"/>
    <col min="24" max="24" width="15" style="2" bestFit="1" customWidth="1"/>
    <col min="25" max="26" width="7.33203125" style="2"/>
    <col min="27" max="16384" width="9.21875" style="2"/>
  </cols>
  <sheetData>
    <row r="1" spans="1:24" ht="19.5" x14ac:dyDescent="0.3">
      <c r="A1" s="1" t="s">
        <v>0</v>
      </c>
    </row>
    <row r="2" spans="1:24" ht="16.5" x14ac:dyDescent="0.25">
      <c r="A2" s="3" t="s">
        <v>1</v>
      </c>
    </row>
    <row r="3" spans="1:24" x14ac:dyDescent="0.2">
      <c r="A3" s="4" t="s">
        <v>2</v>
      </c>
    </row>
    <row r="4" spans="1:24" x14ac:dyDescent="0.2">
      <c r="A4" s="2" t="s">
        <v>3</v>
      </c>
    </row>
    <row r="5" spans="1:24" x14ac:dyDescent="0.2">
      <c r="A5" s="2" t="s">
        <v>4</v>
      </c>
    </row>
    <row r="6" spans="1:24" ht="23.25" x14ac:dyDescent="0.3">
      <c r="A6" s="5" t="s">
        <v>774</v>
      </c>
    </row>
    <row r="7" spans="1:24" x14ac:dyDescent="0.2">
      <c r="A7" s="5" t="s">
        <v>770</v>
      </c>
    </row>
    <row r="8" spans="1:24" ht="108" customHeight="1" x14ac:dyDescent="0.25">
      <c r="A8" s="6" t="s">
        <v>5</v>
      </c>
      <c r="B8" s="7" t="s">
        <v>6</v>
      </c>
      <c r="C8" s="8" t="s">
        <v>7</v>
      </c>
      <c r="D8" s="8" t="s">
        <v>8</v>
      </c>
      <c r="E8" s="8" t="s">
        <v>9</v>
      </c>
      <c r="F8" s="8" t="s">
        <v>10</v>
      </c>
      <c r="G8" s="8" t="s">
        <v>11</v>
      </c>
      <c r="H8" s="7" t="s">
        <v>12</v>
      </c>
      <c r="I8" s="8" t="s">
        <v>13</v>
      </c>
      <c r="J8" s="8" t="s">
        <v>14</v>
      </c>
      <c r="K8" s="8" t="s">
        <v>15</v>
      </c>
      <c r="L8" s="8" t="s">
        <v>16</v>
      </c>
      <c r="M8" s="8" t="s">
        <v>17</v>
      </c>
      <c r="N8" s="8" t="s">
        <v>18</v>
      </c>
      <c r="O8" s="8" t="s">
        <v>19</v>
      </c>
      <c r="P8" s="8" t="s">
        <v>771</v>
      </c>
      <c r="Q8" s="9" t="s">
        <v>20</v>
      </c>
      <c r="R8" s="8" t="s">
        <v>21</v>
      </c>
      <c r="S8" s="8" t="s">
        <v>772</v>
      </c>
      <c r="T8" s="9" t="s">
        <v>22</v>
      </c>
      <c r="U8" s="38" t="s">
        <v>23</v>
      </c>
      <c r="V8" s="10" t="s">
        <v>24</v>
      </c>
      <c r="W8" s="10" t="s">
        <v>25</v>
      </c>
      <c r="X8" s="11" t="s">
        <v>773</v>
      </c>
    </row>
    <row r="9" spans="1:24" x14ac:dyDescent="0.2">
      <c r="A9" s="12" t="s">
        <v>30</v>
      </c>
      <c r="B9" s="13" t="s">
        <v>31</v>
      </c>
      <c r="C9" s="14" t="s">
        <v>32</v>
      </c>
      <c r="D9" s="14" t="s">
        <v>33</v>
      </c>
      <c r="E9" s="14" t="s">
        <v>26</v>
      </c>
      <c r="F9" s="14" t="s">
        <v>27</v>
      </c>
      <c r="G9" s="15" t="s">
        <v>33</v>
      </c>
      <c r="H9" s="16" t="s">
        <v>34</v>
      </c>
      <c r="I9" s="17">
        <v>9207724</v>
      </c>
      <c r="J9" s="17">
        <v>3231622</v>
      </c>
      <c r="K9" s="18">
        <v>12439346</v>
      </c>
      <c r="L9" s="30" t="s">
        <v>768</v>
      </c>
      <c r="M9" s="30" t="s">
        <v>768</v>
      </c>
      <c r="N9" s="30" t="s">
        <v>768</v>
      </c>
      <c r="O9" s="18">
        <v>7366179</v>
      </c>
      <c r="P9" s="18">
        <v>1841545</v>
      </c>
      <c r="Q9" s="18">
        <v>9207724</v>
      </c>
      <c r="R9" s="18">
        <v>2585298</v>
      </c>
      <c r="S9" s="18">
        <v>646324</v>
      </c>
      <c r="T9" s="18">
        <v>3231622</v>
      </c>
      <c r="U9" s="37">
        <v>12439346</v>
      </c>
      <c r="V9" s="18">
        <v>920772</v>
      </c>
      <c r="W9" s="18">
        <v>920772</v>
      </c>
      <c r="X9" s="19">
        <v>11509655</v>
      </c>
    </row>
    <row r="10" spans="1:24" x14ac:dyDescent="0.2">
      <c r="A10" s="12" t="s">
        <v>30</v>
      </c>
      <c r="B10" s="13" t="s">
        <v>35</v>
      </c>
      <c r="C10" s="14" t="s">
        <v>32</v>
      </c>
      <c r="D10" s="14" t="s">
        <v>36</v>
      </c>
      <c r="E10" s="14" t="s">
        <v>26</v>
      </c>
      <c r="F10" s="14" t="s">
        <v>27</v>
      </c>
      <c r="G10" s="15" t="s">
        <v>36</v>
      </c>
      <c r="H10" s="16" t="s">
        <v>37</v>
      </c>
      <c r="I10" s="17">
        <v>990413</v>
      </c>
      <c r="J10" s="17">
        <v>347604</v>
      </c>
      <c r="K10" s="18">
        <v>1338017</v>
      </c>
      <c r="L10" s="30" t="s">
        <v>768</v>
      </c>
      <c r="M10" s="30" t="s">
        <v>768</v>
      </c>
      <c r="N10" s="30" t="s">
        <v>768</v>
      </c>
      <c r="O10" s="18">
        <v>792330</v>
      </c>
      <c r="P10" s="18">
        <v>198083</v>
      </c>
      <c r="Q10" s="18">
        <v>990413</v>
      </c>
      <c r="R10" s="18">
        <v>278083</v>
      </c>
      <c r="S10" s="18">
        <v>69521</v>
      </c>
      <c r="T10" s="18">
        <v>347604</v>
      </c>
      <c r="U10" s="37">
        <v>1338017</v>
      </c>
      <c r="V10" s="18">
        <v>99041</v>
      </c>
      <c r="W10" s="18">
        <v>99041</v>
      </c>
      <c r="X10" s="19">
        <v>1238016</v>
      </c>
    </row>
    <row r="11" spans="1:24" x14ac:dyDescent="0.2">
      <c r="A11" s="12" t="s">
        <v>30</v>
      </c>
      <c r="B11" s="13" t="s">
        <v>38</v>
      </c>
      <c r="C11" s="14" t="s">
        <v>32</v>
      </c>
      <c r="D11" s="14" t="s">
        <v>39</v>
      </c>
      <c r="E11" s="14" t="s">
        <v>26</v>
      </c>
      <c r="F11" s="14" t="s">
        <v>27</v>
      </c>
      <c r="G11" s="15" t="s">
        <v>39</v>
      </c>
      <c r="H11" s="16" t="s">
        <v>40</v>
      </c>
      <c r="I11" s="17">
        <v>508112</v>
      </c>
      <c r="J11" s="17">
        <v>178331</v>
      </c>
      <c r="K11" s="18">
        <v>686443</v>
      </c>
      <c r="L11" s="30" t="s">
        <v>768</v>
      </c>
      <c r="M11" s="30" t="s">
        <v>768</v>
      </c>
      <c r="N11" s="30" t="s">
        <v>768</v>
      </c>
      <c r="O11" s="18">
        <v>406490</v>
      </c>
      <c r="P11" s="18">
        <v>101622</v>
      </c>
      <c r="Q11" s="18">
        <v>508112</v>
      </c>
      <c r="R11" s="18">
        <v>142665</v>
      </c>
      <c r="S11" s="18">
        <v>35666</v>
      </c>
      <c r="T11" s="18">
        <v>178331</v>
      </c>
      <c r="U11" s="37">
        <v>686443</v>
      </c>
      <c r="V11" s="18">
        <v>50811</v>
      </c>
      <c r="W11" s="18">
        <v>50811</v>
      </c>
      <c r="X11" s="19">
        <v>635140</v>
      </c>
    </row>
    <row r="12" spans="1:24" x14ac:dyDescent="0.2">
      <c r="A12" s="12" t="s">
        <v>30</v>
      </c>
      <c r="B12" s="13" t="s">
        <v>41</v>
      </c>
      <c r="C12" s="14" t="s">
        <v>32</v>
      </c>
      <c r="D12" s="14" t="s">
        <v>42</v>
      </c>
      <c r="E12" s="14" t="s">
        <v>26</v>
      </c>
      <c r="F12" s="14" t="s">
        <v>27</v>
      </c>
      <c r="G12" s="15" t="s">
        <v>42</v>
      </c>
      <c r="H12" s="16" t="s">
        <v>43</v>
      </c>
      <c r="I12" s="17">
        <v>39493332</v>
      </c>
      <c r="J12" s="17">
        <v>13860919</v>
      </c>
      <c r="K12" s="18">
        <v>53354251</v>
      </c>
      <c r="L12" s="30" t="s">
        <v>768</v>
      </c>
      <c r="M12" s="30" t="s">
        <v>768</v>
      </c>
      <c r="N12" s="30" t="s">
        <v>768</v>
      </c>
      <c r="O12" s="18">
        <v>31594666</v>
      </c>
      <c r="P12" s="18">
        <v>7898666</v>
      </c>
      <c r="Q12" s="18">
        <v>39493332</v>
      </c>
      <c r="R12" s="18">
        <v>11088735</v>
      </c>
      <c r="S12" s="18">
        <v>2772184</v>
      </c>
      <c r="T12" s="18">
        <v>13860919</v>
      </c>
      <c r="U12" s="37">
        <v>53354251</v>
      </c>
      <c r="V12" s="18">
        <v>3949333</v>
      </c>
      <c r="W12" s="18">
        <v>3949333</v>
      </c>
      <c r="X12" s="19">
        <v>49366665</v>
      </c>
    </row>
    <row r="13" spans="1:24" x14ac:dyDescent="0.2">
      <c r="A13" s="12" t="s">
        <v>30</v>
      </c>
      <c r="B13" s="13" t="s">
        <v>44</v>
      </c>
      <c r="C13" s="14" t="s">
        <v>32</v>
      </c>
      <c r="D13" s="14" t="s">
        <v>45</v>
      </c>
      <c r="E13" s="14" t="s">
        <v>26</v>
      </c>
      <c r="F13" s="14" t="s">
        <v>27</v>
      </c>
      <c r="G13" s="15" t="s">
        <v>45</v>
      </c>
      <c r="H13" s="16" t="s">
        <v>46</v>
      </c>
      <c r="I13" s="17">
        <v>404462</v>
      </c>
      <c r="J13" s="17">
        <v>141953</v>
      </c>
      <c r="K13" s="18">
        <v>546415</v>
      </c>
      <c r="L13" s="30" t="s">
        <v>768</v>
      </c>
      <c r="M13" s="30" t="s">
        <v>768</v>
      </c>
      <c r="N13" s="30" t="s">
        <v>768</v>
      </c>
      <c r="O13" s="18">
        <v>323570</v>
      </c>
      <c r="P13" s="18">
        <v>80892</v>
      </c>
      <c r="Q13" s="18">
        <v>404462</v>
      </c>
      <c r="R13" s="18">
        <v>113562</v>
      </c>
      <c r="S13" s="18">
        <v>28391</v>
      </c>
      <c r="T13" s="18">
        <v>141953</v>
      </c>
      <c r="U13" s="37">
        <v>546415</v>
      </c>
      <c r="V13" s="18">
        <v>40446</v>
      </c>
      <c r="W13" s="18">
        <v>40446</v>
      </c>
      <c r="X13" s="19">
        <v>505578</v>
      </c>
    </row>
    <row r="14" spans="1:24" x14ac:dyDescent="0.2">
      <c r="A14" s="12" t="s">
        <v>30</v>
      </c>
      <c r="B14" s="13" t="s">
        <v>47</v>
      </c>
      <c r="C14" s="14" t="s">
        <v>32</v>
      </c>
      <c r="D14" s="14" t="s">
        <v>48</v>
      </c>
      <c r="E14" s="14" t="s">
        <v>26</v>
      </c>
      <c r="F14" s="14" t="s">
        <v>27</v>
      </c>
      <c r="G14" s="15" t="s">
        <v>48</v>
      </c>
      <c r="H14" s="16" t="s">
        <v>49</v>
      </c>
      <c r="I14" s="17">
        <v>32981616</v>
      </c>
      <c r="J14" s="17">
        <v>11575511</v>
      </c>
      <c r="K14" s="18">
        <v>44557127</v>
      </c>
      <c r="L14" s="30" t="s">
        <v>768</v>
      </c>
      <c r="M14" s="30" t="s">
        <v>768</v>
      </c>
      <c r="N14" s="30" t="s">
        <v>768</v>
      </c>
      <c r="O14" s="18">
        <v>26385293</v>
      </c>
      <c r="P14" s="18">
        <v>6596323</v>
      </c>
      <c r="Q14" s="18">
        <v>32981616</v>
      </c>
      <c r="R14" s="18">
        <v>9260409</v>
      </c>
      <c r="S14" s="18">
        <v>2315102</v>
      </c>
      <c r="T14" s="18">
        <v>11575511</v>
      </c>
      <c r="U14" s="37">
        <v>44557127</v>
      </c>
      <c r="V14" s="18">
        <v>3298162</v>
      </c>
      <c r="W14" s="18">
        <v>3298162</v>
      </c>
      <c r="X14" s="19">
        <v>41227019</v>
      </c>
    </row>
    <row r="15" spans="1:24" x14ac:dyDescent="0.2">
      <c r="A15" s="12" t="s">
        <v>30</v>
      </c>
      <c r="B15" s="13" t="s">
        <v>50</v>
      </c>
      <c r="C15" s="14" t="s">
        <v>32</v>
      </c>
      <c r="D15" s="14" t="s">
        <v>51</v>
      </c>
      <c r="E15" s="14" t="s">
        <v>26</v>
      </c>
      <c r="F15" s="14" t="s">
        <v>27</v>
      </c>
      <c r="G15" s="15" t="s">
        <v>51</v>
      </c>
      <c r="H15" s="16" t="s">
        <v>52</v>
      </c>
      <c r="I15" s="17">
        <v>959300</v>
      </c>
      <c r="J15" s="17">
        <v>336684</v>
      </c>
      <c r="K15" s="18">
        <v>1295984</v>
      </c>
      <c r="L15" s="30" t="s">
        <v>768</v>
      </c>
      <c r="M15" s="30" t="s">
        <v>768</v>
      </c>
      <c r="N15" s="30" t="s">
        <v>768</v>
      </c>
      <c r="O15" s="18">
        <v>767440</v>
      </c>
      <c r="P15" s="18">
        <v>191860</v>
      </c>
      <c r="Q15" s="18">
        <v>959300</v>
      </c>
      <c r="R15" s="18">
        <v>269347</v>
      </c>
      <c r="S15" s="18">
        <v>67337</v>
      </c>
      <c r="T15" s="18">
        <v>336684</v>
      </c>
      <c r="U15" s="37">
        <v>1295984</v>
      </c>
      <c r="V15" s="18">
        <v>95930</v>
      </c>
      <c r="W15" s="18">
        <v>95930</v>
      </c>
      <c r="X15" s="19">
        <v>1199125</v>
      </c>
    </row>
    <row r="16" spans="1:24" x14ac:dyDescent="0.2">
      <c r="A16" s="12" t="s">
        <v>30</v>
      </c>
      <c r="B16" s="13" t="s">
        <v>53</v>
      </c>
      <c r="C16" s="14" t="s">
        <v>32</v>
      </c>
      <c r="D16" s="14" t="s">
        <v>54</v>
      </c>
      <c r="E16" s="14" t="s">
        <v>26</v>
      </c>
      <c r="F16" s="14" t="s">
        <v>27</v>
      </c>
      <c r="G16" s="15" t="s">
        <v>54</v>
      </c>
      <c r="H16" s="16" t="s">
        <v>55</v>
      </c>
      <c r="I16" s="17">
        <v>124450</v>
      </c>
      <c r="J16" s="17">
        <v>43678</v>
      </c>
      <c r="K16" s="18">
        <v>168128</v>
      </c>
      <c r="L16" s="30" t="s">
        <v>768</v>
      </c>
      <c r="M16" s="30" t="s">
        <v>768</v>
      </c>
      <c r="N16" s="30" t="s">
        <v>768</v>
      </c>
      <c r="O16" s="18">
        <v>99560</v>
      </c>
      <c r="P16" s="18">
        <v>24890</v>
      </c>
      <c r="Q16" s="18">
        <v>124450</v>
      </c>
      <c r="R16" s="18">
        <v>34942</v>
      </c>
      <c r="S16" s="18">
        <v>8736</v>
      </c>
      <c r="T16" s="18">
        <v>43678</v>
      </c>
      <c r="U16" s="37">
        <v>168128</v>
      </c>
      <c r="V16" s="18">
        <v>12445</v>
      </c>
      <c r="W16" s="18">
        <v>12445</v>
      </c>
      <c r="X16" s="19">
        <v>155562</v>
      </c>
    </row>
    <row r="17" spans="1:24" x14ac:dyDescent="0.2">
      <c r="A17" s="12" t="s">
        <v>30</v>
      </c>
      <c r="B17" s="13" t="s">
        <v>56</v>
      </c>
      <c r="C17" s="14" t="s">
        <v>32</v>
      </c>
      <c r="D17" s="14" t="s">
        <v>57</v>
      </c>
      <c r="E17" s="14" t="s">
        <v>26</v>
      </c>
      <c r="F17" s="14" t="s">
        <v>27</v>
      </c>
      <c r="G17" s="15" t="s">
        <v>57</v>
      </c>
      <c r="H17" s="16" t="s">
        <v>58</v>
      </c>
      <c r="I17" s="17">
        <v>1348206</v>
      </c>
      <c r="J17" s="17">
        <v>473178</v>
      </c>
      <c r="K17" s="18">
        <v>1821384</v>
      </c>
      <c r="L17" s="30" t="s">
        <v>768</v>
      </c>
      <c r="M17" s="30" t="s">
        <v>768</v>
      </c>
      <c r="N17" s="30" t="s">
        <v>768</v>
      </c>
      <c r="O17" s="18">
        <v>1078565</v>
      </c>
      <c r="P17" s="18">
        <v>269641</v>
      </c>
      <c r="Q17" s="18">
        <v>1348206</v>
      </c>
      <c r="R17" s="18">
        <v>378542</v>
      </c>
      <c r="S17" s="18">
        <v>94636</v>
      </c>
      <c r="T17" s="18">
        <v>473178</v>
      </c>
      <c r="U17" s="37">
        <v>1821384</v>
      </c>
      <c r="V17" s="18">
        <v>134821</v>
      </c>
      <c r="W17" s="18">
        <v>134821</v>
      </c>
      <c r="X17" s="19">
        <v>1685257</v>
      </c>
    </row>
    <row r="18" spans="1:24" x14ac:dyDescent="0.2">
      <c r="A18" s="12" t="s">
        <v>30</v>
      </c>
      <c r="B18" s="13" t="s">
        <v>59</v>
      </c>
      <c r="C18" s="14" t="s">
        <v>32</v>
      </c>
      <c r="D18" s="14" t="s">
        <v>60</v>
      </c>
      <c r="E18" s="14" t="s">
        <v>26</v>
      </c>
      <c r="F18" s="14" t="s">
        <v>27</v>
      </c>
      <c r="G18" s="15" t="s">
        <v>60</v>
      </c>
      <c r="H18" s="16" t="s">
        <v>61</v>
      </c>
      <c r="I18" s="17">
        <v>2289454</v>
      </c>
      <c r="J18" s="17">
        <v>803526</v>
      </c>
      <c r="K18" s="18">
        <v>3092980</v>
      </c>
      <c r="L18" s="30" t="s">
        <v>768</v>
      </c>
      <c r="M18" s="30" t="s">
        <v>768</v>
      </c>
      <c r="N18" s="30" t="s">
        <v>768</v>
      </c>
      <c r="O18" s="18">
        <v>1831563</v>
      </c>
      <c r="P18" s="18">
        <v>457891</v>
      </c>
      <c r="Q18" s="18">
        <v>2289454</v>
      </c>
      <c r="R18" s="18">
        <v>642821</v>
      </c>
      <c r="S18" s="18">
        <v>160705</v>
      </c>
      <c r="T18" s="18">
        <v>803526</v>
      </c>
      <c r="U18" s="37">
        <v>3092980</v>
      </c>
      <c r="V18" s="18">
        <v>228945</v>
      </c>
      <c r="W18" s="18">
        <v>228945</v>
      </c>
      <c r="X18" s="19">
        <v>2861818</v>
      </c>
    </row>
    <row r="19" spans="1:24" x14ac:dyDescent="0.2">
      <c r="A19" s="12" t="s">
        <v>30</v>
      </c>
      <c r="B19" s="13" t="s">
        <v>62</v>
      </c>
      <c r="C19" s="14" t="s">
        <v>32</v>
      </c>
      <c r="D19" s="14" t="s">
        <v>63</v>
      </c>
      <c r="E19" s="14" t="s">
        <v>26</v>
      </c>
      <c r="F19" s="14" t="s">
        <v>27</v>
      </c>
      <c r="G19" s="15" t="s">
        <v>63</v>
      </c>
      <c r="H19" s="16" t="s">
        <v>64</v>
      </c>
      <c r="I19" s="17">
        <v>26658168</v>
      </c>
      <c r="J19" s="17">
        <v>9356180</v>
      </c>
      <c r="K19" s="18">
        <v>36014348</v>
      </c>
      <c r="L19" s="30" t="s">
        <v>768</v>
      </c>
      <c r="M19" s="30" t="s">
        <v>768</v>
      </c>
      <c r="N19" s="30" t="s">
        <v>768</v>
      </c>
      <c r="O19" s="18">
        <v>21326534</v>
      </c>
      <c r="P19" s="18">
        <v>5331634</v>
      </c>
      <c r="Q19" s="18">
        <v>26658168</v>
      </c>
      <c r="R19" s="18">
        <v>7484944</v>
      </c>
      <c r="S19" s="18">
        <v>1871236</v>
      </c>
      <c r="T19" s="18">
        <v>9356180</v>
      </c>
      <c r="U19" s="37">
        <v>36014348</v>
      </c>
      <c r="V19" s="18">
        <v>2665817</v>
      </c>
      <c r="W19" s="18">
        <v>2665817</v>
      </c>
      <c r="X19" s="19">
        <v>33322710</v>
      </c>
    </row>
    <row r="20" spans="1:24" x14ac:dyDescent="0.2">
      <c r="A20" s="12" t="s">
        <v>30</v>
      </c>
      <c r="B20" s="13" t="s">
        <v>65</v>
      </c>
      <c r="C20" s="14" t="s">
        <v>32</v>
      </c>
      <c r="D20" s="14" t="s">
        <v>66</v>
      </c>
      <c r="E20" s="14" t="s">
        <v>26</v>
      </c>
      <c r="F20" s="14" t="s">
        <v>27</v>
      </c>
      <c r="G20" s="15" t="s">
        <v>66</v>
      </c>
      <c r="H20" s="16" t="s">
        <v>67</v>
      </c>
      <c r="I20" s="17">
        <v>10644188</v>
      </c>
      <c r="J20" s="17">
        <v>3735776</v>
      </c>
      <c r="K20" s="18">
        <v>14379964</v>
      </c>
      <c r="L20" s="30" t="s">
        <v>768</v>
      </c>
      <c r="M20" s="30" t="s">
        <v>768</v>
      </c>
      <c r="N20" s="30" t="s">
        <v>768</v>
      </c>
      <c r="O20" s="18">
        <v>8515350</v>
      </c>
      <c r="P20" s="18">
        <v>2128838</v>
      </c>
      <c r="Q20" s="18">
        <v>10644188</v>
      </c>
      <c r="R20" s="18">
        <v>2988621</v>
      </c>
      <c r="S20" s="18">
        <v>747155</v>
      </c>
      <c r="T20" s="18">
        <v>3735776</v>
      </c>
      <c r="U20" s="37">
        <v>14379964</v>
      </c>
      <c r="V20" s="18">
        <v>1064419</v>
      </c>
      <c r="W20" s="18">
        <v>1064419</v>
      </c>
      <c r="X20" s="19">
        <v>13305235</v>
      </c>
    </row>
    <row r="21" spans="1:24" x14ac:dyDescent="0.2">
      <c r="A21" s="12" t="s">
        <v>30</v>
      </c>
      <c r="B21" s="13" t="s">
        <v>68</v>
      </c>
      <c r="C21" s="14" t="s">
        <v>32</v>
      </c>
      <c r="D21" s="14" t="s">
        <v>69</v>
      </c>
      <c r="E21" s="14" t="s">
        <v>26</v>
      </c>
      <c r="F21" s="14" t="s">
        <v>27</v>
      </c>
      <c r="G21" s="15" t="s">
        <v>69</v>
      </c>
      <c r="H21" s="16" t="s">
        <v>70</v>
      </c>
      <c r="I21" s="17">
        <v>6999197</v>
      </c>
      <c r="J21" s="17">
        <v>2456498</v>
      </c>
      <c r="K21" s="18">
        <v>9455695</v>
      </c>
      <c r="L21" s="30" t="s">
        <v>768</v>
      </c>
      <c r="M21" s="30" t="s">
        <v>768</v>
      </c>
      <c r="N21" s="30" t="s">
        <v>768</v>
      </c>
      <c r="O21" s="18">
        <v>5599358</v>
      </c>
      <c r="P21" s="18">
        <v>1399839</v>
      </c>
      <c r="Q21" s="18">
        <v>6999197</v>
      </c>
      <c r="R21" s="18">
        <v>1965198</v>
      </c>
      <c r="S21" s="18">
        <v>491300</v>
      </c>
      <c r="T21" s="18">
        <v>2456498</v>
      </c>
      <c r="U21" s="37">
        <v>9455695</v>
      </c>
      <c r="V21" s="18">
        <v>699920</v>
      </c>
      <c r="W21" s="18">
        <v>699920</v>
      </c>
      <c r="X21" s="19">
        <v>8748996</v>
      </c>
    </row>
    <row r="22" spans="1:24" x14ac:dyDescent="0.2">
      <c r="A22" s="12" t="s">
        <v>30</v>
      </c>
      <c r="B22" s="13" t="s">
        <v>71</v>
      </c>
      <c r="C22" s="14" t="s">
        <v>32</v>
      </c>
      <c r="D22" s="14" t="s">
        <v>72</v>
      </c>
      <c r="E22" s="14" t="s">
        <v>26</v>
      </c>
      <c r="F22" s="14" t="s">
        <v>27</v>
      </c>
      <c r="G22" s="15" t="s">
        <v>72</v>
      </c>
      <c r="H22" s="16" t="s">
        <v>73</v>
      </c>
      <c r="I22" s="17">
        <v>2266261</v>
      </c>
      <c r="J22" s="17">
        <v>795387</v>
      </c>
      <c r="K22" s="18">
        <v>3061648</v>
      </c>
      <c r="L22" s="30" t="s">
        <v>768</v>
      </c>
      <c r="M22" s="30" t="s">
        <v>768</v>
      </c>
      <c r="N22" s="30" t="s">
        <v>768</v>
      </c>
      <c r="O22" s="18">
        <v>1813009</v>
      </c>
      <c r="P22" s="18">
        <v>453252</v>
      </c>
      <c r="Q22" s="18">
        <v>2266261</v>
      </c>
      <c r="R22" s="18">
        <v>636310</v>
      </c>
      <c r="S22" s="18">
        <v>159077</v>
      </c>
      <c r="T22" s="18">
        <v>795387</v>
      </c>
      <c r="U22" s="37">
        <v>3061648</v>
      </c>
      <c r="V22" s="18">
        <v>226626</v>
      </c>
      <c r="W22" s="18">
        <v>226626</v>
      </c>
      <c r="X22" s="19">
        <v>2832826</v>
      </c>
    </row>
    <row r="23" spans="1:24" x14ac:dyDescent="0.2">
      <c r="A23" s="12" t="s">
        <v>30</v>
      </c>
      <c r="B23" s="13" t="s">
        <v>74</v>
      </c>
      <c r="C23" s="14" t="s">
        <v>32</v>
      </c>
      <c r="D23" s="14" t="s">
        <v>75</v>
      </c>
      <c r="E23" s="14" t="s">
        <v>26</v>
      </c>
      <c r="F23" s="14" t="s">
        <v>27</v>
      </c>
      <c r="G23" s="15" t="s">
        <v>75</v>
      </c>
      <c r="H23" s="16" t="s">
        <v>76</v>
      </c>
      <c r="I23" s="17">
        <v>27682337</v>
      </c>
      <c r="J23" s="17">
        <v>9715631</v>
      </c>
      <c r="K23" s="18">
        <v>37397968</v>
      </c>
      <c r="L23" s="30" t="s">
        <v>768</v>
      </c>
      <c r="M23" s="30" t="s">
        <v>768</v>
      </c>
      <c r="N23" s="30" t="s">
        <v>768</v>
      </c>
      <c r="O23" s="18">
        <v>22145870</v>
      </c>
      <c r="P23" s="18">
        <v>5536467</v>
      </c>
      <c r="Q23" s="18">
        <v>27682337</v>
      </c>
      <c r="R23" s="18">
        <v>7772505</v>
      </c>
      <c r="S23" s="18">
        <v>1943126</v>
      </c>
      <c r="T23" s="18">
        <v>9715631</v>
      </c>
      <c r="U23" s="37">
        <v>37397968</v>
      </c>
      <c r="V23" s="18">
        <v>2768234</v>
      </c>
      <c r="W23" s="18">
        <v>2768234</v>
      </c>
      <c r="X23" s="19">
        <v>34602921</v>
      </c>
    </row>
    <row r="24" spans="1:24" x14ac:dyDescent="0.2">
      <c r="A24" s="12" t="s">
        <v>30</v>
      </c>
      <c r="B24" s="13" t="s">
        <v>77</v>
      </c>
      <c r="C24" s="14" t="s">
        <v>32</v>
      </c>
      <c r="D24" s="14" t="s">
        <v>78</v>
      </c>
      <c r="E24" s="14" t="s">
        <v>26</v>
      </c>
      <c r="F24" s="14" t="s">
        <v>27</v>
      </c>
      <c r="G24" s="15" t="s">
        <v>78</v>
      </c>
      <c r="H24" s="16" t="s">
        <v>79</v>
      </c>
      <c r="I24" s="17">
        <v>931376</v>
      </c>
      <c r="J24" s="17">
        <v>326884</v>
      </c>
      <c r="K24" s="18">
        <v>1258260</v>
      </c>
      <c r="L24" s="30" t="s">
        <v>768</v>
      </c>
      <c r="M24" s="30" t="s">
        <v>768</v>
      </c>
      <c r="N24" s="30" t="s">
        <v>768</v>
      </c>
      <c r="O24" s="18">
        <v>745101</v>
      </c>
      <c r="P24" s="18">
        <v>186275</v>
      </c>
      <c r="Q24" s="18">
        <v>931376</v>
      </c>
      <c r="R24" s="18">
        <v>261507</v>
      </c>
      <c r="S24" s="18">
        <v>65377</v>
      </c>
      <c r="T24" s="18">
        <v>326884</v>
      </c>
      <c r="U24" s="37">
        <v>1258260</v>
      </c>
      <c r="V24" s="18">
        <v>93138</v>
      </c>
      <c r="W24" s="18">
        <v>93138</v>
      </c>
      <c r="X24" s="19">
        <v>1164219</v>
      </c>
    </row>
    <row r="25" spans="1:24" x14ac:dyDescent="0.2">
      <c r="A25" s="12" t="s">
        <v>30</v>
      </c>
      <c r="B25" s="13" t="s">
        <v>80</v>
      </c>
      <c r="C25" s="14" t="s">
        <v>32</v>
      </c>
      <c r="D25" s="14" t="s">
        <v>81</v>
      </c>
      <c r="E25" s="14" t="s">
        <v>26</v>
      </c>
      <c r="F25" s="14" t="s">
        <v>27</v>
      </c>
      <c r="G25" s="15" t="s">
        <v>81</v>
      </c>
      <c r="H25" s="16" t="s">
        <v>82</v>
      </c>
      <c r="I25" s="17">
        <v>250721</v>
      </c>
      <c r="J25" s="17">
        <v>87995</v>
      </c>
      <c r="K25" s="18">
        <v>338716</v>
      </c>
      <c r="L25" s="30" t="s">
        <v>768</v>
      </c>
      <c r="M25" s="30" t="s">
        <v>768</v>
      </c>
      <c r="N25" s="30" t="s">
        <v>768</v>
      </c>
      <c r="O25" s="18">
        <v>200577</v>
      </c>
      <c r="P25" s="18">
        <v>50144</v>
      </c>
      <c r="Q25" s="18">
        <v>250721</v>
      </c>
      <c r="R25" s="18">
        <v>70396</v>
      </c>
      <c r="S25" s="18">
        <v>17599</v>
      </c>
      <c r="T25" s="18">
        <v>87995</v>
      </c>
      <c r="U25" s="37">
        <v>338716</v>
      </c>
      <c r="V25" s="18">
        <v>25072</v>
      </c>
      <c r="W25" s="18">
        <v>25072</v>
      </c>
      <c r="X25" s="19">
        <v>313401</v>
      </c>
    </row>
    <row r="26" spans="1:24" x14ac:dyDescent="0.2">
      <c r="A26" s="12" t="s">
        <v>30</v>
      </c>
      <c r="B26" s="13" t="s">
        <v>83</v>
      </c>
      <c r="C26" s="14" t="s">
        <v>32</v>
      </c>
      <c r="D26" s="14" t="s">
        <v>84</v>
      </c>
      <c r="E26" s="14" t="s">
        <v>26</v>
      </c>
      <c r="F26" s="14" t="s">
        <v>27</v>
      </c>
      <c r="G26" s="15" t="s">
        <v>84</v>
      </c>
      <c r="H26" s="16" t="s">
        <v>85</v>
      </c>
      <c r="I26" s="17">
        <v>495456</v>
      </c>
      <c r="J26" s="17">
        <v>173889</v>
      </c>
      <c r="K26" s="18">
        <v>669345</v>
      </c>
      <c r="L26" s="30" t="s">
        <v>768</v>
      </c>
      <c r="M26" s="30" t="s">
        <v>768</v>
      </c>
      <c r="N26" s="30" t="s">
        <v>768</v>
      </c>
      <c r="O26" s="18">
        <v>396365</v>
      </c>
      <c r="P26" s="18">
        <v>99091</v>
      </c>
      <c r="Q26" s="18">
        <v>495456</v>
      </c>
      <c r="R26" s="18">
        <v>139111</v>
      </c>
      <c r="S26" s="18">
        <v>34778</v>
      </c>
      <c r="T26" s="18">
        <v>173889</v>
      </c>
      <c r="U26" s="37">
        <v>669345</v>
      </c>
      <c r="V26" s="18">
        <v>49546</v>
      </c>
      <c r="W26" s="18">
        <v>49546</v>
      </c>
      <c r="X26" s="19">
        <v>619320</v>
      </c>
    </row>
    <row r="27" spans="1:24" x14ac:dyDescent="0.2">
      <c r="A27" s="12" t="s">
        <v>30</v>
      </c>
      <c r="B27" s="13" t="s">
        <v>86</v>
      </c>
      <c r="C27" s="14" t="s">
        <v>32</v>
      </c>
      <c r="D27" s="14" t="s">
        <v>87</v>
      </c>
      <c r="E27" s="14" t="s">
        <v>26</v>
      </c>
      <c r="F27" s="14" t="s">
        <v>27</v>
      </c>
      <c r="G27" s="15" t="s">
        <v>87</v>
      </c>
      <c r="H27" s="16" t="s">
        <v>28</v>
      </c>
      <c r="I27" s="17">
        <v>3633564</v>
      </c>
      <c r="J27" s="17">
        <v>1275267</v>
      </c>
      <c r="K27" s="18">
        <v>4908831</v>
      </c>
      <c r="L27" s="30" t="s">
        <v>768</v>
      </c>
      <c r="M27" s="30" t="s">
        <v>768</v>
      </c>
      <c r="N27" s="30" t="s">
        <v>768</v>
      </c>
      <c r="O27" s="18">
        <v>2906851</v>
      </c>
      <c r="P27" s="18">
        <v>726713</v>
      </c>
      <c r="Q27" s="18">
        <v>3633564</v>
      </c>
      <c r="R27" s="18">
        <v>1020214</v>
      </c>
      <c r="S27" s="18">
        <v>255053</v>
      </c>
      <c r="T27" s="18">
        <v>1275267</v>
      </c>
      <c r="U27" s="37">
        <v>4908831</v>
      </c>
      <c r="V27" s="18">
        <v>363356</v>
      </c>
      <c r="W27" s="18">
        <v>363356</v>
      </c>
      <c r="X27" s="19">
        <v>4541955</v>
      </c>
    </row>
    <row r="28" spans="1:24" x14ac:dyDescent="0.2">
      <c r="A28" s="12" t="s">
        <v>30</v>
      </c>
      <c r="B28" s="13" t="s">
        <v>88</v>
      </c>
      <c r="C28" s="14" t="s">
        <v>32</v>
      </c>
      <c r="D28" s="14" t="s">
        <v>89</v>
      </c>
      <c r="E28" s="14" t="s">
        <v>26</v>
      </c>
      <c r="F28" s="14" t="s">
        <v>27</v>
      </c>
      <c r="G28" s="15" t="s">
        <v>89</v>
      </c>
      <c r="H28" s="16" t="s">
        <v>90</v>
      </c>
      <c r="I28" s="17">
        <v>14931323</v>
      </c>
      <c r="J28" s="17">
        <v>5240425</v>
      </c>
      <c r="K28" s="18">
        <v>20171748</v>
      </c>
      <c r="L28" s="30" t="s">
        <v>768</v>
      </c>
      <c r="M28" s="30" t="s">
        <v>768</v>
      </c>
      <c r="N28" s="30" t="s">
        <v>768</v>
      </c>
      <c r="O28" s="18">
        <v>11945058</v>
      </c>
      <c r="P28" s="18">
        <v>2986265</v>
      </c>
      <c r="Q28" s="18">
        <v>14931323</v>
      </c>
      <c r="R28" s="18">
        <v>4192340</v>
      </c>
      <c r="S28" s="18">
        <v>1048085</v>
      </c>
      <c r="T28" s="18">
        <v>5240425</v>
      </c>
      <c r="U28" s="37">
        <v>20171748</v>
      </c>
      <c r="V28" s="18">
        <v>1493132</v>
      </c>
      <c r="W28" s="18">
        <v>1493132</v>
      </c>
      <c r="X28" s="19">
        <v>18664154</v>
      </c>
    </row>
    <row r="29" spans="1:24" x14ac:dyDescent="0.2">
      <c r="A29" s="12" t="s">
        <v>30</v>
      </c>
      <c r="B29" s="13" t="s">
        <v>91</v>
      </c>
      <c r="C29" s="14" t="s">
        <v>32</v>
      </c>
      <c r="D29" s="14" t="s">
        <v>92</v>
      </c>
      <c r="E29" s="14" t="s">
        <v>26</v>
      </c>
      <c r="F29" s="14" t="s">
        <v>27</v>
      </c>
      <c r="G29" s="15" t="s">
        <v>92</v>
      </c>
      <c r="H29" s="16" t="s">
        <v>93</v>
      </c>
      <c r="I29" s="17">
        <v>4645623</v>
      </c>
      <c r="J29" s="17">
        <v>1630468</v>
      </c>
      <c r="K29" s="18">
        <v>6276091</v>
      </c>
      <c r="L29" s="30" t="s">
        <v>768</v>
      </c>
      <c r="M29" s="30" t="s">
        <v>768</v>
      </c>
      <c r="N29" s="30" t="s">
        <v>768</v>
      </c>
      <c r="O29" s="18">
        <v>3716498</v>
      </c>
      <c r="P29" s="18">
        <v>929125</v>
      </c>
      <c r="Q29" s="18">
        <v>4645623</v>
      </c>
      <c r="R29" s="18">
        <v>1304374</v>
      </c>
      <c r="S29" s="18">
        <v>326094</v>
      </c>
      <c r="T29" s="18">
        <v>1630468</v>
      </c>
      <c r="U29" s="37">
        <v>6276091</v>
      </c>
      <c r="V29" s="18">
        <v>464562</v>
      </c>
      <c r="W29" s="18">
        <v>464562</v>
      </c>
      <c r="X29" s="19">
        <v>5807029</v>
      </c>
    </row>
    <row r="30" spans="1:24" x14ac:dyDescent="0.2">
      <c r="A30" s="12" t="s">
        <v>30</v>
      </c>
      <c r="B30" s="13" t="s">
        <v>94</v>
      </c>
      <c r="C30" s="14" t="s">
        <v>32</v>
      </c>
      <c r="D30" s="14" t="s">
        <v>95</v>
      </c>
      <c r="E30" s="14" t="s">
        <v>26</v>
      </c>
      <c r="F30" s="14" t="s">
        <v>27</v>
      </c>
      <c r="G30" s="15" t="s">
        <v>95</v>
      </c>
      <c r="H30" s="16" t="s">
        <v>96</v>
      </c>
      <c r="I30" s="17">
        <v>2971315</v>
      </c>
      <c r="J30" s="17">
        <v>1042838</v>
      </c>
      <c r="K30" s="18">
        <v>4014153</v>
      </c>
      <c r="L30" s="30" t="s">
        <v>768</v>
      </c>
      <c r="M30" s="30" t="s">
        <v>768</v>
      </c>
      <c r="N30" s="30" t="s">
        <v>768</v>
      </c>
      <c r="O30" s="18">
        <v>2377052</v>
      </c>
      <c r="P30" s="18">
        <v>594263</v>
      </c>
      <c r="Q30" s="18">
        <v>2971315</v>
      </c>
      <c r="R30" s="18">
        <v>834270</v>
      </c>
      <c r="S30" s="18">
        <v>208568</v>
      </c>
      <c r="T30" s="18">
        <v>1042838</v>
      </c>
      <c r="U30" s="37">
        <v>4014153</v>
      </c>
      <c r="V30" s="18">
        <v>297132</v>
      </c>
      <c r="W30" s="18">
        <v>297132</v>
      </c>
      <c r="X30" s="19">
        <v>3714143</v>
      </c>
    </row>
    <row r="31" spans="1:24" x14ac:dyDescent="0.2">
      <c r="A31" s="12" t="s">
        <v>30</v>
      </c>
      <c r="B31" s="13" t="s">
        <v>97</v>
      </c>
      <c r="C31" s="14" t="s">
        <v>32</v>
      </c>
      <c r="D31" s="14" t="s">
        <v>98</v>
      </c>
      <c r="E31" s="14" t="s">
        <v>26</v>
      </c>
      <c r="F31" s="14" t="s">
        <v>27</v>
      </c>
      <c r="G31" s="15" t="s">
        <v>98</v>
      </c>
      <c r="H31" s="16" t="s">
        <v>99</v>
      </c>
      <c r="I31" s="17">
        <v>8970481</v>
      </c>
      <c r="J31" s="17">
        <v>3148357</v>
      </c>
      <c r="K31" s="18">
        <v>12118838</v>
      </c>
      <c r="L31" s="30" t="s">
        <v>768</v>
      </c>
      <c r="M31" s="30" t="s">
        <v>768</v>
      </c>
      <c r="N31" s="30" t="s">
        <v>768</v>
      </c>
      <c r="O31" s="18">
        <v>7176385</v>
      </c>
      <c r="P31" s="18">
        <v>1794096</v>
      </c>
      <c r="Q31" s="18">
        <v>8970481</v>
      </c>
      <c r="R31" s="18">
        <v>2518686</v>
      </c>
      <c r="S31" s="18">
        <v>629671</v>
      </c>
      <c r="T31" s="18">
        <v>3148357</v>
      </c>
      <c r="U31" s="37">
        <v>12118838</v>
      </c>
      <c r="V31" s="18">
        <v>897048</v>
      </c>
      <c r="W31" s="18">
        <v>897048</v>
      </c>
      <c r="X31" s="19">
        <v>11213101</v>
      </c>
    </row>
    <row r="32" spans="1:24" x14ac:dyDescent="0.2">
      <c r="A32" s="12" t="s">
        <v>30</v>
      </c>
      <c r="B32" s="13" t="s">
        <v>100</v>
      </c>
      <c r="C32" s="14" t="s">
        <v>32</v>
      </c>
      <c r="D32" s="14" t="s">
        <v>101</v>
      </c>
      <c r="E32" s="14" t="s">
        <v>26</v>
      </c>
      <c r="F32" s="14" t="s">
        <v>27</v>
      </c>
      <c r="G32" s="15" t="s">
        <v>101</v>
      </c>
      <c r="H32" s="16" t="s">
        <v>102</v>
      </c>
      <c r="I32" s="17">
        <v>12604334</v>
      </c>
      <c r="J32" s="17">
        <v>4423725</v>
      </c>
      <c r="K32" s="18">
        <v>17028059</v>
      </c>
      <c r="L32" s="30" t="s">
        <v>768</v>
      </c>
      <c r="M32" s="30" t="s">
        <v>768</v>
      </c>
      <c r="N32" s="30" t="s">
        <v>768</v>
      </c>
      <c r="O32" s="18">
        <v>10083467</v>
      </c>
      <c r="P32" s="18">
        <v>2520867</v>
      </c>
      <c r="Q32" s="18">
        <v>12604334</v>
      </c>
      <c r="R32" s="18">
        <v>3538980</v>
      </c>
      <c r="S32" s="18">
        <v>884745</v>
      </c>
      <c r="T32" s="18">
        <v>4423725</v>
      </c>
      <c r="U32" s="37">
        <v>17028059</v>
      </c>
      <c r="V32" s="18">
        <v>1260433</v>
      </c>
      <c r="W32" s="18">
        <v>1260433</v>
      </c>
      <c r="X32" s="19">
        <v>15755418</v>
      </c>
    </row>
    <row r="33" spans="1:24" x14ac:dyDescent="0.2">
      <c r="A33" s="12" t="s">
        <v>30</v>
      </c>
      <c r="B33" s="13" t="s">
        <v>103</v>
      </c>
      <c r="C33" s="14" t="s">
        <v>32</v>
      </c>
      <c r="D33" s="14" t="s">
        <v>104</v>
      </c>
      <c r="E33" s="14" t="s">
        <v>26</v>
      </c>
      <c r="F33" s="14" t="s">
        <v>27</v>
      </c>
      <c r="G33" s="15" t="s">
        <v>104</v>
      </c>
      <c r="H33" s="16" t="s">
        <v>105</v>
      </c>
      <c r="I33" s="17">
        <v>3417183</v>
      </c>
      <c r="J33" s="17">
        <v>1199324</v>
      </c>
      <c r="K33" s="18">
        <v>4616507</v>
      </c>
      <c r="L33" s="30" t="s">
        <v>768</v>
      </c>
      <c r="M33" s="30" t="s">
        <v>768</v>
      </c>
      <c r="N33" s="30" t="s">
        <v>768</v>
      </c>
      <c r="O33" s="18">
        <v>2733746</v>
      </c>
      <c r="P33" s="18">
        <v>683437</v>
      </c>
      <c r="Q33" s="18">
        <v>3417183</v>
      </c>
      <c r="R33" s="18">
        <v>959459</v>
      </c>
      <c r="S33" s="18">
        <v>239865</v>
      </c>
      <c r="T33" s="18">
        <v>1199324</v>
      </c>
      <c r="U33" s="37">
        <v>4616507</v>
      </c>
      <c r="V33" s="18">
        <v>341718</v>
      </c>
      <c r="W33" s="18">
        <v>341718</v>
      </c>
      <c r="X33" s="19">
        <v>4271479</v>
      </c>
    </row>
    <row r="34" spans="1:24" x14ac:dyDescent="0.2">
      <c r="A34" s="12" t="s">
        <v>30</v>
      </c>
      <c r="B34" s="13" t="s">
        <v>106</v>
      </c>
      <c r="C34" s="14" t="s">
        <v>32</v>
      </c>
      <c r="D34" s="14" t="s">
        <v>107</v>
      </c>
      <c r="E34" s="14" t="s">
        <v>26</v>
      </c>
      <c r="F34" s="14" t="s">
        <v>27</v>
      </c>
      <c r="G34" s="15" t="s">
        <v>107</v>
      </c>
      <c r="H34" s="16" t="s">
        <v>108</v>
      </c>
      <c r="I34" s="17">
        <v>477381</v>
      </c>
      <c r="J34" s="17">
        <v>167546</v>
      </c>
      <c r="K34" s="18">
        <v>644927</v>
      </c>
      <c r="L34" s="30" t="s">
        <v>768</v>
      </c>
      <c r="M34" s="30" t="s">
        <v>768</v>
      </c>
      <c r="N34" s="30" t="s">
        <v>768</v>
      </c>
      <c r="O34" s="18">
        <v>381905</v>
      </c>
      <c r="P34" s="18">
        <v>95476</v>
      </c>
      <c r="Q34" s="18">
        <v>477381</v>
      </c>
      <c r="R34" s="18">
        <v>134037</v>
      </c>
      <c r="S34" s="18">
        <v>33509</v>
      </c>
      <c r="T34" s="18">
        <v>167546</v>
      </c>
      <c r="U34" s="37">
        <v>644927</v>
      </c>
      <c r="V34" s="18">
        <v>47738</v>
      </c>
      <c r="W34" s="18">
        <v>47738</v>
      </c>
      <c r="X34" s="19">
        <v>596726</v>
      </c>
    </row>
    <row r="35" spans="1:24" x14ac:dyDescent="0.2">
      <c r="A35" s="12" t="s">
        <v>30</v>
      </c>
      <c r="B35" s="13" t="s">
        <v>109</v>
      </c>
      <c r="C35" s="14" t="s">
        <v>32</v>
      </c>
      <c r="D35" s="14" t="s">
        <v>110</v>
      </c>
      <c r="E35" s="14" t="s">
        <v>26</v>
      </c>
      <c r="F35" s="14" t="s">
        <v>27</v>
      </c>
      <c r="G35" s="15" t="s">
        <v>110</v>
      </c>
      <c r="H35" s="16" t="s">
        <v>111</v>
      </c>
      <c r="I35" s="17">
        <v>224136138</v>
      </c>
      <c r="J35" s="17">
        <v>78664744</v>
      </c>
      <c r="K35" s="18">
        <v>302800882</v>
      </c>
      <c r="L35" s="30" t="s">
        <v>768</v>
      </c>
      <c r="M35" s="30" t="s">
        <v>768</v>
      </c>
      <c r="N35" s="30" t="s">
        <v>768</v>
      </c>
      <c r="O35" s="18">
        <v>179308910</v>
      </c>
      <c r="P35" s="18">
        <v>44827228</v>
      </c>
      <c r="Q35" s="18">
        <v>224136138</v>
      </c>
      <c r="R35" s="18">
        <v>62931795</v>
      </c>
      <c r="S35" s="18">
        <v>15732949</v>
      </c>
      <c r="T35" s="18">
        <v>78664744</v>
      </c>
      <c r="U35" s="37">
        <v>302800882</v>
      </c>
      <c r="V35" s="18">
        <v>22413614</v>
      </c>
      <c r="W35" s="18">
        <v>22413614</v>
      </c>
      <c r="X35" s="19">
        <v>280170172</v>
      </c>
    </row>
    <row r="36" spans="1:24" x14ac:dyDescent="0.2">
      <c r="A36" s="12" t="s">
        <v>30</v>
      </c>
      <c r="B36" s="13" t="s">
        <v>112</v>
      </c>
      <c r="C36" s="14" t="s">
        <v>32</v>
      </c>
      <c r="D36" s="14" t="s">
        <v>113</v>
      </c>
      <c r="E36" s="14" t="s">
        <v>26</v>
      </c>
      <c r="F36" s="14" t="s">
        <v>27</v>
      </c>
      <c r="G36" s="15" t="s">
        <v>113</v>
      </c>
      <c r="H36" s="16" t="s">
        <v>114</v>
      </c>
      <c r="I36" s="17">
        <v>4100216</v>
      </c>
      <c r="J36" s="17">
        <v>1439047</v>
      </c>
      <c r="K36" s="18">
        <v>5539263</v>
      </c>
      <c r="L36" s="30" t="s">
        <v>768</v>
      </c>
      <c r="M36" s="30" t="s">
        <v>768</v>
      </c>
      <c r="N36" s="30" t="s">
        <v>768</v>
      </c>
      <c r="O36" s="18">
        <v>3280173</v>
      </c>
      <c r="P36" s="18">
        <v>820043</v>
      </c>
      <c r="Q36" s="18">
        <v>4100216</v>
      </c>
      <c r="R36" s="18">
        <v>1151238</v>
      </c>
      <c r="S36" s="18">
        <v>287809</v>
      </c>
      <c r="T36" s="18">
        <v>1439047</v>
      </c>
      <c r="U36" s="37">
        <v>5539263</v>
      </c>
      <c r="V36" s="18">
        <v>410022</v>
      </c>
      <c r="W36" s="18">
        <v>410022</v>
      </c>
      <c r="X36" s="19">
        <v>5125270</v>
      </c>
    </row>
    <row r="37" spans="1:24" x14ac:dyDescent="0.2">
      <c r="A37" s="12" t="s">
        <v>30</v>
      </c>
      <c r="B37" s="13" t="s">
        <v>115</v>
      </c>
      <c r="C37" s="14" t="s">
        <v>32</v>
      </c>
      <c r="D37" s="14" t="s">
        <v>116</v>
      </c>
      <c r="E37" s="14" t="s">
        <v>26</v>
      </c>
      <c r="F37" s="14" t="s">
        <v>27</v>
      </c>
      <c r="G37" s="15" t="s">
        <v>116</v>
      </c>
      <c r="H37" s="16" t="s">
        <v>117</v>
      </c>
      <c r="I37" s="17">
        <v>379110</v>
      </c>
      <c r="J37" s="17">
        <v>133056</v>
      </c>
      <c r="K37" s="18">
        <v>512166</v>
      </c>
      <c r="L37" s="30" t="s">
        <v>768</v>
      </c>
      <c r="M37" s="30" t="s">
        <v>768</v>
      </c>
      <c r="N37" s="30" t="s">
        <v>768</v>
      </c>
      <c r="O37" s="18">
        <v>303288</v>
      </c>
      <c r="P37" s="18">
        <v>75822</v>
      </c>
      <c r="Q37" s="18">
        <v>379110</v>
      </c>
      <c r="R37" s="18">
        <v>106445</v>
      </c>
      <c r="S37" s="18">
        <v>26611</v>
      </c>
      <c r="T37" s="18">
        <v>133056</v>
      </c>
      <c r="U37" s="37">
        <v>512166</v>
      </c>
      <c r="V37" s="18">
        <v>37911</v>
      </c>
      <c r="W37" s="18">
        <v>37911</v>
      </c>
      <c r="X37" s="19">
        <v>473887</v>
      </c>
    </row>
    <row r="38" spans="1:24" x14ac:dyDescent="0.2">
      <c r="A38" s="12" t="s">
        <v>30</v>
      </c>
      <c r="B38" s="13" t="s">
        <v>118</v>
      </c>
      <c r="C38" s="14" t="s">
        <v>32</v>
      </c>
      <c r="D38" s="14" t="s">
        <v>119</v>
      </c>
      <c r="E38" s="14" t="s">
        <v>26</v>
      </c>
      <c r="F38" s="14" t="s">
        <v>27</v>
      </c>
      <c r="G38" s="15" t="s">
        <v>119</v>
      </c>
      <c r="H38" s="16" t="s">
        <v>120</v>
      </c>
      <c r="I38" s="17">
        <v>3453481</v>
      </c>
      <c r="J38" s="17">
        <v>1212063</v>
      </c>
      <c r="K38" s="18">
        <v>4665544</v>
      </c>
      <c r="L38" s="30" t="s">
        <v>768</v>
      </c>
      <c r="M38" s="30" t="s">
        <v>768</v>
      </c>
      <c r="N38" s="30" t="s">
        <v>768</v>
      </c>
      <c r="O38" s="18">
        <v>2762785</v>
      </c>
      <c r="P38" s="18">
        <v>690696</v>
      </c>
      <c r="Q38" s="18">
        <v>3453481</v>
      </c>
      <c r="R38" s="18">
        <v>969650</v>
      </c>
      <c r="S38" s="18">
        <v>242413</v>
      </c>
      <c r="T38" s="18">
        <v>1212063</v>
      </c>
      <c r="U38" s="37">
        <v>4665544</v>
      </c>
      <c r="V38" s="18">
        <v>345348</v>
      </c>
      <c r="W38" s="18">
        <v>345348</v>
      </c>
      <c r="X38" s="19">
        <v>4316851</v>
      </c>
    </row>
    <row r="39" spans="1:24" x14ac:dyDescent="0.2">
      <c r="A39" s="12" t="s">
        <v>30</v>
      </c>
      <c r="B39" s="13" t="s">
        <v>121</v>
      </c>
      <c r="C39" s="14" t="s">
        <v>32</v>
      </c>
      <c r="D39" s="14" t="s">
        <v>122</v>
      </c>
      <c r="E39" s="14" t="s">
        <v>26</v>
      </c>
      <c r="F39" s="14" t="s">
        <v>27</v>
      </c>
      <c r="G39" s="15" t="s">
        <v>122</v>
      </c>
      <c r="H39" s="16" t="s">
        <v>123</v>
      </c>
      <c r="I39" s="17">
        <v>7777093</v>
      </c>
      <c r="J39" s="17">
        <v>2729515</v>
      </c>
      <c r="K39" s="18">
        <v>10506608</v>
      </c>
      <c r="L39" s="30" t="s">
        <v>768</v>
      </c>
      <c r="M39" s="30" t="s">
        <v>768</v>
      </c>
      <c r="N39" s="30" t="s">
        <v>768</v>
      </c>
      <c r="O39" s="18">
        <v>6221674</v>
      </c>
      <c r="P39" s="18">
        <v>1555419</v>
      </c>
      <c r="Q39" s="18">
        <v>7777093</v>
      </c>
      <c r="R39" s="18">
        <v>2183612</v>
      </c>
      <c r="S39" s="18">
        <v>545903</v>
      </c>
      <c r="T39" s="18">
        <v>2729515</v>
      </c>
      <c r="U39" s="37">
        <v>10506608</v>
      </c>
      <c r="V39" s="18">
        <v>777709</v>
      </c>
      <c r="W39" s="18">
        <v>777709</v>
      </c>
      <c r="X39" s="19">
        <v>9721367</v>
      </c>
    </row>
    <row r="40" spans="1:24" x14ac:dyDescent="0.2">
      <c r="A40" s="12" t="s">
        <v>30</v>
      </c>
      <c r="B40" s="13" t="s">
        <v>124</v>
      </c>
      <c r="C40" s="14" t="s">
        <v>32</v>
      </c>
      <c r="D40" s="14" t="s">
        <v>125</v>
      </c>
      <c r="E40" s="14" t="s">
        <v>26</v>
      </c>
      <c r="F40" s="14" t="s">
        <v>27</v>
      </c>
      <c r="G40" s="15" t="s">
        <v>125</v>
      </c>
      <c r="H40" s="16" t="s">
        <v>126</v>
      </c>
      <c r="I40" s="17">
        <v>980042</v>
      </c>
      <c r="J40" s="17">
        <v>343964</v>
      </c>
      <c r="K40" s="18">
        <v>1324006</v>
      </c>
      <c r="L40" s="30" t="s">
        <v>768</v>
      </c>
      <c r="M40" s="30" t="s">
        <v>768</v>
      </c>
      <c r="N40" s="30" t="s">
        <v>768</v>
      </c>
      <c r="O40" s="18">
        <v>784034</v>
      </c>
      <c r="P40" s="18">
        <v>196008</v>
      </c>
      <c r="Q40" s="18">
        <v>980042</v>
      </c>
      <c r="R40" s="18">
        <v>275171</v>
      </c>
      <c r="S40" s="18">
        <v>68793</v>
      </c>
      <c r="T40" s="18">
        <v>343964</v>
      </c>
      <c r="U40" s="37">
        <v>1324006</v>
      </c>
      <c r="V40" s="18">
        <v>98004</v>
      </c>
      <c r="W40" s="18">
        <v>98004</v>
      </c>
      <c r="X40" s="19">
        <v>1225053</v>
      </c>
    </row>
    <row r="41" spans="1:24" x14ac:dyDescent="0.2">
      <c r="A41" s="12" t="s">
        <v>30</v>
      </c>
      <c r="B41" s="13" t="s">
        <v>127</v>
      </c>
      <c r="C41" s="14" t="s">
        <v>32</v>
      </c>
      <c r="D41" s="14" t="s">
        <v>128</v>
      </c>
      <c r="E41" s="14" t="s">
        <v>26</v>
      </c>
      <c r="F41" s="14" t="s">
        <v>27</v>
      </c>
      <c r="G41" s="15" t="s">
        <v>128</v>
      </c>
      <c r="H41" s="16" t="s">
        <v>129</v>
      </c>
      <c r="I41" s="17">
        <v>11924969</v>
      </c>
      <c r="J41" s="17">
        <v>4185290</v>
      </c>
      <c r="K41" s="18">
        <v>16110259</v>
      </c>
      <c r="L41" s="30" t="s">
        <v>768</v>
      </c>
      <c r="M41" s="30" t="s">
        <v>768</v>
      </c>
      <c r="N41" s="30" t="s">
        <v>768</v>
      </c>
      <c r="O41" s="18">
        <v>9539975</v>
      </c>
      <c r="P41" s="18">
        <v>2384994</v>
      </c>
      <c r="Q41" s="18">
        <v>11924969</v>
      </c>
      <c r="R41" s="18">
        <v>3348232</v>
      </c>
      <c r="S41" s="18">
        <v>837058</v>
      </c>
      <c r="T41" s="18">
        <v>4185290</v>
      </c>
      <c r="U41" s="37">
        <v>16110259</v>
      </c>
      <c r="V41" s="18">
        <v>1192497</v>
      </c>
      <c r="W41" s="18">
        <v>1192497</v>
      </c>
      <c r="X41" s="19">
        <v>14906211</v>
      </c>
    </row>
    <row r="42" spans="1:24" x14ac:dyDescent="0.2">
      <c r="A42" s="12" t="s">
        <v>30</v>
      </c>
      <c r="B42" s="13" t="s">
        <v>130</v>
      </c>
      <c r="C42" s="14" t="s">
        <v>32</v>
      </c>
      <c r="D42" s="14" t="s">
        <v>131</v>
      </c>
      <c r="E42" s="14" t="s">
        <v>26</v>
      </c>
      <c r="F42" s="14" t="s">
        <v>27</v>
      </c>
      <c r="G42" s="15" t="s">
        <v>131</v>
      </c>
      <c r="H42" s="16" t="s">
        <v>132</v>
      </c>
      <c r="I42" s="17">
        <v>0</v>
      </c>
      <c r="J42" s="17">
        <v>0</v>
      </c>
      <c r="K42" s="18">
        <v>0</v>
      </c>
      <c r="L42" s="30" t="s">
        <v>769</v>
      </c>
      <c r="M42" s="30" t="s">
        <v>769</v>
      </c>
      <c r="N42" s="30" t="s">
        <v>769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37">
        <v>0</v>
      </c>
      <c r="V42" s="18">
        <v>0</v>
      </c>
      <c r="W42" s="18">
        <v>0</v>
      </c>
      <c r="X42" s="19">
        <v>0</v>
      </c>
    </row>
    <row r="43" spans="1:24" x14ac:dyDescent="0.2">
      <c r="A43" s="12" t="s">
        <v>30</v>
      </c>
      <c r="B43" s="13" t="s">
        <v>133</v>
      </c>
      <c r="C43" s="14" t="s">
        <v>32</v>
      </c>
      <c r="D43" s="14" t="s">
        <v>134</v>
      </c>
      <c r="E43" s="14" t="s">
        <v>26</v>
      </c>
      <c r="F43" s="14" t="s">
        <v>27</v>
      </c>
      <c r="G43" s="15" t="s">
        <v>134</v>
      </c>
      <c r="H43" s="16" t="s">
        <v>135</v>
      </c>
      <c r="I43" s="17">
        <v>58036850</v>
      </c>
      <c r="J43" s="17">
        <v>20369111</v>
      </c>
      <c r="K43" s="18">
        <v>78405961</v>
      </c>
      <c r="L43" s="30" t="s">
        <v>768</v>
      </c>
      <c r="M43" s="30" t="s">
        <v>768</v>
      </c>
      <c r="N43" s="30" t="s">
        <v>768</v>
      </c>
      <c r="O43" s="18">
        <v>46429480</v>
      </c>
      <c r="P43" s="18">
        <v>11607370</v>
      </c>
      <c r="Q43" s="18">
        <v>58036850</v>
      </c>
      <c r="R43" s="18">
        <v>16295289</v>
      </c>
      <c r="S43" s="18">
        <v>4073822</v>
      </c>
      <c r="T43" s="18">
        <v>20369111</v>
      </c>
      <c r="U43" s="37">
        <v>78405961</v>
      </c>
      <c r="V43" s="18">
        <v>5803685</v>
      </c>
      <c r="W43" s="18">
        <v>5803685</v>
      </c>
      <c r="X43" s="19">
        <v>72546062</v>
      </c>
    </row>
    <row r="44" spans="1:24" x14ac:dyDescent="0.2">
      <c r="A44" s="12" t="s">
        <v>30</v>
      </c>
      <c r="B44" s="13" t="s">
        <v>136</v>
      </c>
      <c r="C44" s="14" t="s">
        <v>32</v>
      </c>
      <c r="D44" s="14" t="s">
        <v>137</v>
      </c>
      <c r="E44" s="14" t="s">
        <v>26</v>
      </c>
      <c r="F44" s="14" t="s">
        <v>27</v>
      </c>
      <c r="G44" s="15" t="s">
        <v>137</v>
      </c>
      <c r="H44" s="16" t="s">
        <v>138</v>
      </c>
      <c r="I44" s="17">
        <v>295779</v>
      </c>
      <c r="J44" s="17">
        <v>103809</v>
      </c>
      <c r="K44" s="18">
        <v>399588</v>
      </c>
      <c r="L44" s="30" t="s">
        <v>768</v>
      </c>
      <c r="M44" s="30" t="s">
        <v>768</v>
      </c>
      <c r="N44" s="30" t="s">
        <v>768</v>
      </c>
      <c r="O44" s="18">
        <v>236623</v>
      </c>
      <c r="P44" s="18">
        <v>59156</v>
      </c>
      <c r="Q44" s="18">
        <v>295779</v>
      </c>
      <c r="R44" s="18">
        <v>83047</v>
      </c>
      <c r="S44" s="18">
        <v>20762</v>
      </c>
      <c r="T44" s="18">
        <v>103809</v>
      </c>
      <c r="U44" s="37">
        <v>399588</v>
      </c>
      <c r="V44" s="18">
        <v>29578</v>
      </c>
      <c r="W44" s="18">
        <v>29578</v>
      </c>
      <c r="X44" s="19">
        <v>369724</v>
      </c>
    </row>
    <row r="45" spans="1:24" x14ac:dyDescent="0.2">
      <c r="A45" s="12" t="s">
        <v>30</v>
      </c>
      <c r="B45" s="13" t="s">
        <v>139</v>
      </c>
      <c r="C45" s="14" t="s">
        <v>32</v>
      </c>
      <c r="D45" s="14" t="s">
        <v>140</v>
      </c>
      <c r="E45" s="14" t="s">
        <v>26</v>
      </c>
      <c r="F45" s="14" t="s">
        <v>27</v>
      </c>
      <c r="G45" s="15" t="s">
        <v>140</v>
      </c>
      <c r="H45" s="16" t="s">
        <v>141</v>
      </c>
      <c r="I45" s="17">
        <v>30477745</v>
      </c>
      <c r="J45" s="17">
        <v>10696731</v>
      </c>
      <c r="K45" s="18">
        <v>41174476</v>
      </c>
      <c r="L45" s="30" t="s">
        <v>768</v>
      </c>
      <c r="M45" s="30" t="s">
        <v>768</v>
      </c>
      <c r="N45" s="30" t="s">
        <v>768</v>
      </c>
      <c r="O45" s="18">
        <v>24382196</v>
      </c>
      <c r="P45" s="18">
        <v>6095549</v>
      </c>
      <c r="Q45" s="18">
        <v>30477745</v>
      </c>
      <c r="R45" s="18">
        <v>8557385</v>
      </c>
      <c r="S45" s="18">
        <v>2139346</v>
      </c>
      <c r="T45" s="18">
        <v>10696731</v>
      </c>
      <c r="U45" s="37">
        <v>41174476</v>
      </c>
      <c r="V45" s="18">
        <v>3047775</v>
      </c>
      <c r="W45" s="18">
        <v>3047775</v>
      </c>
      <c r="X45" s="19">
        <v>38097181</v>
      </c>
    </row>
    <row r="46" spans="1:24" x14ac:dyDescent="0.2">
      <c r="A46" s="12" t="s">
        <v>30</v>
      </c>
      <c r="B46" s="13" t="s">
        <v>142</v>
      </c>
      <c r="C46" s="14" t="s">
        <v>32</v>
      </c>
      <c r="D46" s="14" t="s">
        <v>143</v>
      </c>
      <c r="E46" s="14" t="s">
        <v>26</v>
      </c>
      <c r="F46" s="14" t="s">
        <v>27</v>
      </c>
      <c r="G46" s="15" t="s">
        <v>143</v>
      </c>
      <c r="H46" s="16" t="s">
        <v>144</v>
      </c>
      <c r="I46" s="17">
        <v>5533713</v>
      </c>
      <c r="J46" s="17">
        <v>1942159</v>
      </c>
      <c r="K46" s="18">
        <v>7475872</v>
      </c>
      <c r="L46" s="30" t="s">
        <v>768</v>
      </c>
      <c r="M46" s="30" t="s">
        <v>768</v>
      </c>
      <c r="N46" s="30" t="s">
        <v>768</v>
      </c>
      <c r="O46" s="18">
        <v>4426970</v>
      </c>
      <c r="P46" s="18">
        <v>1106743</v>
      </c>
      <c r="Q46" s="18">
        <v>5533713</v>
      </c>
      <c r="R46" s="18">
        <v>1553727</v>
      </c>
      <c r="S46" s="18">
        <v>388432</v>
      </c>
      <c r="T46" s="18">
        <v>1942159</v>
      </c>
      <c r="U46" s="37">
        <v>7475872</v>
      </c>
      <c r="V46" s="18">
        <v>553371</v>
      </c>
      <c r="W46" s="18">
        <v>553371</v>
      </c>
      <c r="X46" s="19">
        <v>6917141</v>
      </c>
    </row>
    <row r="47" spans="1:24" x14ac:dyDescent="0.2">
      <c r="A47" s="12" t="s">
        <v>30</v>
      </c>
      <c r="B47" s="13" t="s">
        <v>145</v>
      </c>
      <c r="C47" s="14" t="s">
        <v>32</v>
      </c>
      <c r="D47" s="14" t="s">
        <v>146</v>
      </c>
      <c r="E47" s="14" t="s">
        <v>26</v>
      </c>
      <c r="F47" s="14" t="s">
        <v>27</v>
      </c>
      <c r="G47" s="15" t="s">
        <v>146</v>
      </c>
      <c r="H47" s="16" t="s">
        <v>147</v>
      </c>
      <c r="I47" s="17">
        <v>20746960</v>
      </c>
      <c r="J47" s="17">
        <v>7281531</v>
      </c>
      <c r="K47" s="18">
        <v>28028491</v>
      </c>
      <c r="L47" s="30" t="s">
        <v>768</v>
      </c>
      <c r="M47" s="30" t="s">
        <v>768</v>
      </c>
      <c r="N47" s="30" t="s">
        <v>768</v>
      </c>
      <c r="O47" s="18">
        <v>16597568</v>
      </c>
      <c r="P47" s="18">
        <v>4149392</v>
      </c>
      <c r="Q47" s="18">
        <v>20746960</v>
      </c>
      <c r="R47" s="18">
        <v>5825225</v>
      </c>
      <c r="S47" s="18">
        <v>1456306</v>
      </c>
      <c r="T47" s="18">
        <v>7281531</v>
      </c>
      <c r="U47" s="37">
        <v>28028491</v>
      </c>
      <c r="V47" s="18">
        <v>2074696</v>
      </c>
      <c r="W47" s="18">
        <v>2074696</v>
      </c>
      <c r="X47" s="19">
        <v>25933700</v>
      </c>
    </row>
    <row r="48" spans="1:24" x14ac:dyDescent="0.2">
      <c r="A48" s="12" t="s">
        <v>30</v>
      </c>
      <c r="B48" s="13" t="s">
        <v>148</v>
      </c>
      <c r="C48" s="14" t="s">
        <v>32</v>
      </c>
      <c r="D48" s="14" t="s">
        <v>149</v>
      </c>
      <c r="E48" s="14" t="s">
        <v>26</v>
      </c>
      <c r="F48" s="14" t="s">
        <v>27</v>
      </c>
      <c r="G48" s="15" t="s">
        <v>149</v>
      </c>
      <c r="H48" s="16" t="s">
        <v>150</v>
      </c>
      <c r="I48" s="17">
        <v>13655618</v>
      </c>
      <c r="J48" s="17">
        <v>4792693</v>
      </c>
      <c r="K48" s="18">
        <v>18448311</v>
      </c>
      <c r="L48" s="30" t="s">
        <v>768</v>
      </c>
      <c r="M48" s="30" t="s">
        <v>768</v>
      </c>
      <c r="N48" s="30" t="s">
        <v>768</v>
      </c>
      <c r="O48" s="18">
        <v>10924494</v>
      </c>
      <c r="P48" s="18">
        <v>2731124</v>
      </c>
      <c r="Q48" s="18">
        <v>13655618</v>
      </c>
      <c r="R48" s="18">
        <v>3834154</v>
      </c>
      <c r="S48" s="18">
        <v>958539</v>
      </c>
      <c r="T48" s="18">
        <v>4792693</v>
      </c>
      <c r="U48" s="37">
        <v>18448311</v>
      </c>
      <c r="V48" s="18">
        <v>1365562</v>
      </c>
      <c r="W48" s="18">
        <v>1365562</v>
      </c>
      <c r="X48" s="19">
        <v>17069522</v>
      </c>
    </row>
    <row r="49" spans="1:24" x14ac:dyDescent="0.2">
      <c r="A49" s="12" t="s">
        <v>30</v>
      </c>
      <c r="B49" s="13" t="s">
        <v>151</v>
      </c>
      <c r="C49" s="14" t="s">
        <v>32</v>
      </c>
      <c r="D49" s="14" t="s">
        <v>152</v>
      </c>
      <c r="E49" s="14" t="s">
        <v>26</v>
      </c>
      <c r="F49" s="14" t="s">
        <v>27</v>
      </c>
      <c r="G49" s="15" t="s">
        <v>152</v>
      </c>
      <c r="H49" s="16" t="s">
        <v>153</v>
      </c>
      <c r="I49" s="17">
        <v>628127</v>
      </c>
      <c r="J49" s="17">
        <v>220453</v>
      </c>
      <c r="K49" s="18">
        <v>848580</v>
      </c>
      <c r="L49" s="30" t="s">
        <v>768</v>
      </c>
      <c r="M49" s="30" t="s">
        <v>768</v>
      </c>
      <c r="N49" s="30" t="s">
        <v>768</v>
      </c>
      <c r="O49" s="18">
        <v>502502</v>
      </c>
      <c r="P49" s="18">
        <v>125625</v>
      </c>
      <c r="Q49" s="18">
        <v>628127</v>
      </c>
      <c r="R49" s="18">
        <v>176362</v>
      </c>
      <c r="S49" s="18">
        <v>44091</v>
      </c>
      <c r="T49" s="18">
        <v>220453</v>
      </c>
      <c r="U49" s="37">
        <v>848580</v>
      </c>
      <c r="V49" s="18">
        <v>62813</v>
      </c>
      <c r="W49" s="18">
        <v>62813</v>
      </c>
      <c r="X49" s="19">
        <v>785159</v>
      </c>
    </row>
    <row r="50" spans="1:24" x14ac:dyDescent="0.2">
      <c r="A50" s="12" t="s">
        <v>30</v>
      </c>
      <c r="B50" s="13" t="s">
        <v>154</v>
      </c>
      <c r="C50" s="14" t="s">
        <v>32</v>
      </c>
      <c r="D50" s="14" t="s">
        <v>155</v>
      </c>
      <c r="E50" s="14" t="s">
        <v>26</v>
      </c>
      <c r="F50" s="14" t="s">
        <v>27</v>
      </c>
      <c r="G50" s="15" t="s">
        <v>155</v>
      </c>
      <c r="H50" s="16" t="s">
        <v>156</v>
      </c>
      <c r="I50" s="17">
        <v>3776277</v>
      </c>
      <c r="J50" s="17">
        <v>1325355</v>
      </c>
      <c r="K50" s="18">
        <v>5101632</v>
      </c>
      <c r="L50" s="30" t="s">
        <v>768</v>
      </c>
      <c r="M50" s="30" t="s">
        <v>768</v>
      </c>
      <c r="N50" s="30" t="s">
        <v>768</v>
      </c>
      <c r="O50" s="18">
        <v>3021022</v>
      </c>
      <c r="P50" s="18">
        <v>755255</v>
      </c>
      <c r="Q50" s="18">
        <v>3776277</v>
      </c>
      <c r="R50" s="18">
        <v>1060284</v>
      </c>
      <c r="S50" s="18">
        <v>265071</v>
      </c>
      <c r="T50" s="18">
        <v>1325355</v>
      </c>
      <c r="U50" s="37">
        <v>5101632</v>
      </c>
      <c r="V50" s="18">
        <v>377628</v>
      </c>
      <c r="W50" s="18">
        <v>377628</v>
      </c>
      <c r="X50" s="19">
        <v>4720346</v>
      </c>
    </row>
    <row r="51" spans="1:24" x14ac:dyDescent="0.2">
      <c r="A51" s="12" t="s">
        <v>30</v>
      </c>
      <c r="B51" s="13" t="s">
        <v>157</v>
      </c>
      <c r="C51" s="14" t="s">
        <v>32</v>
      </c>
      <c r="D51" s="14" t="s">
        <v>158</v>
      </c>
      <c r="E51" s="14" t="s">
        <v>26</v>
      </c>
      <c r="F51" s="14" t="s">
        <v>27</v>
      </c>
      <c r="G51" s="15" t="s">
        <v>158</v>
      </c>
      <c r="H51" s="16" t="s">
        <v>159</v>
      </c>
      <c r="I51" s="17">
        <v>2007767</v>
      </c>
      <c r="J51" s="17">
        <v>704663</v>
      </c>
      <c r="K51" s="18">
        <v>2712430</v>
      </c>
      <c r="L51" s="30" t="s">
        <v>768</v>
      </c>
      <c r="M51" s="30" t="s">
        <v>768</v>
      </c>
      <c r="N51" s="30" t="s">
        <v>768</v>
      </c>
      <c r="O51" s="18">
        <v>1606214</v>
      </c>
      <c r="P51" s="18">
        <v>401553</v>
      </c>
      <c r="Q51" s="18">
        <v>2007767</v>
      </c>
      <c r="R51" s="18">
        <v>563730</v>
      </c>
      <c r="S51" s="18">
        <v>140933</v>
      </c>
      <c r="T51" s="18">
        <v>704663</v>
      </c>
      <c r="U51" s="37">
        <v>2712430</v>
      </c>
      <c r="V51" s="18">
        <v>200777</v>
      </c>
      <c r="W51" s="18">
        <v>200777</v>
      </c>
      <c r="X51" s="19">
        <v>2509708</v>
      </c>
    </row>
    <row r="52" spans="1:24" x14ac:dyDescent="0.2">
      <c r="A52" s="12" t="s">
        <v>30</v>
      </c>
      <c r="B52" s="13" t="s">
        <v>160</v>
      </c>
      <c r="C52" s="14" t="s">
        <v>32</v>
      </c>
      <c r="D52" s="14" t="s">
        <v>110</v>
      </c>
      <c r="E52" s="14" t="s">
        <v>161</v>
      </c>
      <c r="F52" s="14" t="s">
        <v>162</v>
      </c>
      <c r="G52" s="15" t="s">
        <v>163</v>
      </c>
      <c r="H52" s="16" t="s">
        <v>164</v>
      </c>
      <c r="I52" s="17">
        <v>2008061</v>
      </c>
      <c r="J52" s="17">
        <v>704766</v>
      </c>
      <c r="K52" s="18">
        <v>2712827</v>
      </c>
      <c r="L52" s="30" t="s">
        <v>768</v>
      </c>
      <c r="M52" s="30" t="s">
        <v>768</v>
      </c>
      <c r="N52" s="30" t="s">
        <v>768</v>
      </c>
      <c r="O52" s="18">
        <v>1606449</v>
      </c>
      <c r="P52" s="18">
        <v>401612</v>
      </c>
      <c r="Q52" s="18">
        <v>2008061</v>
      </c>
      <c r="R52" s="18">
        <v>563813</v>
      </c>
      <c r="S52" s="18">
        <v>140953</v>
      </c>
      <c r="T52" s="18">
        <v>704766</v>
      </c>
      <c r="U52" s="37">
        <v>2712827</v>
      </c>
      <c r="V52" s="18">
        <v>200806</v>
      </c>
      <c r="W52" s="18">
        <v>200806</v>
      </c>
      <c r="X52" s="19">
        <v>2510076</v>
      </c>
    </row>
    <row r="53" spans="1:24" x14ac:dyDescent="0.2">
      <c r="A53" s="12" t="s">
        <v>30</v>
      </c>
      <c r="B53" s="13" t="s">
        <v>165</v>
      </c>
      <c r="C53" s="14" t="s">
        <v>32</v>
      </c>
      <c r="D53" s="14" t="s">
        <v>110</v>
      </c>
      <c r="E53" s="14" t="s">
        <v>166</v>
      </c>
      <c r="F53" s="14" t="s">
        <v>167</v>
      </c>
      <c r="G53" s="15" t="s">
        <v>168</v>
      </c>
      <c r="H53" s="16" t="s">
        <v>169</v>
      </c>
      <c r="I53" s="17">
        <v>1187215</v>
      </c>
      <c r="J53" s="17">
        <v>416675</v>
      </c>
      <c r="K53" s="18">
        <v>1603890</v>
      </c>
      <c r="L53" s="30" t="s">
        <v>768</v>
      </c>
      <c r="M53" s="30" t="s">
        <v>768</v>
      </c>
      <c r="N53" s="30" t="s">
        <v>768</v>
      </c>
      <c r="O53" s="18">
        <v>949772</v>
      </c>
      <c r="P53" s="18">
        <v>237443</v>
      </c>
      <c r="Q53" s="18">
        <v>1187215</v>
      </c>
      <c r="R53" s="18">
        <v>333340</v>
      </c>
      <c r="S53" s="18">
        <v>83335</v>
      </c>
      <c r="T53" s="18">
        <v>416675</v>
      </c>
      <c r="U53" s="37">
        <v>1603890</v>
      </c>
      <c r="V53" s="18">
        <v>118722</v>
      </c>
      <c r="W53" s="18">
        <v>118722</v>
      </c>
      <c r="X53" s="19">
        <v>1484018</v>
      </c>
    </row>
    <row r="54" spans="1:24" x14ac:dyDescent="0.2">
      <c r="A54" s="12" t="s">
        <v>30</v>
      </c>
      <c r="B54" s="13" t="s">
        <v>170</v>
      </c>
      <c r="C54" s="14" t="s">
        <v>32</v>
      </c>
      <c r="D54" s="14" t="s">
        <v>110</v>
      </c>
      <c r="E54" s="14" t="s">
        <v>171</v>
      </c>
      <c r="F54" s="14" t="s">
        <v>172</v>
      </c>
      <c r="G54" s="15" t="s">
        <v>173</v>
      </c>
      <c r="H54" s="16" t="s">
        <v>174</v>
      </c>
      <c r="I54" s="17">
        <v>966417</v>
      </c>
      <c r="J54" s="17">
        <v>339182</v>
      </c>
      <c r="K54" s="18">
        <v>1305599</v>
      </c>
      <c r="L54" s="30" t="s">
        <v>768</v>
      </c>
      <c r="M54" s="30" t="s">
        <v>768</v>
      </c>
      <c r="N54" s="30" t="s">
        <v>768</v>
      </c>
      <c r="O54" s="18">
        <v>773134</v>
      </c>
      <c r="P54" s="18">
        <v>193283</v>
      </c>
      <c r="Q54" s="18">
        <v>966417</v>
      </c>
      <c r="R54" s="18">
        <v>271346</v>
      </c>
      <c r="S54" s="18">
        <v>67836</v>
      </c>
      <c r="T54" s="18">
        <v>339182</v>
      </c>
      <c r="U54" s="37">
        <v>1305599</v>
      </c>
      <c r="V54" s="18">
        <v>96642</v>
      </c>
      <c r="W54" s="18">
        <v>96642</v>
      </c>
      <c r="X54" s="19">
        <v>1208021</v>
      </c>
    </row>
    <row r="55" spans="1:24" x14ac:dyDescent="0.2">
      <c r="A55" s="12" t="s">
        <v>30</v>
      </c>
      <c r="B55" s="13" t="s">
        <v>175</v>
      </c>
      <c r="C55" s="14" t="s">
        <v>32</v>
      </c>
      <c r="D55" s="14" t="s">
        <v>110</v>
      </c>
      <c r="E55" s="14" t="s">
        <v>176</v>
      </c>
      <c r="F55" s="14" t="s">
        <v>177</v>
      </c>
      <c r="G55" s="15" t="s">
        <v>178</v>
      </c>
      <c r="H55" s="16" t="s">
        <v>179</v>
      </c>
      <c r="I55" s="17">
        <v>2592709</v>
      </c>
      <c r="J55" s="17">
        <v>909959</v>
      </c>
      <c r="K55" s="18">
        <v>3502668</v>
      </c>
      <c r="L55" s="30" t="s">
        <v>768</v>
      </c>
      <c r="M55" s="30" t="s">
        <v>768</v>
      </c>
      <c r="N55" s="30" t="s">
        <v>768</v>
      </c>
      <c r="O55" s="18">
        <v>2074167</v>
      </c>
      <c r="P55" s="18">
        <v>518542</v>
      </c>
      <c r="Q55" s="18">
        <v>2592709</v>
      </c>
      <c r="R55" s="18">
        <v>727967</v>
      </c>
      <c r="S55" s="18">
        <v>181992</v>
      </c>
      <c r="T55" s="18">
        <v>909959</v>
      </c>
      <c r="U55" s="37">
        <v>3502668</v>
      </c>
      <c r="V55" s="18">
        <v>259271</v>
      </c>
      <c r="W55" s="18">
        <v>259271</v>
      </c>
      <c r="X55" s="19">
        <v>3240886</v>
      </c>
    </row>
    <row r="56" spans="1:24" x14ac:dyDescent="0.2">
      <c r="A56" s="12" t="s">
        <v>30</v>
      </c>
      <c r="B56" s="13" t="s">
        <v>180</v>
      </c>
      <c r="C56" s="14" t="s">
        <v>32</v>
      </c>
      <c r="D56" s="14" t="s">
        <v>140</v>
      </c>
      <c r="E56" s="14" t="s">
        <v>181</v>
      </c>
      <c r="F56" s="14" t="s">
        <v>182</v>
      </c>
      <c r="G56" s="15" t="s">
        <v>183</v>
      </c>
      <c r="H56" s="16" t="s">
        <v>184</v>
      </c>
      <c r="I56" s="17">
        <v>1733362</v>
      </c>
      <c r="J56" s="17">
        <v>608355</v>
      </c>
      <c r="K56" s="18">
        <v>2341717</v>
      </c>
      <c r="L56" s="30" t="s">
        <v>768</v>
      </c>
      <c r="M56" s="30" t="s">
        <v>768</v>
      </c>
      <c r="N56" s="30" t="s">
        <v>768</v>
      </c>
      <c r="O56" s="18">
        <v>1386690</v>
      </c>
      <c r="P56" s="18">
        <v>346672</v>
      </c>
      <c r="Q56" s="18">
        <v>1733362</v>
      </c>
      <c r="R56" s="18">
        <v>486684</v>
      </c>
      <c r="S56" s="18">
        <v>121671</v>
      </c>
      <c r="T56" s="18">
        <v>608355</v>
      </c>
      <c r="U56" s="37">
        <v>2341717</v>
      </c>
      <c r="V56" s="18">
        <v>173336</v>
      </c>
      <c r="W56" s="18">
        <v>173336</v>
      </c>
      <c r="X56" s="19">
        <v>2166703</v>
      </c>
    </row>
    <row r="57" spans="1:24" x14ac:dyDescent="0.2">
      <c r="A57" s="12" t="s">
        <v>30</v>
      </c>
      <c r="B57" s="13" t="s">
        <v>185</v>
      </c>
      <c r="C57" s="14" t="s">
        <v>32</v>
      </c>
      <c r="D57" s="14" t="s">
        <v>48</v>
      </c>
      <c r="E57" s="14" t="s">
        <v>186</v>
      </c>
      <c r="F57" s="14" t="s">
        <v>187</v>
      </c>
      <c r="G57" s="15" t="s">
        <v>188</v>
      </c>
      <c r="H57" s="16" t="s">
        <v>189</v>
      </c>
      <c r="I57" s="17">
        <v>547109</v>
      </c>
      <c r="J57" s="17">
        <v>192018</v>
      </c>
      <c r="K57" s="18">
        <v>739127</v>
      </c>
      <c r="L57" s="30" t="s">
        <v>768</v>
      </c>
      <c r="M57" s="30" t="s">
        <v>768</v>
      </c>
      <c r="N57" s="30" t="s">
        <v>768</v>
      </c>
      <c r="O57" s="18">
        <v>437687</v>
      </c>
      <c r="P57" s="18">
        <v>109422</v>
      </c>
      <c r="Q57" s="18">
        <v>547109</v>
      </c>
      <c r="R57" s="18">
        <v>153614</v>
      </c>
      <c r="S57" s="18">
        <v>38404</v>
      </c>
      <c r="T57" s="18">
        <v>192018</v>
      </c>
      <c r="U57" s="37">
        <v>739127</v>
      </c>
      <c r="V57" s="18">
        <v>54711</v>
      </c>
      <c r="W57" s="18">
        <v>54711</v>
      </c>
      <c r="X57" s="19">
        <v>683886</v>
      </c>
    </row>
    <row r="58" spans="1:24" x14ac:dyDescent="0.2">
      <c r="A58" s="12" t="s">
        <v>30</v>
      </c>
      <c r="B58" s="13" t="s">
        <v>190</v>
      </c>
      <c r="C58" s="14" t="s">
        <v>32</v>
      </c>
      <c r="D58" s="14" t="s">
        <v>48</v>
      </c>
      <c r="E58" s="14" t="s">
        <v>191</v>
      </c>
      <c r="F58" s="14" t="s">
        <v>192</v>
      </c>
      <c r="G58" s="15" t="s">
        <v>193</v>
      </c>
      <c r="H58" s="16" t="s">
        <v>194</v>
      </c>
      <c r="I58" s="17">
        <v>2694269</v>
      </c>
      <c r="J58" s="17">
        <v>945604</v>
      </c>
      <c r="K58" s="18">
        <v>3639873</v>
      </c>
      <c r="L58" s="30" t="s">
        <v>768</v>
      </c>
      <c r="M58" s="30" t="s">
        <v>768</v>
      </c>
      <c r="N58" s="30" t="s">
        <v>768</v>
      </c>
      <c r="O58" s="18">
        <v>2155415</v>
      </c>
      <c r="P58" s="18">
        <v>538854</v>
      </c>
      <c r="Q58" s="18">
        <v>2694269</v>
      </c>
      <c r="R58" s="18">
        <v>756483</v>
      </c>
      <c r="S58" s="18">
        <v>189121</v>
      </c>
      <c r="T58" s="18">
        <v>945604</v>
      </c>
      <c r="U58" s="37">
        <v>3639873</v>
      </c>
      <c r="V58" s="18">
        <v>269427</v>
      </c>
      <c r="W58" s="18">
        <v>269427</v>
      </c>
      <c r="X58" s="19">
        <v>3367836</v>
      </c>
    </row>
    <row r="59" spans="1:24" x14ac:dyDescent="0.2">
      <c r="A59" s="12" t="s">
        <v>30</v>
      </c>
      <c r="B59" s="13" t="s">
        <v>195</v>
      </c>
      <c r="C59" s="14" t="s">
        <v>32</v>
      </c>
      <c r="D59" s="14" t="s">
        <v>110</v>
      </c>
      <c r="E59" s="14" t="s">
        <v>196</v>
      </c>
      <c r="F59" s="14" t="s">
        <v>197</v>
      </c>
      <c r="G59" s="15" t="s">
        <v>198</v>
      </c>
      <c r="H59" s="16" t="s">
        <v>199</v>
      </c>
      <c r="I59" s="17">
        <v>84393</v>
      </c>
      <c r="J59" s="17">
        <v>29619</v>
      </c>
      <c r="K59" s="18">
        <v>114012</v>
      </c>
      <c r="L59" s="30" t="s">
        <v>768</v>
      </c>
      <c r="M59" s="30" t="s">
        <v>768</v>
      </c>
      <c r="N59" s="30" t="s">
        <v>768</v>
      </c>
      <c r="O59" s="18">
        <v>67514</v>
      </c>
      <c r="P59" s="18">
        <v>16879</v>
      </c>
      <c r="Q59" s="18">
        <v>84393</v>
      </c>
      <c r="R59" s="18">
        <v>23695</v>
      </c>
      <c r="S59" s="18">
        <v>5924</v>
      </c>
      <c r="T59" s="18">
        <v>29619</v>
      </c>
      <c r="U59" s="37">
        <v>114012</v>
      </c>
      <c r="V59" s="18">
        <v>8439</v>
      </c>
      <c r="W59" s="18">
        <v>8439</v>
      </c>
      <c r="X59" s="19">
        <v>105492</v>
      </c>
    </row>
    <row r="60" spans="1:24" x14ac:dyDescent="0.2">
      <c r="A60" s="12" t="s">
        <v>30</v>
      </c>
      <c r="B60" s="13" t="s">
        <v>200</v>
      </c>
      <c r="C60" s="14" t="s">
        <v>32</v>
      </c>
      <c r="D60" s="14" t="s">
        <v>110</v>
      </c>
      <c r="E60" s="14" t="s">
        <v>201</v>
      </c>
      <c r="F60" s="14" t="s">
        <v>202</v>
      </c>
      <c r="G60" s="15" t="s">
        <v>203</v>
      </c>
      <c r="H60" s="16" t="s">
        <v>204</v>
      </c>
      <c r="I60" s="17">
        <v>325921</v>
      </c>
      <c r="J60" s="17">
        <v>114388</v>
      </c>
      <c r="K60" s="18">
        <v>440309</v>
      </c>
      <c r="L60" s="30" t="s">
        <v>768</v>
      </c>
      <c r="M60" s="30" t="s">
        <v>768</v>
      </c>
      <c r="N60" s="30" t="s">
        <v>768</v>
      </c>
      <c r="O60" s="18">
        <v>260737</v>
      </c>
      <c r="P60" s="18">
        <v>65184</v>
      </c>
      <c r="Q60" s="18">
        <v>325921</v>
      </c>
      <c r="R60" s="18">
        <v>91510</v>
      </c>
      <c r="S60" s="18">
        <v>22878</v>
      </c>
      <c r="T60" s="18">
        <v>114388</v>
      </c>
      <c r="U60" s="37">
        <v>440309</v>
      </c>
      <c r="V60" s="18">
        <v>32592</v>
      </c>
      <c r="W60" s="18">
        <v>32592</v>
      </c>
      <c r="X60" s="19">
        <v>407401</v>
      </c>
    </row>
    <row r="61" spans="1:24" x14ac:dyDescent="0.2">
      <c r="A61" s="12" t="s">
        <v>30</v>
      </c>
      <c r="B61" s="13" t="s">
        <v>205</v>
      </c>
      <c r="C61" s="14" t="s">
        <v>32</v>
      </c>
      <c r="D61" s="14" t="s">
        <v>66</v>
      </c>
      <c r="E61" s="14" t="s">
        <v>206</v>
      </c>
      <c r="F61" s="14" t="s">
        <v>207</v>
      </c>
      <c r="G61" s="15" t="s">
        <v>208</v>
      </c>
      <c r="H61" s="16" t="s">
        <v>209</v>
      </c>
      <c r="I61" s="17">
        <v>0</v>
      </c>
      <c r="J61" s="17">
        <v>0</v>
      </c>
      <c r="K61" s="18">
        <v>0</v>
      </c>
      <c r="L61" s="30" t="s">
        <v>769</v>
      </c>
      <c r="M61" s="30" t="s">
        <v>769</v>
      </c>
      <c r="N61" s="30" t="s">
        <v>769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37">
        <v>0</v>
      </c>
      <c r="V61" s="18">
        <v>0</v>
      </c>
      <c r="W61" s="18">
        <v>0</v>
      </c>
      <c r="X61" s="19">
        <v>0</v>
      </c>
    </row>
    <row r="62" spans="1:24" x14ac:dyDescent="0.2">
      <c r="A62" s="12" t="s">
        <v>30</v>
      </c>
      <c r="B62" s="13" t="s">
        <v>210</v>
      </c>
      <c r="C62" s="14" t="s">
        <v>32</v>
      </c>
      <c r="D62" s="14" t="s">
        <v>87</v>
      </c>
      <c r="E62" s="14" t="s">
        <v>211</v>
      </c>
      <c r="F62" s="14" t="s">
        <v>212</v>
      </c>
      <c r="G62" s="15" t="s">
        <v>213</v>
      </c>
      <c r="H62" s="16" t="s">
        <v>214</v>
      </c>
      <c r="I62" s="17">
        <v>84393</v>
      </c>
      <c r="J62" s="17">
        <v>29619</v>
      </c>
      <c r="K62" s="18">
        <v>114012</v>
      </c>
      <c r="L62" s="30" t="s">
        <v>768</v>
      </c>
      <c r="M62" s="30" t="s">
        <v>768</v>
      </c>
      <c r="N62" s="30" t="s">
        <v>768</v>
      </c>
      <c r="O62" s="18">
        <v>67514</v>
      </c>
      <c r="P62" s="18">
        <v>16879</v>
      </c>
      <c r="Q62" s="18">
        <v>84393</v>
      </c>
      <c r="R62" s="18">
        <v>23695</v>
      </c>
      <c r="S62" s="18">
        <v>5924</v>
      </c>
      <c r="T62" s="18">
        <v>29619</v>
      </c>
      <c r="U62" s="37">
        <v>114012</v>
      </c>
      <c r="V62" s="18">
        <v>8439</v>
      </c>
      <c r="W62" s="18">
        <v>8439</v>
      </c>
      <c r="X62" s="19">
        <v>105492</v>
      </c>
    </row>
    <row r="63" spans="1:24" x14ac:dyDescent="0.2">
      <c r="A63" s="12" t="s">
        <v>30</v>
      </c>
      <c r="B63" s="13" t="s">
        <v>215</v>
      </c>
      <c r="C63" s="14" t="s">
        <v>32</v>
      </c>
      <c r="D63" s="14" t="s">
        <v>48</v>
      </c>
      <c r="E63" s="14" t="s">
        <v>216</v>
      </c>
      <c r="F63" s="14" t="s">
        <v>217</v>
      </c>
      <c r="G63" s="15" t="s">
        <v>218</v>
      </c>
      <c r="H63" s="16" t="s">
        <v>219</v>
      </c>
      <c r="I63" s="17">
        <v>2493365</v>
      </c>
      <c r="J63" s="17">
        <v>875093</v>
      </c>
      <c r="K63" s="18">
        <v>3368458</v>
      </c>
      <c r="L63" s="30" t="s">
        <v>768</v>
      </c>
      <c r="M63" s="30" t="s">
        <v>768</v>
      </c>
      <c r="N63" s="30" t="s">
        <v>768</v>
      </c>
      <c r="O63" s="18">
        <v>1994692</v>
      </c>
      <c r="P63" s="18">
        <v>498673</v>
      </c>
      <c r="Q63" s="18">
        <v>2493365</v>
      </c>
      <c r="R63" s="18">
        <v>700074</v>
      </c>
      <c r="S63" s="18">
        <v>175019</v>
      </c>
      <c r="T63" s="18">
        <v>875093</v>
      </c>
      <c r="U63" s="37">
        <v>3368458</v>
      </c>
      <c r="V63" s="18">
        <v>249337</v>
      </c>
      <c r="W63" s="18">
        <v>249337</v>
      </c>
      <c r="X63" s="19">
        <v>3116706</v>
      </c>
    </row>
    <row r="64" spans="1:24" x14ac:dyDescent="0.2">
      <c r="A64" s="12" t="s">
        <v>30</v>
      </c>
      <c r="B64" s="13" t="s">
        <v>220</v>
      </c>
      <c r="C64" s="14" t="s">
        <v>32</v>
      </c>
      <c r="D64" s="14" t="s">
        <v>48</v>
      </c>
      <c r="E64" s="14" t="s">
        <v>221</v>
      </c>
      <c r="F64" s="14" t="s">
        <v>222</v>
      </c>
      <c r="G64" s="15" t="s">
        <v>223</v>
      </c>
      <c r="H64" s="16" t="s">
        <v>224</v>
      </c>
      <c r="I64" s="17">
        <v>2082327</v>
      </c>
      <c r="J64" s="17">
        <v>730831</v>
      </c>
      <c r="K64" s="18">
        <v>2813158</v>
      </c>
      <c r="L64" s="30" t="s">
        <v>768</v>
      </c>
      <c r="M64" s="30" t="s">
        <v>768</v>
      </c>
      <c r="N64" s="30" t="s">
        <v>768</v>
      </c>
      <c r="O64" s="18">
        <v>1665862</v>
      </c>
      <c r="P64" s="18">
        <v>416465</v>
      </c>
      <c r="Q64" s="18">
        <v>2082327</v>
      </c>
      <c r="R64" s="18">
        <v>584665</v>
      </c>
      <c r="S64" s="18">
        <v>146166</v>
      </c>
      <c r="T64" s="18">
        <v>730831</v>
      </c>
      <c r="U64" s="37">
        <v>2813158</v>
      </c>
      <c r="V64" s="18">
        <v>208233</v>
      </c>
      <c r="W64" s="18">
        <v>208233</v>
      </c>
      <c r="X64" s="19">
        <v>2602908</v>
      </c>
    </row>
    <row r="65" spans="1:24" x14ac:dyDescent="0.2">
      <c r="A65" s="12" t="s">
        <v>30</v>
      </c>
      <c r="B65" s="13" t="s">
        <v>225</v>
      </c>
      <c r="C65" s="14" t="s">
        <v>32</v>
      </c>
      <c r="D65" s="14" t="s">
        <v>75</v>
      </c>
      <c r="E65" s="14" t="s">
        <v>226</v>
      </c>
      <c r="F65" s="14" t="s">
        <v>227</v>
      </c>
      <c r="G65" s="15" t="s">
        <v>228</v>
      </c>
      <c r="H65" s="16" t="s">
        <v>229</v>
      </c>
      <c r="I65" s="17">
        <v>2947028</v>
      </c>
      <c r="J65" s="17">
        <v>1034314</v>
      </c>
      <c r="K65" s="18">
        <v>3981342</v>
      </c>
      <c r="L65" s="30" t="s">
        <v>768</v>
      </c>
      <c r="M65" s="30" t="s">
        <v>768</v>
      </c>
      <c r="N65" s="30" t="s">
        <v>768</v>
      </c>
      <c r="O65" s="18">
        <v>2357622</v>
      </c>
      <c r="P65" s="18">
        <v>589406</v>
      </c>
      <c r="Q65" s="18">
        <v>2947028</v>
      </c>
      <c r="R65" s="18">
        <v>827451</v>
      </c>
      <c r="S65" s="18">
        <v>206863</v>
      </c>
      <c r="T65" s="18">
        <v>1034314</v>
      </c>
      <c r="U65" s="37">
        <v>3981342</v>
      </c>
      <c r="V65" s="18">
        <v>294703</v>
      </c>
      <c r="W65" s="18">
        <v>294703</v>
      </c>
      <c r="X65" s="19">
        <v>3683785</v>
      </c>
    </row>
    <row r="66" spans="1:24" x14ac:dyDescent="0.2">
      <c r="A66" s="12" t="s">
        <v>30</v>
      </c>
      <c r="B66" s="13" t="s">
        <v>230</v>
      </c>
      <c r="C66" s="14" t="s">
        <v>32</v>
      </c>
      <c r="D66" s="14" t="s">
        <v>110</v>
      </c>
      <c r="E66" s="14" t="s">
        <v>231</v>
      </c>
      <c r="F66" s="14" t="s">
        <v>232</v>
      </c>
      <c r="G66" s="15" t="s">
        <v>233</v>
      </c>
      <c r="H66" s="16" t="s">
        <v>234</v>
      </c>
      <c r="I66" s="17">
        <v>1971484</v>
      </c>
      <c r="J66" s="17">
        <v>691929</v>
      </c>
      <c r="K66" s="18">
        <v>2663413</v>
      </c>
      <c r="L66" s="30" t="s">
        <v>768</v>
      </c>
      <c r="M66" s="30" t="s">
        <v>768</v>
      </c>
      <c r="N66" s="30" t="s">
        <v>768</v>
      </c>
      <c r="O66" s="18">
        <v>1577187</v>
      </c>
      <c r="P66" s="18">
        <v>394297</v>
      </c>
      <c r="Q66" s="18">
        <v>1971484</v>
      </c>
      <c r="R66" s="18">
        <v>553543</v>
      </c>
      <c r="S66" s="18">
        <v>138386</v>
      </c>
      <c r="T66" s="18">
        <v>691929</v>
      </c>
      <c r="U66" s="37">
        <v>2663413</v>
      </c>
      <c r="V66" s="18">
        <v>197148</v>
      </c>
      <c r="W66" s="18">
        <v>197148</v>
      </c>
      <c r="X66" s="19">
        <v>2464355</v>
      </c>
    </row>
    <row r="67" spans="1:24" x14ac:dyDescent="0.2">
      <c r="A67" s="12" t="s">
        <v>30</v>
      </c>
      <c r="B67" s="13" t="s">
        <v>235</v>
      </c>
      <c r="C67" s="14" t="s">
        <v>32</v>
      </c>
      <c r="D67" s="14" t="s">
        <v>63</v>
      </c>
      <c r="E67" s="14" t="s">
        <v>236</v>
      </c>
      <c r="F67" s="14" t="s">
        <v>237</v>
      </c>
      <c r="G67" s="15" t="s">
        <v>238</v>
      </c>
      <c r="H67" s="16" t="s">
        <v>239</v>
      </c>
      <c r="I67" s="17">
        <v>0</v>
      </c>
      <c r="J67" s="17">
        <v>0</v>
      </c>
      <c r="K67" s="18">
        <v>0</v>
      </c>
      <c r="L67" s="30" t="s">
        <v>769</v>
      </c>
      <c r="M67" s="30" t="s">
        <v>769</v>
      </c>
      <c r="N67" s="30" t="s">
        <v>769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37">
        <v>0</v>
      </c>
      <c r="V67" s="18">
        <v>0</v>
      </c>
      <c r="W67" s="18">
        <v>0</v>
      </c>
      <c r="X67" s="19">
        <v>0</v>
      </c>
    </row>
    <row r="68" spans="1:24" x14ac:dyDescent="0.2">
      <c r="A68" s="12" t="s">
        <v>30</v>
      </c>
      <c r="B68" s="21" t="s">
        <v>240</v>
      </c>
      <c r="C68" s="14" t="s">
        <v>32</v>
      </c>
      <c r="D68" s="14" t="s">
        <v>146</v>
      </c>
      <c r="E68" s="14" t="s">
        <v>241</v>
      </c>
      <c r="F68" s="22" t="s">
        <v>242</v>
      </c>
      <c r="G68" s="15" t="s">
        <v>243</v>
      </c>
      <c r="H68" s="23" t="s">
        <v>244</v>
      </c>
      <c r="I68" s="24">
        <v>0</v>
      </c>
      <c r="J68" s="24">
        <v>0</v>
      </c>
      <c r="K68" s="18">
        <v>0</v>
      </c>
      <c r="L68" s="30" t="s">
        <v>769</v>
      </c>
      <c r="M68" s="30" t="s">
        <v>769</v>
      </c>
      <c r="N68" s="30" t="s">
        <v>769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37">
        <v>0</v>
      </c>
      <c r="V68" s="18">
        <v>0</v>
      </c>
      <c r="W68" s="18">
        <v>0</v>
      </c>
      <c r="X68" s="19">
        <v>0</v>
      </c>
    </row>
    <row r="69" spans="1:24" x14ac:dyDescent="0.2">
      <c r="A69" s="12" t="s">
        <v>30</v>
      </c>
      <c r="B69" s="21" t="s">
        <v>245</v>
      </c>
      <c r="C69" s="14" t="s">
        <v>32</v>
      </c>
      <c r="D69" s="14" t="s">
        <v>78</v>
      </c>
      <c r="E69" s="14" t="s">
        <v>246</v>
      </c>
      <c r="F69" s="28" t="s">
        <v>247</v>
      </c>
      <c r="G69" s="15" t="s">
        <v>248</v>
      </c>
      <c r="H69" s="23" t="s">
        <v>249</v>
      </c>
      <c r="I69" s="24">
        <v>0</v>
      </c>
      <c r="J69" s="24">
        <v>0</v>
      </c>
      <c r="K69" s="18">
        <v>0</v>
      </c>
      <c r="L69" s="30" t="s">
        <v>769</v>
      </c>
      <c r="M69" s="30" t="s">
        <v>769</v>
      </c>
      <c r="N69" s="30" t="s">
        <v>769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37">
        <v>0</v>
      </c>
      <c r="V69" s="18">
        <v>0</v>
      </c>
      <c r="W69" s="18">
        <v>0</v>
      </c>
      <c r="X69" s="19">
        <v>0</v>
      </c>
    </row>
    <row r="70" spans="1:24" x14ac:dyDescent="0.2">
      <c r="A70" s="12" t="s">
        <v>30</v>
      </c>
      <c r="B70" s="21" t="s">
        <v>250</v>
      </c>
      <c r="C70" s="14" t="s">
        <v>32</v>
      </c>
      <c r="D70" s="14" t="s">
        <v>110</v>
      </c>
      <c r="E70" s="14" t="s">
        <v>251</v>
      </c>
      <c r="F70" s="28" t="s">
        <v>252</v>
      </c>
      <c r="G70" s="15" t="s">
        <v>253</v>
      </c>
      <c r="H70" s="23" t="s">
        <v>254</v>
      </c>
      <c r="I70" s="24">
        <v>295889</v>
      </c>
      <c r="J70" s="24">
        <v>103848</v>
      </c>
      <c r="K70" s="18">
        <v>399737</v>
      </c>
      <c r="L70" s="30" t="s">
        <v>768</v>
      </c>
      <c r="M70" s="30" t="s">
        <v>768</v>
      </c>
      <c r="N70" s="30" t="s">
        <v>768</v>
      </c>
      <c r="O70" s="18">
        <v>236711</v>
      </c>
      <c r="P70" s="18">
        <v>59178</v>
      </c>
      <c r="Q70" s="18">
        <v>295889</v>
      </c>
      <c r="R70" s="18">
        <v>83078</v>
      </c>
      <c r="S70" s="18">
        <v>20770</v>
      </c>
      <c r="T70" s="18">
        <v>103848</v>
      </c>
      <c r="U70" s="37">
        <v>399737</v>
      </c>
      <c r="V70" s="18">
        <v>29589</v>
      </c>
      <c r="W70" s="18">
        <v>29589</v>
      </c>
      <c r="X70" s="19">
        <v>369861</v>
      </c>
    </row>
    <row r="71" spans="1:24" x14ac:dyDescent="0.2">
      <c r="A71" s="12" t="s">
        <v>30</v>
      </c>
      <c r="B71" s="13" t="s">
        <v>255</v>
      </c>
      <c r="C71" s="14" t="s">
        <v>32</v>
      </c>
      <c r="D71" s="14" t="s">
        <v>81</v>
      </c>
      <c r="E71" s="14" t="s">
        <v>256</v>
      </c>
      <c r="F71" s="14" t="s">
        <v>257</v>
      </c>
      <c r="G71" s="15" t="s">
        <v>258</v>
      </c>
      <c r="H71" s="16" t="s">
        <v>259</v>
      </c>
      <c r="I71" s="17">
        <v>0</v>
      </c>
      <c r="J71" s="17">
        <v>0</v>
      </c>
      <c r="K71" s="18">
        <v>0</v>
      </c>
      <c r="L71" s="30" t="s">
        <v>769</v>
      </c>
      <c r="M71" s="30" t="s">
        <v>769</v>
      </c>
      <c r="N71" s="30" t="s">
        <v>769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37">
        <v>0</v>
      </c>
      <c r="V71" s="18">
        <v>0</v>
      </c>
      <c r="W71" s="18">
        <v>0</v>
      </c>
      <c r="X71" s="19">
        <v>0</v>
      </c>
    </row>
    <row r="72" spans="1:24" x14ac:dyDescent="0.2">
      <c r="A72" s="12" t="s">
        <v>30</v>
      </c>
      <c r="B72" s="13" t="s">
        <v>260</v>
      </c>
      <c r="C72" s="14" t="s">
        <v>32</v>
      </c>
      <c r="D72" s="14" t="s">
        <v>110</v>
      </c>
      <c r="E72" s="14" t="s">
        <v>261</v>
      </c>
      <c r="F72" s="14" t="s">
        <v>262</v>
      </c>
      <c r="G72" s="15" t="s">
        <v>263</v>
      </c>
      <c r="H72" s="16" t="s">
        <v>264</v>
      </c>
      <c r="I72" s="17">
        <v>408147</v>
      </c>
      <c r="J72" s="17">
        <v>143247</v>
      </c>
      <c r="K72" s="18">
        <v>551394</v>
      </c>
      <c r="L72" s="30" t="s">
        <v>768</v>
      </c>
      <c r="M72" s="30" t="s">
        <v>768</v>
      </c>
      <c r="N72" s="30" t="s">
        <v>768</v>
      </c>
      <c r="O72" s="18">
        <v>326518</v>
      </c>
      <c r="P72" s="18">
        <v>81629</v>
      </c>
      <c r="Q72" s="18">
        <v>408147</v>
      </c>
      <c r="R72" s="18">
        <v>114598</v>
      </c>
      <c r="S72" s="18">
        <v>28649</v>
      </c>
      <c r="T72" s="18">
        <v>143247</v>
      </c>
      <c r="U72" s="37">
        <v>551394</v>
      </c>
      <c r="V72" s="18">
        <v>40815</v>
      </c>
      <c r="W72" s="18">
        <v>40815</v>
      </c>
      <c r="X72" s="19">
        <v>510183</v>
      </c>
    </row>
    <row r="73" spans="1:24" x14ac:dyDescent="0.2">
      <c r="A73" s="12" t="s">
        <v>30</v>
      </c>
      <c r="B73" s="13" t="s">
        <v>265</v>
      </c>
      <c r="C73" s="14" t="s">
        <v>32</v>
      </c>
      <c r="D73" s="14" t="s">
        <v>110</v>
      </c>
      <c r="E73" s="14" t="s">
        <v>266</v>
      </c>
      <c r="F73" s="14" t="s">
        <v>267</v>
      </c>
      <c r="G73" s="15" t="s">
        <v>268</v>
      </c>
      <c r="H73" s="16" t="s">
        <v>269</v>
      </c>
      <c r="I73" s="17">
        <v>287053</v>
      </c>
      <c r="J73" s="17">
        <v>100747</v>
      </c>
      <c r="K73" s="18">
        <v>387800</v>
      </c>
      <c r="L73" s="30" t="s">
        <v>768</v>
      </c>
      <c r="M73" s="30" t="s">
        <v>768</v>
      </c>
      <c r="N73" s="30" t="s">
        <v>768</v>
      </c>
      <c r="O73" s="18">
        <v>229642</v>
      </c>
      <c r="P73" s="18">
        <v>57411</v>
      </c>
      <c r="Q73" s="18">
        <v>287053</v>
      </c>
      <c r="R73" s="18">
        <v>80598</v>
      </c>
      <c r="S73" s="18">
        <v>20149</v>
      </c>
      <c r="T73" s="18">
        <v>100747</v>
      </c>
      <c r="U73" s="37">
        <v>387800</v>
      </c>
      <c r="V73" s="18">
        <v>28705</v>
      </c>
      <c r="W73" s="18">
        <v>28705</v>
      </c>
      <c r="X73" s="19">
        <v>358817</v>
      </c>
    </row>
    <row r="74" spans="1:24" x14ac:dyDescent="0.2">
      <c r="A74" s="12" t="s">
        <v>30</v>
      </c>
      <c r="B74" s="13" t="s">
        <v>270</v>
      </c>
      <c r="C74" s="14" t="s">
        <v>32</v>
      </c>
      <c r="D74" s="14" t="s">
        <v>134</v>
      </c>
      <c r="E74" s="14" t="s">
        <v>271</v>
      </c>
      <c r="F74" s="14" t="s">
        <v>272</v>
      </c>
      <c r="G74" s="15" t="s">
        <v>273</v>
      </c>
      <c r="H74" s="16" t="s">
        <v>274</v>
      </c>
      <c r="I74" s="17">
        <v>273942</v>
      </c>
      <c r="J74" s="17">
        <v>96145</v>
      </c>
      <c r="K74" s="18">
        <v>370087</v>
      </c>
      <c r="L74" s="30" t="s">
        <v>768</v>
      </c>
      <c r="M74" s="30" t="s">
        <v>768</v>
      </c>
      <c r="N74" s="30" t="s">
        <v>768</v>
      </c>
      <c r="O74" s="18">
        <v>219154</v>
      </c>
      <c r="P74" s="18">
        <v>54788</v>
      </c>
      <c r="Q74" s="18">
        <v>273942</v>
      </c>
      <c r="R74" s="18">
        <v>76916</v>
      </c>
      <c r="S74" s="18">
        <v>19229</v>
      </c>
      <c r="T74" s="18">
        <v>96145</v>
      </c>
      <c r="U74" s="37">
        <v>370087</v>
      </c>
      <c r="V74" s="18">
        <v>27394</v>
      </c>
      <c r="W74" s="18">
        <v>27394</v>
      </c>
      <c r="X74" s="19">
        <v>342428</v>
      </c>
    </row>
    <row r="75" spans="1:24" x14ac:dyDescent="0.2">
      <c r="A75" s="12" t="s">
        <v>30</v>
      </c>
      <c r="B75" s="13" t="s">
        <v>275</v>
      </c>
      <c r="C75" s="14" t="s">
        <v>32</v>
      </c>
      <c r="D75" s="14" t="s">
        <v>110</v>
      </c>
      <c r="E75" s="14" t="s">
        <v>276</v>
      </c>
      <c r="F75" s="14" t="s">
        <v>277</v>
      </c>
      <c r="G75" s="15" t="s">
        <v>278</v>
      </c>
      <c r="H75" s="16" t="s">
        <v>279</v>
      </c>
      <c r="I75" s="17">
        <v>438802</v>
      </c>
      <c r="J75" s="17">
        <v>154006</v>
      </c>
      <c r="K75" s="18">
        <v>592808</v>
      </c>
      <c r="L75" s="30" t="s">
        <v>768</v>
      </c>
      <c r="M75" s="30" t="s">
        <v>768</v>
      </c>
      <c r="N75" s="30" t="s">
        <v>768</v>
      </c>
      <c r="O75" s="18">
        <v>351042</v>
      </c>
      <c r="P75" s="18">
        <v>87760</v>
      </c>
      <c r="Q75" s="18">
        <v>438802</v>
      </c>
      <c r="R75" s="18">
        <v>123205</v>
      </c>
      <c r="S75" s="18">
        <v>30801</v>
      </c>
      <c r="T75" s="18">
        <v>154006</v>
      </c>
      <c r="U75" s="37">
        <v>592808</v>
      </c>
      <c r="V75" s="18">
        <v>43880</v>
      </c>
      <c r="W75" s="18">
        <v>43880</v>
      </c>
      <c r="X75" s="19">
        <v>548503</v>
      </c>
    </row>
    <row r="76" spans="1:24" x14ac:dyDescent="0.2">
      <c r="A76" s="12" t="s">
        <v>30</v>
      </c>
      <c r="B76" s="13" t="s">
        <v>280</v>
      </c>
      <c r="C76" s="14" t="s">
        <v>32</v>
      </c>
      <c r="D76" s="14" t="s">
        <v>33</v>
      </c>
      <c r="E76" s="14" t="s">
        <v>281</v>
      </c>
      <c r="F76" s="14" t="s">
        <v>282</v>
      </c>
      <c r="G76" s="15" t="s">
        <v>283</v>
      </c>
      <c r="H76" s="16" t="s">
        <v>284</v>
      </c>
      <c r="I76" s="17">
        <v>1846105</v>
      </c>
      <c r="J76" s="17">
        <v>647925</v>
      </c>
      <c r="K76" s="18">
        <v>2494030</v>
      </c>
      <c r="L76" s="30" t="s">
        <v>768</v>
      </c>
      <c r="M76" s="30" t="s">
        <v>768</v>
      </c>
      <c r="N76" s="30" t="s">
        <v>768</v>
      </c>
      <c r="O76" s="18">
        <v>1476884</v>
      </c>
      <c r="P76" s="18">
        <v>369221</v>
      </c>
      <c r="Q76" s="18">
        <v>1846105</v>
      </c>
      <c r="R76" s="18">
        <v>518340</v>
      </c>
      <c r="S76" s="18">
        <v>129585</v>
      </c>
      <c r="T76" s="18">
        <v>647925</v>
      </c>
      <c r="U76" s="37">
        <v>2494030</v>
      </c>
      <c r="V76" s="18">
        <v>184611</v>
      </c>
      <c r="W76" s="18">
        <v>184611</v>
      </c>
      <c r="X76" s="19">
        <v>2307631</v>
      </c>
    </row>
    <row r="77" spans="1:24" x14ac:dyDescent="0.2">
      <c r="A77" s="12" t="s">
        <v>30</v>
      </c>
      <c r="B77" s="21" t="s">
        <v>285</v>
      </c>
      <c r="C77" s="14" t="s">
        <v>32</v>
      </c>
      <c r="D77" s="14" t="s">
        <v>110</v>
      </c>
      <c r="E77" s="14" t="s">
        <v>286</v>
      </c>
      <c r="F77" s="22" t="s">
        <v>287</v>
      </c>
      <c r="G77" s="15" t="s">
        <v>288</v>
      </c>
      <c r="H77" s="23" t="s">
        <v>289</v>
      </c>
      <c r="I77" s="24">
        <v>559792</v>
      </c>
      <c r="J77" s="24">
        <v>196470</v>
      </c>
      <c r="K77" s="18">
        <v>756262</v>
      </c>
      <c r="L77" s="30" t="s">
        <v>768</v>
      </c>
      <c r="M77" s="30" t="s">
        <v>768</v>
      </c>
      <c r="N77" s="30" t="s">
        <v>768</v>
      </c>
      <c r="O77" s="18">
        <v>447834</v>
      </c>
      <c r="P77" s="18">
        <v>111958</v>
      </c>
      <c r="Q77" s="18">
        <v>559792</v>
      </c>
      <c r="R77" s="18">
        <v>157176</v>
      </c>
      <c r="S77" s="18">
        <v>39294</v>
      </c>
      <c r="T77" s="18">
        <v>196470</v>
      </c>
      <c r="U77" s="37">
        <v>756262</v>
      </c>
      <c r="V77" s="18">
        <v>55979</v>
      </c>
      <c r="W77" s="18">
        <v>55979</v>
      </c>
      <c r="X77" s="19">
        <v>699740</v>
      </c>
    </row>
    <row r="78" spans="1:24" x14ac:dyDescent="0.2">
      <c r="A78" s="12" t="s">
        <v>30</v>
      </c>
      <c r="B78" s="13" t="s">
        <v>290</v>
      </c>
      <c r="C78" s="14" t="s">
        <v>32</v>
      </c>
      <c r="D78" s="14" t="s">
        <v>110</v>
      </c>
      <c r="E78" s="14" t="s">
        <v>291</v>
      </c>
      <c r="F78" s="14" t="s">
        <v>292</v>
      </c>
      <c r="G78" s="15" t="s">
        <v>293</v>
      </c>
      <c r="H78" s="16" t="s">
        <v>294</v>
      </c>
      <c r="I78" s="17">
        <v>821542</v>
      </c>
      <c r="J78" s="17">
        <v>288335</v>
      </c>
      <c r="K78" s="18">
        <v>1109877</v>
      </c>
      <c r="L78" s="30" t="s">
        <v>768</v>
      </c>
      <c r="M78" s="30" t="s">
        <v>768</v>
      </c>
      <c r="N78" s="30" t="s">
        <v>768</v>
      </c>
      <c r="O78" s="18">
        <v>657234</v>
      </c>
      <c r="P78" s="18">
        <v>164308</v>
      </c>
      <c r="Q78" s="18">
        <v>821542</v>
      </c>
      <c r="R78" s="18">
        <v>230668</v>
      </c>
      <c r="S78" s="18">
        <v>57667</v>
      </c>
      <c r="T78" s="18">
        <v>288335</v>
      </c>
      <c r="U78" s="37">
        <v>1109877</v>
      </c>
      <c r="V78" s="18">
        <v>82154</v>
      </c>
      <c r="W78" s="18">
        <v>82154</v>
      </c>
      <c r="X78" s="19">
        <v>1026928</v>
      </c>
    </row>
    <row r="79" spans="1:24" x14ac:dyDescent="0.2">
      <c r="A79" s="12" t="s">
        <v>30</v>
      </c>
      <c r="B79" s="13" t="s">
        <v>295</v>
      </c>
      <c r="C79" s="14" t="s">
        <v>32</v>
      </c>
      <c r="D79" s="14" t="s">
        <v>87</v>
      </c>
      <c r="E79" s="14" t="s">
        <v>296</v>
      </c>
      <c r="F79" s="14" t="s">
        <v>297</v>
      </c>
      <c r="G79" s="15" t="s">
        <v>298</v>
      </c>
      <c r="H79" s="16" t="s">
        <v>299</v>
      </c>
      <c r="I79" s="17">
        <v>79119</v>
      </c>
      <c r="J79" s="17">
        <v>27768</v>
      </c>
      <c r="K79" s="18">
        <v>106887</v>
      </c>
      <c r="L79" s="30" t="s">
        <v>768</v>
      </c>
      <c r="M79" s="30" t="s">
        <v>768</v>
      </c>
      <c r="N79" s="30" t="s">
        <v>768</v>
      </c>
      <c r="O79" s="18">
        <v>63295</v>
      </c>
      <c r="P79" s="18">
        <v>15824</v>
      </c>
      <c r="Q79" s="18">
        <v>79119</v>
      </c>
      <c r="R79" s="18">
        <v>22214</v>
      </c>
      <c r="S79" s="18">
        <v>5554</v>
      </c>
      <c r="T79" s="18">
        <v>27768</v>
      </c>
      <c r="U79" s="37">
        <v>106887</v>
      </c>
      <c r="V79" s="18">
        <v>7912</v>
      </c>
      <c r="W79" s="18">
        <v>7912</v>
      </c>
      <c r="X79" s="19">
        <v>98899</v>
      </c>
    </row>
    <row r="80" spans="1:24" x14ac:dyDescent="0.2">
      <c r="A80" s="12" t="s">
        <v>30</v>
      </c>
      <c r="B80" s="13" t="s">
        <v>300</v>
      </c>
      <c r="C80" s="14" t="s">
        <v>32</v>
      </c>
      <c r="D80" s="14" t="s">
        <v>48</v>
      </c>
      <c r="E80" s="14" t="s">
        <v>301</v>
      </c>
      <c r="F80" s="14" t="s">
        <v>302</v>
      </c>
      <c r="G80" s="15" t="s">
        <v>303</v>
      </c>
      <c r="H80" s="16" t="s">
        <v>304</v>
      </c>
      <c r="I80" s="17">
        <v>281757</v>
      </c>
      <c r="J80" s="17">
        <v>98888</v>
      </c>
      <c r="K80" s="18">
        <v>380645</v>
      </c>
      <c r="L80" s="30" t="s">
        <v>768</v>
      </c>
      <c r="M80" s="30" t="s">
        <v>768</v>
      </c>
      <c r="N80" s="30" t="s">
        <v>769</v>
      </c>
      <c r="O80" s="18">
        <v>0</v>
      </c>
      <c r="P80" s="18">
        <v>0</v>
      </c>
      <c r="Q80" s="18">
        <v>0</v>
      </c>
      <c r="R80" s="18">
        <v>0</v>
      </c>
      <c r="S80" s="18">
        <v>0</v>
      </c>
      <c r="T80" s="18">
        <v>0</v>
      </c>
      <c r="U80" s="37">
        <v>0</v>
      </c>
      <c r="V80" s="18">
        <v>0</v>
      </c>
      <c r="W80" s="18">
        <v>0</v>
      </c>
      <c r="X80" s="19">
        <v>0</v>
      </c>
    </row>
    <row r="81" spans="1:24" x14ac:dyDescent="0.2">
      <c r="A81" s="12" t="s">
        <v>30</v>
      </c>
      <c r="B81" s="13" t="s">
        <v>305</v>
      </c>
      <c r="C81" s="14" t="s">
        <v>32</v>
      </c>
      <c r="D81" s="14" t="s">
        <v>110</v>
      </c>
      <c r="E81" s="14" t="s">
        <v>306</v>
      </c>
      <c r="F81" s="14" t="s">
        <v>307</v>
      </c>
      <c r="G81" s="15" t="s">
        <v>308</v>
      </c>
      <c r="H81" s="16" t="s">
        <v>309</v>
      </c>
      <c r="I81" s="17">
        <v>467110</v>
      </c>
      <c r="J81" s="17">
        <v>163941</v>
      </c>
      <c r="K81" s="18">
        <v>631051</v>
      </c>
      <c r="L81" s="30" t="s">
        <v>768</v>
      </c>
      <c r="M81" s="30" t="s">
        <v>768</v>
      </c>
      <c r="N81" s="30" t="s">
        <v>768</v>
      </c>
      <c r="O81" s="18">
        <v>373688</v>
      </c>
      <c r="P81" s="18">
        <v>93422</v>
      </c>
      <c r="Q81" s="18">
        <v>467110</v>
      </c>
      <c r="R81" s="18">
        <v>131153</v>
      </c>
      <c r="S81" s="18">
        <v>32788</v>
      </c>
      <c r="T81" s="18">
        <v>163941</v>
      </c>
      <c r="U81" s="37">
        <v>631051</v>
      </c>
      <c r="V81" s="18">
        <v>46711</v>
      </c>
      <c r="W81" s="18">
        <v>46711</v>
      </c>
      <c r="X81" s="19">
        <v>583887</v>
      </c>
    </row>
    <row r="82" spans="1:24" x14ac:dyDescent="0.2">
      <c r="A82" s="12" t="s">
        <v>30</v>
      </c>
      <c r="B82" s="13" t="s">
        <v>310</v>
      </c>
      <c r="C82" s="14" t="s">
        <v>32</v>
      </c>
      <c r="D82" s="14" t="s">
        <v>131</v>
      </c>
      <c r="E82" s="14" t="s">
        <v>311</v>
      </c>
      <c r="F82" s="14" t="s">
        <v>312</v>
      </c>
      <c r="G82" s="15" t="s">
        <v>313</v>
      </c>
      <c r="H82" s="16" t="s">
        <v>314</v>
      </c>
      <c r="I82" s="17">
        <v>2831032</v>
      </c>
      <c r="J82" s="17">
        <v>993603</v>
      </c>
      <c r="K82" s="18">
        <v>3824635</v>
      </c>
      <c r="L82" s="30" t="s">
        <v>768</v>
      </c>
      <c r="M82" s="30" t="s">
        <v>768</v>
      </c>
      <c r="N82" s="30" t="s">
        <v>768</v>
      </c>
      <c r="O82" s="18">
        <v>2264826</v>
      </c>
      <c r="P82" s="18">
        <v>566206</v>
      </c>
      <c r="Q82" s="18">
        <v>2831032</v>
      </c>
      <c r="R82" s="18">
        <v>794882</v>
      </c>
      <c r="S82" s="18">
        <v>198721</v>
      </c>
      <c r="T82" s="18">
        <v>993603</v>
      </c>
      <c r="U82" s="37">
        <v>3824635</v>
      </c>
      <c r="V82" s="18">
        <v>283103</v>
      </c>
      <c r="W82" s="18">
        <v>283103</v>
      </c>
      <c r="X82" s="19">
        <v>3538790</v>
      </c>
    </row>
    <row r="83" spans="1:24" x14ac:dyDescent="0.2">
      <c r="A83" s="12" t="s">
        <v>30</v>
      </c>
      <c r="B83" s="13" t="s">
        <v>315</v>
      </c>
      <c r="C83" s="14" t="s">
        <v>32</v>
      </c>
      <c r="D83" s="14" t="s">
        <v>146</v>
      </c>
      <c r="E83" s="14" t="s">
        <v>316</v>
      </c>
      <c r="F83" s="14" t="s">
        <v>317</v>
      </c>
      <c r="G83" s="15" t="s">
        <v>318</v>
      </c>
      <c r="H83" s="16" t="s">
        <v>319</v>
      </c>
      <c r="I83" s="17">
        <v>0</v>
      </c>
      <c r="J83" s="17">
        <v>0</v>
      </c>
      <c r="K83" s="18">
        <v>0</v>
      </c>
      <c r="L83" s="30" t="s">
        <v>769</v>
      </c>
      <c r="M83" s="30" t="s">
        <v>769</v>
      </c>
      <c r="N83" s="30" t="s">
        <v>769</v>
      </c>
      <c r="O83" s="18">
        <v>0</v>
      </c>
      <c r="P83" s="18">
        <v>0</v>
      </c>
      <c r="Q83" s="18">
        <v>0</v>
      </c>
      <c r="R83" s="18">
        <v>0</v>
      </c>
      <c r="S83" s="18">
        <v>0</v>
      </c>
      <c r="T83" s="18">
        <v>0</v>
      </c>
      <c r="U83" s="37">
        <v>0</v>
      </c>
      <c r="V83" s="18">
        <v>0</v>
      </c>
      <c r="W83" s="18">
        <v>0</v>
      </c>
      <c r="X83" s="19">
        <v>0</v>
      </c>
    </row>
    <row r="84" spans="1:24" x14ac:dyDescent="0.2">
      <c r="A84" s="12" t="s">
        <v>30</v>
      </c>
      <c r="B84" s="13" t="s">
        <v>320</v>
      </c>
      <c r="C84" s="14" t="s">
        <v>32</v>
      </c>
      <c r="D84" s="14" t="s">
        <v>110</v>
      </c>
      <c r="E84" s="14" t="s">
        <v>321</v>
      </c>
      <c r="F84" s="14" t="s">
        <v>322</v>
      </c>
      <c r="G84" s="15" t="s">
        <v>323</v>
      </c>
      <c r="H84" s="16" t="s">
        <v>324</v>
      </c>
      <c r="I84" s="17">
        <v>309773</v>
      </c>
      <c r="J84" s="17">
        <v>108721</v>
      </c>
      <c r="K84" s="18">
        <v>418494</v>
      </c>
      <c r="L84" s="30" t="s">
        <v>768</v>
      </c>
      <c r="M84" s="30" t="s">
        <v>768</v>
      </c>
      <c r="N84" s="30" t="s">
        <v>768</v>
      </c>
      <c r="O84" s="18">
        <v>247818</v>
      </c>
      <c r="P84" s="18">
        <v>61955</v>
      </c>
      <c r="Q84" s="18">
        <v>309773</v>
      </c>
      <c r="R84" s="18">
        <v>86977</v>
      </c>
      <c r="S84" s="18">
        <v>21744</v>
      </c>
      <c r="T84" s="18">
        <v>108721</v>
      </c>
      <c r="U84" s="37">
        <v>418494</v>
      </c>
      <c r="V84" s="18">
        <v>30977</v>
      </c>
      <c r="W84" s="18">
        <v>30977</v>
      </c>
      <c r="X84" s="19">
        <v>387217</v>
      </c>
    </row>
    <row r="85" spans="1:24" x14ac:dyDescent="0.2">
      <c r="A85" s="12" t="s">
        <v>30</v>
      </c>
      <c r="B85" s="13" t="s">
        <v>325</v>
      </c>
      <c r="C85" s="14" t="s">
        <v>32</v>
      </c>
      <c r="D85" s="14" t="s">
        <v>110</v>
      </c>
      <c r="E85" s="14" t="s">
        <v>326</v>
      </c>
      <c r="F85" s="14" t="s">
        <v>327</v>
      </c>
      <c r="G85" s="15" t="s">
        <v>328</v>
      </c>
      <c r="H85" s="16" t="s">
        <v>329</v>
      </c>
      <c r="I85" s="17">
        <v>761701</v>
      </c>
      <c r="J85" s="17">
        <v>267333</v>
      </c>
      <c r="K85" s="18">
        <v>1029034</v>
      </c>
      <c r="L85" s="30" t="s">
        <v>768</v>
      </c>
      <c r="M85" s="30" t="s">
        <v>768</v>
      </c>
      <c r="N85" s="30" t="s">
        <v>768</v>
      </c>
      <c r="O85" s="18">
        <v>609361</v>
      </c>
      <c r="P85" s="18">
        <v>152340</v>
      </c>
      <c r="Q85" s="18">
        <v>761701</v>
      </c>
      <c r="R85" s="18">
        <v>213866</v>
      </c>
      <c r="S85" s="18">
        <v>53467</v>
      </c>
      <c r="T85" s="18">
        <v>267333</v>
      </c>
      <c r="U85" s="37">
        <v>1029034</v>
      </c>
      <c r="V85" s="18">
        <v>76170</v>
      </c>
      <c r="W85" s="18">
        <v>76170</v>
      </c>
      <c r="X85" s="19">
        <v>952126</v>
      </c>
    </row>
    <row r="86" spans="1:24" x14ac:dyDescent="0.2">
      <c r="A86" s="12" t="s">
        <v>30</v>
      </c>
      <c r="B86" s="13" t="s">
        <v>330</v>
      </c>
      <c r="C86" s="14" t="s">
        <v>32</v>
      </c>
      <c r="D86" s="14" t="s">
        <v>98</v>
      </c>
      <c r="E86" s="14" t="s">
        <v>331</v>
      </c>
      <c r="F86" s="14" t="s">
        <v>332</v>
      </c>
      <c r="G86" s="15" t="s">
        <v>333</v>
      </c>
      <c r="H86" s="16" t="s">
        <v>334</v>
      </c>
      <c r="I86" s="17">
        <v>746327</v>
      </c>
      <c r="J86" s="17">
        <v>261937</v>
      </c>
      <c r="K86" s="18">
        <v>1008264</v>
      </c>
      <c r="L86" s="30" t="s">
        <v>768</v>
      </c>
      <c r="M86" s="30" t="s">
        <v>768</v>
      </c>
      <c r="N86" s="30" t="s">
        <v>768</v>
      </c>
      <c r="O86" s="18">
        <v>597062</v>
      </c>
      <c r="P86" s="18">
        <v>149265</v>
      </c>
      <c r="Q86" s="18">
        <v>746327</v>
      </c>
      <c r="R86" s="18">
        <v>209550</v>
      </c>
      <c r="S86" s="18">
        <v>52387</v>
      </c>
      <c r="T86" s="18">
        <v>261937</v>
      </c>
      <c r="U86" s="37">
        <v>1008264</v>
      </c>
      <c r="V86" s="18">
        <v>74633</v>
      </c>
      <c r="W86" s="18">
        <v>74633</v>
      </c>
      <c r="X86" s="19">
        <v>932908</v>
      </c>
    </row>
    <row r="87" spans="1:24" x14ac:dyDescent="0.2">
      <c r="A87" s="12" t="s">
        <v>30</v>
      </c>
      <c r="B87" s="13" t="s">
        <v>335</v>
      </c>
      <c r="C87" s="14" t="s">
        <v>32</v>
      </c>
      <c r="D87" s="14" t="s">
        <v>63</v>
      </c>
      <c r="E87" s="14" t="s">
        <v>336</v>
      </c>
      <c r="F87" s="14" t="s">
        <v>337</v>
      </c>
      <c r="G87" s="15" t="s">
        <v>338</v>
      </c>
      <c r="H87" s="16" t="s">
        <v>339</v>
      </c>
      <c r="I87" s="17">
        <v>0</v>
      </c>
      <c r="J87" s="17">
        <v>0</v>
      </c>
      <c r="K87" s="18">
        <v>0</v>
      </c>
      <c r="L87" s="30" t="s">
        <v>769</v>
      </c>
      <c r="M87" s="30" t="s">
        <v>769</v>
      </c>
      <c r="N87" s="30" t="s">
        <v>769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37">
        <v>0</v>
      </c>
      <c r="V87" s="18">
        <v>0</v>
      </c>
      <c r="W87" s="18">
        <v>0</v>
      </c>
      <c r="X87" s="19">
        <v>0</v>
      </c>
    </row>
    <row r="88" spans="1:24" x14ac:dyDescent="0.2">
      <c r="A88" s="12" t="s">
        <v>30</v>
      </c>
      <c r="B88" s="21" t="s">
        <v>340</v>
      </c>
      <c r="C88" s="14" t="s">
        <v>32</v>
      </c>
      <c r="D88" s="14" t="s">
        <v>110</v>
      </c>
      <c r="E88" s="14" t="s">
        <v>341</v>
      </c>
      <c r="F88" s="22" t="s">
        <v>342</v>
      </c>
      <c r="G88" s="15" t="s">
        <v>343</v>
      </c>
      <c r="H88" s="23" t="s">
        <v>344</v>
      </c>
      <c r="I88" s="24">
        <v>343033</v>
      </c>
      <c r="J88" s="24">
        <v>120394</v>
      </c>
      <c r="K88" s="18">
        <v>463427</v>
      </c>
      <c r="L88" s="30" t="s">
        <v>768</v>
      </c>
      <c r="M88" s="30" t="s">
        <v>768</v>
      </c>
      <c r="N88" s="30" t="s">
        <v>768</v>
      </c>
      <c r="O88" s="18">
        <v>274426</v>
      </c>
      <c r="P88" s="18">
        <v>68607</v>
      </c>
      <c r="Q88" s="18">
        <v>343033</v>
      </c>
      <c r="R88" s="18">
        <v>96315</v>
      </c>
      <c r="S88" s="18">
        <v>24079</v>
      </c>
      <c r="T88" s="18">
        <v>120394</v>
      </c>
      <c r="U88" s="37">
        <v>463427</v>
      </c>
      <c r="V88" s="18">
        <v>34303</v>
      </c>
      <c r="W88" s="18">
        <v>34303</v>
      </c>
      <c r="X88" s="19">
        <v>428792</v>
      </c>
    </row>
    <row r="89" spans="1:24" x14ac:dyDescent="0.2">
      <c r="A89" s="12" t="s">
        <v>30</v>
      </c>
      <c r="B89" s="21" t="s">
        <v>345</v>
      </c>
      <c r="C89" s="14" t="s">
        <v>32</v>
      </c>
      <c r="D89" s="14" t="s">
        <v>110</v>
      </c>
      <c r="E89" s="14" t="s">
        <v>346</v>
      </c>
      <c r="F89" s="22" t="s">
        <v>347</v>
      </c>
      <c r="G89" s="15" t="s">
        <v>348</v>
      </c>
      <c r="H89" s="23" t="s">
        <v>349</v>
      </c>
      <c r="I89" s="24">
        <v>326312</v>
      </c>
      <c r="J89" s="24">
        <v>114525</v>
      </c>
      <c r="K89" s="18">
        <v>440837</v>
      </c>
      <c r="L89" s="30" t="s">
        <v>768</v>
      </c>
      <c r="M89" s="30" t="s">
        <v>768</v>
      </c>
      <c r="N89" s="30" t="s">
        <v>768</v>
      </c>
      <c r="O89" s="18">
        <v>261050</v>
      </c>
      <c r="P89" s="18">
        <v>65262</v>
      </c>
      <c r="Q89" s="18">
        <v>326312</v>
      </c>
      <c r="R89" s="18">
        <v>91620</v>
      </c>
      <c r="S89" s="18">
        <v>22905</v>
      </c>
      <c r="T89" s="18">
        <v>114525</v>
      </c>
      <c r="U89" s="37">
        <v>440837</v>
      </c>
      <c r="V89" s="18">
        <v>32631</v>
      </c>
      <c r="W89" s="18">
        <v>32631</v>
      </c>
      <c r="X89" s="19">
        <v>407890</v>
      </c>
    </row>
    <row r="90" spans="1:24" x14ac:dyDescent="0.2">
      <c r="A90" s="12" t="s">
        <v>30</v>
      </c>
      <c r="B90" s="21" t="s">
        <v>350</v>
      </c>
      <c r="C90" s="14" t="s">
        <v>32</v>
      </c>
      <c r="D90" s="14" t="s">
        <v>140</v>
      </c>
      <c r="E90" s="14" t="s">
        <v>351</v>
      </c>
      <c r="F90" s="22" t="s">
        <v>352</v>
      </c>
      <c r="G90" s="15" t="s">
        <v>353</v>
      </c>
      <c r="H90" s="23" t="s">
        <v>354</v>
      </c>
      <c r="I90" s="24">
        <v>814338</v>
      </c>
      <c r="J90" s="24">
        <v>285807</v>
      </c>
      <c r="K90" s="18">
        <v>1100145</v>
      </c>
      <c r="L90" s="30" t="s">
        <v>768</v>
      </c>
      <c r="M90" s="30" t="s">
        <v>768</v>
      </c>
      <c r="N90" s="30" t="s">
        <v>768</v>
      </c>
      <c r="O90" s="18">
        <v>651470</v>
      </c>
      <c r="P90" s="18">
        <v>162868</v>
      </c>
      <c r="Q90" s="18">
        <v>814338</v>
      </c>
      <c r="R90" s="18">
        <v>228646</v>
      </c>
      <c r="S90" s="18">
        <v>57161</v>
      </c>
      <c r="T90" s="18">
        <v>285807</v>
      </c>
      <c r="U90" s="37">
        <v>1100145</v>
      </c>
      <c r="V90" s="18">
        <v>81434</v>
      </c>
      <c r="W90" s="18">
        <v>81434</v>
      </c>
      <c r="X90" s="19">
        <v>1017922</v>
      </c>
    </row>
    <row r="91" spans="1:24" x14ac:dyDescent="0.2">
      <c r="A91" s="12" t="s">
        <v>30</v>
      </c>
      <c r="B91" s="13" t="s">
        <v>355</v>
      </c>
      <c r="C91" s="14" t="s">
        <v>32</v>
      </c>
      <c r="D91" s="14" t="s">
        <v>110</v>
      </c>
      <c r="E91" s="14" t="s">
        <v>356</v>
      </c>
      <c r="F91" s="14" t="s">
        <v>357</v>
      </c>
      <c r="G91" s="15" t="s">
        <v>358</v>
      </c>
      <c r="H91" s="16" t="s">
        <v>359</v>
      </c>
      <c r="I91" s="17">
        <v>713647</v>
      </c>
      <c r="J91" s="17">
        <v>250468</v>
      </c>
      <c r="K91" s="18">
        <v>964115</v>
      </c>
      <c r="L91" s="30" t="s">
        <v>768</v>
      </c>
      <c r="M91" s="30" t="s">
        <v>768</v>
      </c>
      <c r="N91" s="30" t="s">
        <v>768</v>
      </c>
      <c r="O91" s="18">
        <v>570918</v>
      </c>
      <c r="P91" s="18">
        <v>142729</v>
      </c>
      <c r="Q91" s="18">
        <v>713647</v>
      </c>
      <c r="R91" s="18">
        <v>200374</v>
      </c>
      <c r="S91" s="18">
        <v>50094</v>
      </c>
      <c r="T91" s="18">
        <v>250468</v>
      </c>
      <c r="U91" s="37">
        <v>964115</v>
      </c>
      <c r="V91" s="18">
        <v>71365</v>
      </c>
      <c r="W91" s="18">
        <v>71365</v>
      </c>
      <c r="X91" s="19">
        <v>892058</v>
      </c>
    </row>
    <row r="92" spans="1:24" x14ac:dyDescent="0.2">
      <c r="A92" s="12" t="s">
        <v>30</v>
      </c>
      <c r="B92" s="13" t="s">
        <v>360</v>
      </c>
      <c r="C92" s="14" t="s">
        <v>32</v>
      </c>
      <c r="D92" s="14" t="s">
        <v>110</v>
      </c>
      <c r="E92" s="14" t="s">
        <v>361</v>
      </c>
      <c r="F92" s="14" t="s">
        <v>362</v>
      </c>
      <c r="G92" s="15" t="s">
        <v>363</v>
      </c>
      <c r="H92" s="16" t="s">
        <v>364</v>
      </c>
      <c r="I92" s="17">
        <v>321914</v>
      </c>
      <c r="J92" s="17">
        <v>112982</v>
      </c>
      <c r="K92" s="18">
        <v>434896</v>
      </c>
      <c r="L92" s="30" t="s">
        <v>768</v>
      </c>
      <c r="M92" s="30" t="s">
        <v>768</v>
      </c>
      <c r="N92" s="30" t="s">
        <v>768</v>
      </c>
      <c r="O92" s="18">
        <v>257531</v>
      </c>
      <c r="P92" s="18">
        <v>64383</v>
      </c>
      <c r="Q92" s="18">
        <v>321914</v>
      </c>
      <c r="R92" s="18">
        <v>90386</v>
      </c>
      <c r="S92" s="18">
        <v>22596</v>
      </c>
      <c r="T92" s="18">
        <v>112982</v>
      </c>
      <c r="U92" s="37">
        <v>434896</v>
      </c>
      <c r="V92" s="18">
        <v>32191</v>
      </c>
      <c r="W92" s="18">
        <v>32191</v>
      </c>
      <c r="X92" s="19">
        <v>402393</v>
      </c>
    </row>
    <row r="93" spans="1:24" x14ac:dyDescent="0.2">
      <c r="A93" s="12" t="s">
        <v>30</v>
      </c>
      <c r="B93" s="13" t="s">
        <v>365</v>
      </c>
      <c r="C93" s="14" t="s">
        <v>32</v>
      </c>
      <c r="D93" s="14" t="s">
        <v>33</v>
      </c>
      <c r="E93" s="14" t="s">
        <v>366</v>
      </c>
      <c r="F93" s="14" t="s">
        <v>367</v>
      </c>
      <c r="G93" s="15" t="s">
        <v>368</v>
      </c>
      <c r="H93" s="16" t="s">
        <v>369</v>
      </c>
      <c r="I93" s="17">
        <v>782583</v>
      </c>
      <c r="J93" s="17">
        <v>274662</v>
      </c>
      <c r="K93" s="18">
        <v>1057245</v>
      </c>
      <c r="L93" s="30" t="s">
        <v>768</v>
      </c>
      <c r="M93" s="30" t="s">
        <v>768</v>
      </c>
      <c r="N93" s="30" t="s">
        <v>768</v>
      </c>
      <c r="O93" s="18">
        <v>626066</v>
      </c>
      <c r="P93" s="18">
        <v>156517</v>
      </c>
      <c r="Q93" s="18">
        <v>782583</v>
      </c>
      <c r="R93" s="18">
        <v>219730</v>
      </c>
      <c r="S93" s="18">
        <v>54932</v>
      </c>
      <c r="T93" s="18">
        <v>274662</v>
      </c>
      <c r="U93" s="37">
        <v>1057245</v>
      </c>
      <c r="V93" s="18">
        <v>78258</v>
      </c>
      <c r="W93" s="18">
        <v>78258</v>
      </c>
      <c r="X93" s="19">
        <v>978229</v>
      </c>
    </row>
    <row r="94" spans="1:24" x14ac:dyDescent="0.2">
      <c r="A94" s="12" t="s">
        <v>30</v>
      </c>
      <c r="B94" s="13" t="s">
        <v>370</v>
      </c>
      <c r="C94" s="14" t="s">
        <v>32</v>
      </c>
      <c r="D94" s="14" t="s">
        <v>42</v>
      </c>
      <c r="E94" s="14" t="s">
        <v>371</v>
      </c>
      <c r="F94" s="14" t="s">
        <v>372</v>
      </c>
      <c r="G94" s="15" t="s">
        <v>373</v>
      </c>
      <c r="H94" s="16" t="s">
        <v>374</v>
      </c>
      <c r="I94" s="17">
        <v>930331</v>
      </c>
      <c r="J94" s="17">
        <v>326517</v>
      </c>
      <c r="K94" s="18">
        <v>1256848</v>
      </c>
      <c r="L94" s="30" t="s">
        <v>768</v>
      </c>
      <c r="M94" s="30" t="s">
        <v>768</v>
      </c>
      <c r="N94" s="30" t="s">
        <v>768</v>
      </c>
      <c r="O94" s="18">
        <v>744265</v>
      </c>
      <c r="P94" s="18">
        <v>186066</v>
      </c>
      <c r="Q94" s="18">
        <v>930331</v>
      </c>
      <c r="R94" s="18">
        <v>261214</v>
      </c>
      <c r="S94" s="18">
        <v>65303</v>
      </c>
      <c r="T94" s="18">
        <v>326517</v>
      </c>
      <c r="U94" s="37">
        <v>1256848</v>
      </c>
      <c r="V94" s="18">
        <v>93033</v>
      </c>
      <c r="W94" s="18">
        <v>93033</v>
      </c>
      <c r="X94" s="19">
        <v>1162914</v>
      </c>
    </row>
    <row r="95" spans="1:24" x14ac:dyDescent="0.2">
      <c r="A95" s="12" t="s">
        <v>30</v>
      </c>
      <c r="B95" s="13" t="s">
        <v>375</v>
      </c>
      <c r="C95" s="14" t="s">
        <v>32</v>
      </c>
      <c r="D95" s="14" t="s">
        <v>110</v>
      </c>
      <c r="E95" s="14" t="s">
        <v>376</v>
      </c>
      <c r="F95" s="14" t="s">
        <v>377</v>
      </c>
      <c r="G95" s="15" t="s">
        <v>378</v>
      </c>
      <c r="H95" s="16" t="s">
        <v>379</v>
      </c>
      <c r="I95" s="17">
        <v>1242766</v>
      </c>
      <c r="J95" s="17">
        <v>436172</v>
      </c>
      <c r="K95" s="18">
        <v>1678938</v>
      </c>
      <c r="L95" s="30" t="s">
        <v>768</v>
      </c>
      <c r="M95" s="30" t="s">
        <v>768</v>
      </c>
      <c r="N95" s="30" t="s">
        <v>768</v>
      </c>
      <c r="O95" s="18">
        <v>994213</v>
      </c>
      <c r="P95" s="18">
        <v>248553</v>
      </c>
      <c r="Q95" s="18">
        <v>1242766</v>
      </c>
      <c r="R95" s="18">
        <v>348938</v>
      </c>
      <c r="S95" s="18">
        <v>87234</v>
      </c>
      <c r="T95" s="18">
        <v>436172</v>
      </c>
      <c r="U95" s="37">
        <v>1678938</v>
      </c>
      <c r="V95" s="18">
        <v>124277</v>
      </c>
      <c r="W95" s="18">
        <v>124277</v>
      </c>
      <c r="X95" s="19">
        <v>1553457</v>
      </c>
    </row>
    <row r="96" spans="1:24" x14ac:dyDescent="0.2">
      <c r="A96" s="12" t="s">
        <v>30</v>
      </c>
      <c r="B96" s="13" t="s">
        <v>380</v>
      </c>
      <c r="C96" s="14" t="s">
        <v>32</v>
      </c>
      <c r="D96" s="14" t="s">
        <v>110</v>
      </c>
      <c r="E96" s="14" t="s">
        <v>381</v>
      </c>
      <c r="F96" s="14" t="s">
        <v>382</v>
      </c>
      <c r="G96" s="15" t="s">
        <v>383</v>
      </c>
      <c r="H96" s="16" t="s">
        <v>384</v>
      </c>
      <c r="I96" s="17">
        <v>277364</v>
      </c>
      <c r="J96" s="17">
        <v>97346</v>
      </c>
      <c r="K96" s="18">
        <v>374710</v>
      </c>
      <c r="L96" s="30" t="s">
        <v>768</v>
      </c>
      <c r="M96" s="30" t="s">
        <v>768</v>
      </c>
      <c r="N96" s="30" t="s">
        <v>768</v>
      </c>
      <c r="O96" s="18">
        <v>221891</v>
      </c>
      <c r="P96" s="18">
        <v>55473</v>
      </c>
      <c r="Q96" s="18">
        <v>277364</v>
      </c>
      <c r="R96" s="18">
        <v>77877</v>
      </c>
      <c r="S96" s="18">
        <v>19469</v>
      </c>
      <c r="T96" s="18">
        <v>97346</v>
      </c>
      <c r="U96" s="37">
        <v>374710</v>
      </c>
      <c r="V96" s="18">
        <v>27736</v>
      </c>
      <c r="W96" s="18">
        <v>27736</v>
      </c>
      <c r="X96" s="19">
        <v>346706</v>
      </c>
    </row>
    <row r="97" spans="1:24" x14ac:dyDescent="0.2">
      <c r="A97" s="12" t="s">
        <v>30</v>
      </c>
      <c r="B97" s="13" t="s">
        <v>385</v>
      </c>
      <c r="C97" s="14" t="s">
        <v>32</v>
      </c>
      <c r="D97" s="14" t="s">
        <v>110</v>
      </c>
      <c r="E97" s="14" t="s">
        <v>386</v>
      </c>
      <c r="F97" s="14" t="s">
        <v>387</v>
      </c>
      <c r="G97" s="15" t="s">
        <v>388</v>
      </c>
      <c r="H97" s="16" t="s">
        <v>389</v>
      </c>
      <c r="I97" s="17">
        <v>687149</v>
      </c>
      <c r="J97" s="17">
        <v>241168</v>
      </c>
      <c r="K97" s="18">
        <v>928317</v>
      </c>
      <c r="L97" s="30" t="s">
        <v>768</v>
      </c>
      <c r="M97" s="30" t="s">
        <v>768</v>
      </c>
      <c r="N97" s="30" t="s">
        <v>768</v>
      </c>
      <c r="O97" s="18">
        <v>549719</v>
      </c>
      <c r="P97" s="18">
        <v>137430</v>
      </c>
      <c r="Q97" s="18">
        <v>687149</v>
      </c>
      <c r="R97" s="18">
        <v>192934</v>
      </c>
      <c r="S97" s="18">
        <v>48234</v>
      </c>
      <c r="T97" s="18">
        <v>241168</v>
      </c>
      <c r="U97" s="37">
        <v>928317</v>
      </c>
      <c r="V97" s="18">
        <v>68715</v>
      </c>
      <c r="W97" s="18">
        <v>68715</v>
      </c>
      <c r="X97" s="19">
        <v>858936</v>
      </c>
    </row>
    <row r="98" spans="1:24" x14ac:dyDescent="0.2">
      <c r="A98" s="12" t="s">
        <v>30</v>
      </c>
      <c r="B98" s="13" t="s">
        <v>390</v>
      </c>
      <c r="C98" s="14" t="s">
        <v>32</v>
      </c>
      <c r="D98" s="14" t="s">
        <v>110</v>
      </c>
      <c r="E98" s="14" t="s">
        <v>391</v>
      </c>
      <c r="F98" s="14" t="s">
        <v>392</v>
      </c>
      <c r="G98" s="15" t="s">
        <v>393</v>
      </c>
      <c r="H98" s="16" t="s">
        <v>394</v>
      </c>
      <c r="I98" s="17">
        <v>863136</v>
      </c>
      <c r="J98" s="17">
        <v>302934</v>
      </c>
      <c r="K98" s="18">
        <v>1166070</v>
      </c>
      <c r="L98" s="30" t="s">
        <v>768</v>
      </c>
      <c r="M98" s="30" t="s">
        <v>768</v>
      </c>
      <c r="N98" s="30" t="s">
        <v>768</v>
      </c>
      <c r="O98" s="18">
        <v>690509</v>
      </c>
      <c r="P98" s="18">
        <v>172627</v>
      </c>
      <c r="Q98" s="18">
        <v>863136</v>
      </c>
      <c r="R98" s="18">
        <v>242347</v>
      </c>
      <c r="S98" s="18">
        <v>60587</v>
      </c>
      <c r="T98" s="18">
        <v>302934</v>
      </c>
      <c r="U98" s="37">
        <v>1166070</v>
      </c>
      <c r="V98" s="18">
        <v>86314</v>
      </c>
      <c r="W98" s="18">
        <v>86314</v>
      </c>
      <c r="X98" s="19">
        <v>1078920</v>
      </c>
    </row>
    <row r="99" spans="1:24" x14ac:dyDescent="0.2">
      <c r="A99" s="12" t="s">
        <v>30</v>
      </c>
      <c r="B99" s="13" t="s">
        <v>395</v>
      </c>
      <c r="C99" s="14" t="s">
        <v>32</v>
      </c>
      <c r="D99" s="14" t="s">
        <v>396</v>
      </c>
      <c r="E99" s="14" t="s">
        <v>26</v>
      </c>
      <c r="F99" s="14" t="s">
        <v>397</v>
      </c>
      <c r="G99" s="15" t="s">
        <v>398</v>
      </c>
      <c r="H99" s="16" t="s">
        <v>399</v>
      </c>
      <c r="I99" s="17">
        <v>2833941</v>
      </c>
      <c r="J99" s="17">
        <v>994624</v>
      </c>
      <c r="K99" s="18">
        <v>3828565</v>
      </c>
      <c r="L99" s="30" t="s">
        <v>768</v>
      </c>
      <c r="M99" s="30" t="s">
        <v>768</v>
      </c>
      <c r="N99" s="30" t="s">
        <v>768</v>
      </c>
      <c r="O99" s="18">
        <v>2267153</v>
      </c>
      <c r="P99" s="18">
        <v>566788</v>
      </c>
      <c r="Q99" s="18">
        <v>2833941</v>
      </c>
      <c r="R99" s="18">
        <v>795699</v>
      </c>
      <c r="S99" s="18">
        <v>198925</v>
      </c>
      <c r="T99" s="18">
        <v>994624</v>
      </c>
      <c r="U99" s="37">
        <v>3828565</v>
      </c>
      <c r="V99" s="18">
        <v>283394</v>
      </c>
      <c r="W99" s="18">
        <v>283394</v>
      </c>
      <c r="X99" s="19">
        <v>3542426</v>
      </c>
    </row>
    <row r="100" spans="1:24" x14ac:dyDescent="0.2">
      <c r="A100" s="12" t="s">
        <v>30</v>
      </c>
      <c r="B100" s="13" t="s">
        <v>400</v>
      </c>
      <c r="C100" s="14" t="s">
        <v>32</v>
      </c>
      <c r="D100" s="14" t="s">
        <v>66</v>
      </c>
      <c r="E100" s="14" t="s">
        <v>401</v>
      </c>
      <c r="F100" s="14" t="s">
        <v>402</v>
      </c>
      <c r="G100" s="15" t="s">
        <v>403</v>
      </c>
      <c r="H100" s="16" t="s">
        <v>404</v>
      </c>
      <c r="I100" s="17">
        <v>0</v>
      </c>
      <c r="J100" s="17">
        <v>0</v>
      </c>
      <c r="K100" s="18">
        <v>0</v>
      </c>
      <c r="L100" s="30" t="s">
        <v>769</v>
      </c>
      <c r="M100" s="30" t="s">
        <v>769</v>
      </c>
      <c r="N100" s="30" t="s">
        <v>769</v>
      </c>
      <c r="O100" s="18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37">
        <v>0</v>
      </c>
      <c r="V100" s="18">
        <v>0</v>
      </c>
      <c r="W100" s="18">
        <v>0</v>
      </c>
      <c r="X100" s="19">
        <v>0</v>
      </c>
    </row>
    <row r="101" spans="1:24" x14ac:dyDescent="0.2">
      <c r="A101" s="12" t="s">
        <v>30</v>
      </c>
      <c r="B101" s="13" t="s">
        <v>405</v>
      </c>
      <c r="C101" s="14" t="s">
        <v>32</v>
      </c>
      <c r="D101" s="14" t="s">
        <v>110</v>
      </c>
      <c r="E101" s="14" t="s">
        <v>406</v>
      </c>
      <c r="F101" s="14" t="s">
        <v>407</v>
      </c>
      <c r="G101" s="15" t="s">
        <v>408</v>
      </c>
      <c r="H101" s="16" t="s">
        <v>409</v>
      </c>
      <c r="I101" s="17">
        <v>947687</v>
      </c>
      <c r="J101" s="17">
        <v>332608</v>
      </c>
      <c r="K101" s="18">
        <v>1280295</v>
      </c>
      <c r="L101" s="30" t="s">
        <v>768</v>
      </c>
      <c r="M101" s="30" t="s">
        <v>768</v>
      </c>
      <c r="N101" s="30" t="s">
        <v>768</v>
      </c>
      <c r="O101" s="18">
        <v>758150</v>
      </c>
      <c r="P101" s="18">
        <v>189537</v>
      </c>
      <c r="Q101" s="18">
        <v>947687</v>
      </c>
      <c r="R101" s="18">
        <v>266086</v>
      </c>
      <c r="S101" s="18">
        <v>66522</v>
      </c>
      <c r="T101" s="18">
        <v>332608</v>
      </c>
      <c r="U101" s="37">
        <v>1280295</v>
      </c>
      <c r="V101" s="18">
        <v>94769</v>
      </c>
      <c r="W101" s="18">
        <v>94769</v>
      </c>
      <c r="X101" s="19">
        <v>1184609</v>
      </c>
    </row>
    <row r="102" spans="1:24" x14ac:dyDescent="0.2">
      <c r="A102" s="12" t="s">
        <v>30</v>
      </c>
      <c r="B102" s="13" t="s">
        <v>410</v>
      </c>
      <c r="C102" s="14" t="s">
        <v>32</v>
      </c>
      <c r="D102" s="14" t="s">
        <v>110</v>
      </c>
      <c r="E102" s="14" t="s">
        <v>411</v>
      </c>
      <c r="F102" s="14" t="s">
        <v>412</v>
      </c>
      <c r="G102" s="15" t="s">
        <v>413</v>
      </c>
      <c r="H102" s="16" t="s">
        <v>414</v>
      </c>
      <c r="I102" s="17">
        <v>638939</v>
      </c>
      <c r="J102" s="17">
        <v>224247</v>
      </c>
      <c r="K102" s="18">
        <v>863186</v>
      </c>
      <c r="L102" s="30" t="s">
        <v>768</v>
      </c>
      <c r="M102" s="30" t="s">
        <v>768</v>
      </c>
      <c r="N102" s="30" t="s">
        <v>768</v>
      </c>
      <c r="O102" s="18">
        <v>511151</v>
      </c>
      <c r="P102" s="18">
        <v>127788</v>
      </c>
      <c r="Q102" s="18">
        <v>638939</v>
      </c>
      <c r="R102" s="18">
        <v>179398</v>
      </c>
      <c r="S102" s="18">
        <v>44849</v>
      </c>
      <c r="T102" s="18">
        <v>224247</v>
      </c>
      <c r="U102" s="37">
        <v>863186</v>
      </c>
      <c r="V102" s="18">
        <v>63894</v>
      </c>
      <c r="W102" s="18">
        <v>63894</v>
      </c>
      <c r="X102" s="19">
        <v>798674</v>
      </c>
    </row>
    <row r="103" spans="1:24" x14ac:dyDescent="0.2">
      <c r="A103" s="12" t="s">
        <v>30</v>
      </c>
      <c r="B103" s="13" t="s">
        <v>415</v>
      </c>
      <c r="C103" s="14" t="s">
        <v>32</v>
      </c>
      <c r="D103" s="14" t="s">
        <v>110</v>
      </c>
      <c r="E103" s="14" t="s">
        <v>416</v>
      </c>
      <c r="F103" s="14" t="s">
        <v>417</v>
      </c>
      <c r="G103" s="15" t="s">
        <v>418</v>
      </c>
      <c r="H103" s="16" t="s">
        <v>419</v>
      </c>
      <c r="I103" s="17">
        <v>862286</v>
      </c>
      <c r="J103" s="17">
        <v>302635</v>
      </c>
      <c r="K103" s="18">
        <v>1164921</v>
      </c>
      <c r="L103" s="30" t="s">
        <v>768</v>
      </c>
      <c r="M103" s="30" t="s">
        <v>768</v>
      </c>
      <c r="N103" s="30" t="s">
        <v>768</v>
      </c>
      <c r="O103" s="18">
        <v>689829</v>
      </c>
      <c r="P103" s="18">
        <v>172457</v>
      </c>
      <c r="Q103" s="18">
        <v>862286</v>
      </c>
      <c r="R103" s="18">
        <v>242108</v>
      </c>
      <c r="S103" s="18">
        <v>60527</v>
      </c>
      <c r="T103" s="18">
        <v>302635</v>
      </c>
      <c r="U103" s="37">
        <v>1164921</v>
      </c>
      <c r="V103" s="18">
        <v>86229</v>
      </c>
      <c r="W103" s="18">
        <v>86229</v>
      </c>
      <c r="X103" s="19">
        <v>1077857</v>
      </c>
    </row>
    <row r="104" spans="1:24" x14ac:dyDescent="0.2">
      <c r="A104" s="12" t="s">
        <v>30</v>
      </c>
      <c r="B104" s="13" t="s">
        <v>420</v>
      </c>
      <c r="C104" s="14" t="s">
        <v>32</v>
      </c>
      <c r="D104" s="14" t="s">
        <v>140</v>
      </c>
      <c r="E104" s="14" t="s">
        <v>421</v>
      </c>
      <c r="F104" s="14" t="s">
        <v>422</v>
      </c>
      <c r="G104" s="15" t="s">
        <v>423</v>
      </c>
      <c r="H104" s="16" t="s">
        <v>424</v>
      </c>
      <c r="I104" s="17">
        <v>195783</v>
      </c>
      <c r="J104" s="17">
        <v>68714</v>
      </c>
      <c r="K104" s="18">
        <v>264497</v>
      </c>
      <c r="L104" s="30" t="s">
        <v>768</v>
      </c>
      <c r="M104" s="30" t="s">
        <v>768</v>
      </c>
      <c r="N104" s="30" t="s">
        <v>768</v>
      </c>
      <c r="O104" s="18">
        <v>156626</v>
      </c>
      <c r="P104" s="18">
        <v>39157</v>
      </c>
      <c r="Q104" s="18">
        <v>195783</v>
      </c>
      <c r="R104" s="18">
        <v>54971</v>
      </c>
      <c r="S104" s="18">
        <v>13743</v>
      </c>
      <c r="T104" s="18">
        <v>68714</v>
      </c>
      <c r="U104" s="37">
        <v>264497</v>
      </c>
      <c r="V104" s="18">
        <v>19578</v>
      </c>
      <c r="W104" s="18">
        <v>19578</v>
      </c>
      <c r="X104" s="19">
        <v>244729</v>
      </c>
    </row>
    <row r="105" spans="1:24" x14ac:dyDescent="0.2">
      <c r="A105" s="12" t="s">
        <v>30</v>
      </c>
      <c r="B105" s="13" t="s">
        <v>425</v>
      </c>
      <c r="C105" s="14" t="s">
        <v>32</v>
      </c>
      <c r="D105" s="14" t="s">
        <v>75</v>
      </c>
      <c r="E105" s="14" t="s">
        <v>426</v>
      </c>
      <c r="F105" s="14" t="s">
        <v>427</v>
      </c>
      <c r="G105" s="15" t="s">
        <v>428</v>
      </c>
      <c r="H105" s="16" t="s">
        <v>429</v>
      </c>
      <c r="I105" s="17">
        <v>1313368</v>
      </c>
      <c r="J105" s="17">
        <v>460951</v>
      </c>
      <c r="K105" s="18">
        <v>1774319</v>
      </c>
      <c r="L105" s="30" t="s">
        <v>768</v>
      </c>
      <c r="M105" s="30" t="s">
        <v>768</v>
      </c>
      <c r="N105" s="30" t="s">
        <v>768</v>
      </c>
      <c r="O105" s="18">
        <v>1050694</v>
      </c>
      <c r="P105" s="18">
        <v>262674</v>
      </c>
      <c r="Q105" s="18">
        <v>1313368</v>
      </c>
      <c r="R105" s="18">
        <v>368761</v>
      </c>
      <c r="S105" s="18">
        <v>92190</v>
      </c>
      <c r="T105" s="18">
        <v>460951</v>
      </c>
      <c r="U105" s="37">
        <v>1774319</v>
      </c>
      <c r="V105" s="18">
        <v>131337</v>
      </c>
      <c r="W105" s="18">
        <v>131337</v>
      </c>
      <c r="X105" s="19">
        <v>1641710</v>
      </c>
    </row>
    <row r="106" spans="1:24" x14ac:dyDescent="0.2">
      <c r="A106" s="12" t="s">
        <v>30</v>
      </c>
      <c r="B106" s="13" t="s">
        <v>430</v>
      </c>
      <c r="C106" s="14" t="s">
        <v>32</v>
      </c>
      <c r="D106" s="14" t="s">
        <v>110</v>
      </c>
      <c r="E106" s="14" t="s">
        <v>431</v>
      </c>
      <c r="F106" s="14" t="s">
        <v>432</v>
      </c>
      <c r="G106" s="15" t="s">
        <v>433</v>
      </c>
      <c r="H106" s="16" t="s">
        <v>434</v>
      </c>
      <c r="I106" s="17">
        <v>464162</v>
      </c>
      <c r="J106" s="17">
        <v>162906</v>
      </c>
      <c r="K106" s="18">
        <v>627068</v>
      </c>
      <c r="L106" s="30" t="s">
        <v>768</v>
      </c>
      <c r="M106" s="30" t="s">
        <v>768</v>
      </c>
      <c r="N106" s="30" t="s">
        <v>768</v>
      </c>
      <c r="O106" s="18">
        <v>371330</v>
      </c>
      <c r="P106" s="18">
        <v>92832</v>
      </c>
      <c r="Q106" s="18">
        <v>464162</v>
      </c>
      <c r="R106" s="18">
        <v>130325</v>
      </c>
      <c r="S106" s="18">
        <v>32581</v>
      </c>
      <c r="T106" s="18">
        <v>162906</v>
      </c>
      <c r="U106" s="37">
        <v>627068</v>
      </c>
      <c r="V106" s="18">
        <v>46416</v>
      </c>
      <c r="W106" s="18">
        <v>46416</v>
      </c>
      <c r="X106" s="19">
        <v>580203</v>
      </c>
    </row>
    <row r="107" spans="1:24" x14ac:dyDescent="0.2">
      <c r="A107" s="12" t="s">
        <v>30</v>
      </c>
      <c r="B107" s="13" t="s">
        <v>435</v>
      </c>
      <c r="C107" s="14" t="s">
        <v>32</v>
      </c>
      <c r="D107" s="14" t="s">
        <v>110</v>
      </c>
      <c r="E107" s="14" t="s">
        <v>436</v>
      </c>
      <c r="F107" s="14" t="s">
        <v>437</v>
      </c>
      <c r="G107" s="15" t="s">
        <v>438</v>
      </c>
      <c r="H107" s="16" t="s">
        <v>439</v>
      </c>
      <c r="I107" s="17">
        <v>1140022</v>
      </c>
      <c r="J107" s="17">
        <v>400112</v>
      </c>
      <c r="K107" s="18">
        <v>1540134</v>
      </c>
      <c r="L107" s="30" t="s">
        <v>768</v>
      </c>
      <c r="M107" s="30" t="s">
        <v>768</v>
      </c>
      <c r="N107" s="30" t="s">
        <v>768</v>
      </c>
      <c r="O107" s="18">
        <v>912018</v>
      </c>
      <c r="P107" s="18">
        <v>228004</v>
      </c>
      <c r="Q107" s="18">
        <v>1140022</v>
      </c>
      <c r="R107" s="18">
        <v>320090</v>
      </c>
      <c r="S107" s="18">
        <v>80022</v>
      </c>
      <c r="T107" s="18">
        <v>400112</v>
      </c>
      <c r="U107" s="37">
        <v>1540134</v>
      </c>
      <c r="V107" s="18">
        <v>114002</v>
      </c>
      <c r="W107" s="18">
        <v>114002</v>
      </c>
      <c r="X107" s="19">
        <v>1425028</v>
      </c>
    </row>
    <row r="108" spans="1:24" x14ac:dyDescent="0.2">
      <c r="A108" s="12" t="s">
        <v>30</v>
      </c>
      <c r="B108" s="13" t="s">
        <v>440</v>
      </c>
      <c r="C108" s="14" t="s">
        <v>32</v>
      </c>
      <c r="D108" s="14" t="s">
        <v>110</v>
      </c>
      <c r="E108" s="14" t="s">
        <v>441</v>
      </c>
      <c r="F108" s="14" t="s">
        <v>442</v>
      </c>
      <c r="G108" s="15" t="s">
        <v>443</v>
      </c>
      <c r="H108" s="16" t="s">
        <v>444</v>
      </c>
      <c r="I108" s="17">
        <v>189885</v>
      </c>
      <c r="J108" s="17">
        <v>66644</v>
      </c>
      <c r="K108" s="18">
        <v>256529</v>
      </c>
      <c r="L108" s="30" t="s">
        <v>768</v>
      </c>
      <c r="M108" s="30" t="s">
        <v>768</v>
      </c>
      <c r="N108" s="30" t="s">
        <v>768</v>
      </c>
      <c r="O108" s="18">
        <v>151908</v>
      </c>
      <c r="P108" s="18">
        <v>37977</v>
      </c>
      <c r="Q108" s="18">
        <v>189885</v>
      </c>
      <c r="R108" s="18">
        <v>53315</v>
      </c>
      <c r="S108" s="18">
        <v>13329</v>
      </c>
      <c r="T108" s="18">
        <v>66644</v>
      </c>
      <c r="U108" s="37">
        <v>256529</v>
      </c>
      <c r="V108" s="18">
        <v>18989</v>
      </c>
      <c r="W108" s="18">
        <v>18989</v>
      </c>
      <c r="X108" s="19">
        <v>237356</v>
      </c>
    </row>
    <row r="109" spans="1:24" x14ac:dyDescent="0.2">
      <c r="A109" s="12" t="s">
        <v>30</v>
      </c>
      <c r="B109" s="13" t="s">
        <v>445</v>
      </c>
      <c r="C109" s="14" t="s">
        <v>32</v>
      </c>
      <c r="D109" s="14" t="s">
        <v>152</v>
      </c>
      <c r="E109" s="14" t="s">
        <v>446</v>
      </c>
      <c r="F109" s="14" t="s">
        <v>447</v>
      </c>
      <c r="G109" s="15" t="s">
        <v>448</v>
      </c>
      <c r="H109" s="16" t="s">
        <v>449</v>
      </c>
      <c r="I109" s="17">
        <v>0</v>
      </c>
      <c r="J109" s="17">
        <v>0</v>
      </c>
      <c r="K109" s="18">
        <v>0</v>
      </c>
      <c r="L109" s="30" t="s">
        <v>768</v>
      </c>
      <c r="M109" s="30" t="s">
        <v>769</v>
      </c>
      <c r="N109" s="30" t="s">
        <v>769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37">
        <v>0</v>
      </c>
      <c r="V109" s="18">
        <v>0</v>
      </c>
      <c r="W109" s="18">
        <v>0</v>
      </c>
      <c r="X109" s="19">
        <v>0</v>
      </c>
    </row>
    <row r="110" spans="1:24" x14ac:dyDescent="0.2">
      <c r="A110" s="12" t="s">
        <v>30</v>
      </c>
      <c r="B110" s="13" t="s">
        <v>450</v>
      </c>
      <c r="C110" s="14" t="s">
        <v>32</v>
      </c>
      <c r="D110" s="14" t="s">
        <v>42</v>
      </c>
      <c r="E110" s="14" t="s">
        <v>451</v>
      </c>
      <c r="F110" s="14" t="s">
        <v>452</v>
      </c>
      <c r="G110" s="15" t="s">
        <v>453</v>
      </c>
      <c r="H110" s="16" t="s">
        <v>454</v>
      </c>
      <c r="I110" s="17">
        <v>433772</v>
      </c>
      <c r="J110" s="17">
        <v>152240</v>
      </c>
      <c r="K110" s="18">
        <v>586012</v>
      </c>
      <c r="L110" s="30" t="s">
        <v>768</v>
      </c>
      <c r="M110" s="30" t="s">
        <v>768</v>
      </c>
      <c r="N110" s="30" t="s">
        <v>768</v>
      </c>
      <c r="O110" s="18">
        <v>347018</v>
      </c>
      <c r="P110" s="18">
        <v>86754</v>
      </c>
      <c r="Q110" s="18">
        <v>433772</v>
      </c>
      <c r="R110" s="18">
        <v>121792</v>
      </c>
      <c r="S110" s="18">
        <v>30448</v>
      </c>
      <c r="T110" s="18">
        <v>152240</v>
      </c>
      <c r="U110" s="37">
        <v>586012</v>
      </c>
      <c r="V110" s="18">
        <v>43377</v>
      </c>
      <c r="W110" s="18">
        <v>43377</v>
      </c>
      <c r="X110" s="19">
        <v>542215</v>
      </c>
    </row>
    <row r="111" spans="1:24" x14ac:dyDescent="0.2">
      <c r="A111" s="12" t="s">
        <v>30</v>
      </c>
      <c r="B111" s="13" t="s">
        <v>455</v>
      </c>
      <c r="C111" s="14" t="s">
        <v>32</v>
      </c>
      <c r="D111" s="14" t="s">
        <v>110</v>
      </c>
      <c r="E111" s="14" t="s">
        <v>456</v>
      </c>
      <c r="F111" s="14" t="s">
        <v>457</v>
      </c>
      <c r="G111" s="15" t="s">
        <v>458</v>
      </c>
      <c r="H111" s="16" t="s">
        <v>459</v>
      </c>
      <c r="I111" s="17">
        <v>2553170</v>
      </c>
      <c r="J111" s="17">
        <v>896083</v>
      </c>
      <c r="K111" s="18">
        <v>3449253</v>
      </c>
      <c r="L111" s="30" t="s">
        <v>768</v>
      </c>
      <c r="M111" s="30" t="s">
        <v>768</v>
      </c>
      <c r="N111" s="30" t="s">
        <v>768</v>
      </c>
      <c r="O111" s="18">
        <v>2042536</v>
      </c>
      <c r="P111" s="18">
        <v>510634</v>
      </c>
      <c r="Q111" s="18">
        <v>2553170</v>
      </c>
      <c r="R111" s="18">
        <v>716866</v>
      </c>
      <c r="S111" s="18">
        <v>179217</v>
      </c>
      <c r="T111" s="18">
        <v>896083</v>
      </c>
      <c r="U111" s="37">
        <v>3449253</v>
      </c>
      <c r="V111" s="18">
        <v>255317</v>
      </c>
      <c r="W111" s="18">
        <v>255317</v>
      </c>
      <c r="X111" s="19">
        <v>3191463</v>
      </c>
    </row>
    <row r="112" spans="1:24" x14ac:dyDescent="0.2">
      <c r="A112" s="12" t="s">
        <v>30</v>
      </c>
      <c r="B112" s="13" t="s">
        <v>460</v>
      </c>
      <c r="C112" s="14" t="s">
        <v>32</v>
      </c>
      <c r="D112" s="14" t="s">
        <v>48</v>
      </c>
      <c r="E112" s="14" t="s">
        <v>461</v>
      </c>
      <c r="F112" s="14" t="s">
        <v>462</v>
      </c>
      <c r="G112" s="15" t="s">
        <v>463</v>
      </c>
      <c r="H112" s="16" t="s">
        <v>464</v>
      </c>
      <c r="I112" s="17">
        <v>293591</v>
      </c>
      <c r="J112" s="17">
        <v>103041</v>
      </c>
      <c r="K112" s="18">
        <v>396632</v>
      </c>
      <c r="L112" s="30" t="s">
        <v>768</v>
      </c>
      <c r="M112" s="30" t="s">
        <v>768</v>
      </c>
      <c r="N112" s="30" t="s">
        <v>768</v>
      </c>
      <c r="O112" s="18">
        <v>234873</v>
      </c>
      <c r="P112" s="18">
        <v>58718</v>
      </c>
      <c r="Q112" s="18">
        <v>293591</v>
      </c>
      <c r="R112" s="18">
        <v>82433</v>
      </c>
      <c r="S112" s="18">
        <v>20608</v>
      </c>
      <c r="T112" s="18">
        <v>103041</v>
      </c>
      <c r="U112" s="37">
        <v>396632</v>
      </c>
      <c r="V112" s="18">
        <v>29359</v>
      </c>
      <c r="W112" s="18">
        <v>29359</v>
      </c>
      <c r="X112" s="19">
        <v>366989</v>
      </c>
    </row>
    <row r="113" spans="1:24" x14ac:dyDescent="0.2">
      <c r="A113" s="12" t="s">
        <v>30</v>
      </c>
      <c r="B113" s="13" t="s">
        <v>465</v>
      </c>
      <c r="C113" s="14" t="s">
        <v>32</v>
      </c>
      <c r="D113" s="14" t="s">
        <v>110</v>
      </c>
      <c r="E113" s="14" t="s">
        <v>466</v>
      </c>
      <c r="F113" s="14" t="s">
        <v>467</v>
      </c>
      <c r="G113" s="15" t="s">
        <v>468</v>
      </c>
      <c r="H113" s="16" t="s">
        <v>469</v>
      </c>
      <c r="I113" s="17">
        <v>582363</v>
      </c>
      <c r="J113" s="17">
        <v>204391</v>
      </c>
      <c r="K113" s="18">
        <v>786754</v>
      </c>
      <c r="L113" s="30" t="s">
        <v>768</v>
      </c>
      <c r="M113" s="30" t="s">
        <v>768</v>
      </c>
      <c r="N113" s="30" t="s">
        <v>768</v>
      </c>
      <c r="O113" s="18">
        <v>465890</v>
      </c>
      <c r="P113" s="18">
        <v>116473</v>
      </c>
      <c r="Q113" s="18">
        <v>582363</v>
      </c>
      <c r="R113" s="18">
        <v>163513</v>
      </c>
      <c r="S113" s="18">
        <v>40878</v>
      </c>
      <c r="T113" s="18">
        <v>204391</v>
      </c>
      <c r="U113" s="37">
        <v>786754</v>
      </c>
      <c r="V113" s="18">
        <v>58236</v>
      </c>
      <c r="W113" s="18">
        <v>58236</v>
      </c>
      <c r="X113" s="19">
        <v>727954</v>
      </c>
    </row>
    <row r="114" spans="1:24" x14ac:dyDescent="0.2">
      <c r="A114" s="12" t="s">
        <v>30</v>
      </c>
      <c r="B114" s="13" t="s">
        <v>470</v>
      </c>
      <c r="C114" s="14" t="s">
        <v>32</v>
      </c>
      <c r="D114" s="14" t="s">
        <v>110</v>
      </c>
      <c r="E114" s="14" t="s">
        <v>471</v>
      </c>
      <c r="F114" s="14" t="s">
        <v>472</v>
      </c>
      <c r="G114" s="15" t="s">
        <v>473</v>
      </c>
      <c r="H114" s="16" t="s">
        <v>474</v>
      </c>
      <c r="I114" s="17">
        <v>136196</v>
      </c>
      <c r="J114" s="17">
        <v>47800</v>
      </c>
      <c r="K114" s="18">
        <v>183996</v>
      </c>
      <c r="L114" s="30" t="s">
        <v>768</v>
      </c>
      <c r="M114" s="30" t="s">
        <v>768</v>
      </c>
      <c r="N114" s="30" t="s">
        <v>768</v>
      </c>
      <c r="O114" s="18">
        <v>108957</v>
      </c>
      <c r="P114" s="18">
        <v>27239</v>
      </c>
      <c r="Q114" s="18">
        <v>136196</v>
      </c>
      <c r="R114" s="18">
        <v>38240</v>
      </c>
      <c r="S114" s="18">
        <v>9560</v>
      </c>
      <c r="T114" s="18">
        <v>47800</v>
      </c>
      <c r="U114" s="37">
        <v>183996</v>
      </c>
      <c r="V114" s="18">
        <v>13620</v>
      </c>
      <c r="W114" s="18">
        <v>13620</v>
      </c>
      <c r="X114" s="19">
        <v>170245</v>
      </c>
    </row>
    <row r="115" spans="1:24" x14ac:dyDescent="0.2">
      <c r="A115" s="12" t="s">
        <v>30</v>
      </c>
      <c r="B115" s="13" t="s">
        <v>475</v>
      </c>
      <c r="C115" s="14" t="s">
        <v>32</v>
      </c>
      <c r="D115" s="14" t="s">
        <v>152</v>
      </c>
      <c r="E115" s="14" t="s">
        <v>476</v>
      </c>
      <c r="F115" s="14" t="s">
        <v>477</v>
      </c>
      <c r="G115" s="15" t="s">
        <v>478</v>
      </c>
      <c r="H115" s="16" t="s">
        <v>479</v>
      </c>
      <c r="I115" s="17">
        <v>0</v>
      </c>
      <c r="J115" s="17">
        <v>0</v>
      </c>
      <c r="K115" s="18">
        <v>0</v>
      </c>
      <c r="L115" s="30" t="s">
        <v>768</v>
      </c>
      <c r="M115" s="30" t="s">
        <v>769</v>
      </c>
      <c r="N115" s="30" t="s">
        <v>769</v>
      </c>
      <c r="O115" s="18">
        <v>0</v>
      </c>
      <c r="P115" s="18">
        <v>0</v>
      </c>
      <c r="Q115" s="18">
        <v>0</v>
      </c>
      <c r="R115" s="18">
        <v>0</v>
      </c>
      <c r="S115" s="18">
        <v>0</v>
      </c>
      <c r="T115" s="18">
        <v>0</v>
      </c>
      <c r="U115" s="37">
        <v>0</v>
      </c>
      <c r="V115" s="18">
        <v>0</v>
      </c>
      <c r="W115" s="18">
        <v>0</v>
      </c>
      <c r="X115" s="19">
        <v>0</v>
      </c>
    </row>
    <row r="116" spans="1:24" x14ac:dyDescent="0.2">
      <c r="A116" s="12" t="s">
        <v>30</v>
      </c>
      <c r="B116" s="13" t="s">
        <v>480</v>
      </c>
      <c r="C116" s="14" t="s">
        <v>32</v>
      </c>
      <c r="D116" s="14" t="s">
        <v>95</v>
      </c>
      <c r="E116" s="14" t="s">
        <v>481</v>
      </c>
      <c r="F116" s="14" t="s">
        <v>482</v>
      </c>
      <c r="G116" s="15" t="s">
        <v>483</v>
      </c>
      <c r="H116" s="16" t="s">
        <v>484</v>
      </c>
      <c r="I116" s="17">
        <v>0</v>
      </c>
      <c r="J116" s="17">
        <v>0</v>
      </c>
      <c r="K116" s="18">
        <v>0</v>
      </c>
      <c r="L116" s="30" t="s">
        <v>769</v>
      </c>
      <c r="M116" s="30" t="s">
        <v>769</v>
      </c>
      <c r="N116" s="30" t="s">
        <v>769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37">
        <v>0</v>
      </c>
      <c r="V116" s="18">
        <v>0</v>
      </c>
      <c r="W116" s="18">
        <v>0</v>
      </c>
      <c r="X116" s="19">
        <v>0</v>
      </c>
    </row>
    <row r="117" spans="1:24" x14ac:dyDescent="0.2">
      <c r="A117" s="12" t="s">
        <v>30</v>
      </c>
      <c r="B117" s="21" t="s">
        <v>485</v>
      </c>
      <c r="C117" s="14" t="s">
        <v>32</v>
      </c>
      <c r="D117" s="14" t="s">
        <v>110</v>
      </c>
      <c r="E117" s="14" t="s">
        <v>486</v>
      </c>
      <c r="F117" s="22" t="s">
        <v>487</v>
      </c>
      <c r="G117" s="15" t="s">
        <v>488</v>
      </c>
      <c r="H117" s="23" t="s">
        <v>489</v>
      </c>
      <c r="I117" s="24">
        <v>0</v>
      </c>
      <c r="J117" s="24">
        <v>0</v>
      </c>
      <c r="K117" s="18">
        <v>0</v>
      </c>
      <c r="L117" s="30" t="s">
        <v>768</v>
      </c>
      <c r="M117" s="30" t="s">
        <v>768</v>
      </c>
      <c r="N117" s="30" t="s">
        <v>769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37">
        <v>0</v>
      </c>
      <c r="V117" s="18">
        <v>0</v>
      </c>
      <c r="W117" s="18">
        <v>0</v>
      </c>
      <c r="X117" s="19">
        <v>0</v>
      </c>
    </row>
    <row r="118" spans="1:24" x14ac:dyDescent="0.2">
      <c r="A118" s="12" t="s">
        <v>30</v>
      </c>
      <c r="B118" s="13" t="s">
        <v>490</v>
      </c>
      <c r="C118" s="14" t="s">
        <v>32</v>
      </c>
      <c r="D118" s="14" t="s">
        <v>110</v>
      </c>
      <c r="E118" s="14" t="s">
        <v>491</v>
      </c>
      <c r="F118" s="14" t="s">
        <v>492</v>
      </c>
      <c r="G118" s="15" t="s">
        <v>493</v>
      </c>
      <c r="H118" s="16" t="s">
        <v>494</v>
      </c>
      <c r="I118" s="17">
        <v>1039708</v>
      </c>
      <c r="J118" s="17">
        <v>364905</v>
      </c>
      <c r="K118" s="18">
        <v>1404613</v>
      </c>
      <c r="L118" s="30" t="s">
        <v>768</v>
      </c>
      <c r="M118" s="30" t="s">
        <v>768</v>
      </c>
      <c r="N118" s="30" t="s">
        <v>768</v>
      </c>
      <c r="O118" s="18">
        <v>831766</v>
      </c>
      <c r="P118" s="18">
        <v>207942</v>
      </c>
      <c r="Q118" s="18">
        <v>1039708</v>
      </c>
      <c r="R118" s="18">
        <v>291924</v>
      </c>
      <c r="S118" s="18">
        <v>72981</v>
      </c>
      <c r="T118" s="18">
        <v>364905</v>
      </c>
      <c r="U118" s="37">
        <v>1404613</v>
      </c>
      <c r="V118" s="18">
        <v>103971</v>
      </c>
      <c r="W118" s="18">
        <v>103971</v>
      </c>
      <c r="X118" s="19">
        <v>1299635</v>
      </c>
    </row>
    <row r="119" spans="1:24" x14ac:dyDescent="0.2">
      <c r="A119" s="12" t="s">
        <v>30</v>
      </c>
      <c r="B119" s="13" t="s">
        <v>495</v>
      </c>
      <c r="C119" s="14" t="s">
        <v>32</v>
      </c>
      <c r="D119" s="14" t="s">
        <v>110</v>
      </c>
      <c r="E119" s="14" t="s">
        <v>496</v>
      </c>
      <c r="F119" s="14" t="s">
        <v>497</v>
      </c>
      <c r="G119" s="15" t="s">
        <v>498</v>
      </c>
      <c r="H119" s="16" t="s">
        <v>499</v>
      </c>
      <c r="I119" s="17">
        <v>692226</v>
      </c>
      <c r="J119" s="17">
        <v>242950</v>
      </c>
      <c r="K119" s="18">
        <v>935176</v>
      </c>
      <c r="L119" s="30" t="s">
        <v>768</v>
      </c>
      <c r="M119" s="30" t="s">
        <v>768</v>
      </c>
      <c r="N119" s="30" t="s">
        <v>768</v>
      </c>
      <c r="O119" s="18">
        <v>553781</v>
      </c>
      <c r="P119" s="18">
        <v>138445</v>
      </c>
      <c r="Q119" s="18">
        <v>692226</v>
      </c>
      <c r="R119" s="18">
        <v>194360</v>
      </c>
      <c r="S119" s="18">
        <v>48590</v>
      </c>
      <c r="T119" s="18">
        <v>242950</v>
      </c>
      <c r="U119" s="37">
        <v>935176</v>
      </c>
      <c r="V119" s="18">
        <v>69223</v>
      </c>
      <c r="W119" s="18">
        <v>69223</v>
      </c>
      <c r="X119" s="19">
        <v>865282</v>
      </c>
    </row>
    <row r="120" spans="1:24" x14ac:dyDescent="0.2">
      <c r="A120" s="12" t="s">
        <v>30</v>
      </c>
      <c r="B120" s="20" t="s">
        <v>775</v>
      </c>
      <c r="C120" s="14" t="s">
        <v>32</v>
      </c>
      <c r="D120" s="14" t="s">
        <v>48</v>
      </c>
      <c r="E120" s="14" t="s">
        <v>500</v>
      </c>
      <c r="F120" s="14" t="s">
        <v>501</v>
      </c>
      <c r="G120" s="15" t="s">
        <v>502</v>
      </c>
      <c r="H120" s="16" t="s">
        <v>503</v>
      </c>
      <c r="I120" s="17">
        <v>468404</v>
      </c>
      <c r="J120" s="17">
        <v>164395</v>
      </c>
      <c r="K120" s="18">
        <v>632799</v>
      </c>
      <c r="L120" s="30" t="s">
        <v>768</v>
      </c>
      <c r="M120" s="30" t="s">
        <v>768</v>
      </c>
      <c r="N120" s="30" t="s">
        <v>768</v>
      </c>
      <c r="O120" s="18">
        <v>374723</v>
      </c>
      <c r="P120" s="18">
        <v>93681</v>
      </c>
      <c r="Q120" s="18">
        <v>468404</v>
      </c>
      <c r="R120" s="18">
        <v>131516</v>
      </c>
      <c r="S120" s="18">
        <v>32879</v>
      </c>
      <c r="T120" s="18">
        <v>164395</v>
      </c>
      <c r="U120" s="37">
        <v>632799</v>
      </c>
      <c r="V120" s="18">
        <v>46840</v>
      </c>
      <c r="W120" s="18">
        <v>46840</v>
      </c>
      <c r="X120" s="19">
        <v>585505</v>
      </c>
    </row>
    <row r="121" spans="1:24" x14ac:dyDescent="0.2">
      <c r="A121" s="12" t="s">
        <v>30</v>
      </c>
      <c r="B121" s="13" t="s">
        <v>504</v>
      </c>
      <c r="C121" s="14" t="s">
        <v>32</v>
      </c>
      <c r="D121" s="14" t="s">
        <v>110</v>
      </c>
      <c r="E121" s="14" t="s">
        <v>505</v>
      </c>
      <c r="F121" s="14" t="s">
        <v>506</v>
      </c>
      <c r="G121" s="15" t="s">
        <v>507</v>
      </c>
      <c r="H121" s="16" t="s">
        <v>508</v>
      </c>
      <c r="I121" s="17">
        <v>423286</v>
      </c>
      <c r="J121" s="17">
        <v>148560</v>
      </c>
      <c r="K121" s="18">
        <v>571846</v>
      </c>
      <c r="L121" s="30" t="s">
        <v>768</v>
      </c>
      <c r="M121" s="30" t="s">
        <v>768</v>
      </c>
      <c r="N121" s="30" t="s">
        <v>768</v>
      </c>
      <c r="O121" s="18">
        <v>338629</v>
      </c>
      <c r="P121" s="18">
        <v>84657</v>
      </c>
      <c r="Q121" s="18">
        <v>423286</v>
      </c>
      <c r="R121" s="18">
        <v>118848</v>
      </c>
      <c r="S121" s="18">
        <v>29712</v>
      </c>
      <c r="T121" s="18">
        <v>148560</v>
      </c>
      <c r="U121" s="37">
        <v>571846</v>
      </c>
      <c r="V121" s="18">
        <v>42329</v>
      </c>
      <c r="W121" s="18">
        <v>42329</v>
      </c>
      <c r="X121" s="19">
        <v>529107</v>
      </c>
    </row>
    <row r="122" spans="1:24" x14ac:dyDescent="0.2">
      <c r="A122" s="12" t="s">
        <v>30</v>
      </c>
      <c r="B122" s="13" t="s">
        <v>509</v>
      </c>
      <c r="C122" s="14" t="s">
        <v>32</v>
      </c>
      <c r="D122" s="14" t="s">
        <v>140</v>
      </c>
      <c r="E122" s="14" t="s">
        <v>510</v>
      </c>
      <c r="F122" s="14" t="s">
        <v>511</v>
      </c>
      <c r="G122" s="15" t="s">
        <v>512</v>
      </c>
      <c r="H122" s="16" t="s">
        <v>513</v>
      </c>
      <c r="I122" s="17">
        <v>0</v>
      </c>
      <c r="J122" s="17">
        <v>0</v>
      </c>
      <c r="K122" s="18">
        <v>0</v>
      </c>
      <c r="L122" s="30" t="s">
        <v>769</v>
      </c>
      <c r="M122" s="30" t="s">
        <v>769</v>
      </c>
      <c r="N122" s="30" t="s">
        <v>769</v>
      </c>
      <c r="O122" s="18">
        <v>0</v>
      </c>
      <c r="P122" s="18">
        <v>0</v>
      </c>
      <c r="Q122" s="18">
        <v>0</v>
      </c>
      <c r="R122" s="18">
        <v>0</v>
      </c>
      <c r="S122" s="18">
        <v>0</v>
      </c>
      <c r="T122" s="18">
        <v>0</v>
      </c>
      <c r="U122" s="37">
        <v>0</v>
      </c>
      <c r="V122" s="18">
        <v>0</v>
      </c>
      <c r="W122" s="18">
        <v>0</v>
      </c>
      <c r="X122" s="19">
        <v>0</v>
      </c>
    </row>
    <row r="123" spans="1:24" x14ac:dyDescent="0.2">
      <c r="A123" s="12" t="s">
        <v>30</v>
      </c>
      <c r="B123" s="13" t="s">
        <v>514</v>
      </c>
      <c r="C123" s="14" t="s">
        <v>32</v>
      </c>
      <c r="D123" s="14" t="s">
        <v>131</v>
      </c>
      <c r="E123" s="14" t="s">
        <v>515</v>
      </c>
      <c r="F123" s="14" t="s">
        <v>516</v>
      </c>
      <c r="G123" s="15" t="s">
        <v>517</v>
      </c>
      <c r="H123" s="16" t="s">
        <v>518</v>
      </c>
      <c r="I123" s="17">
        <v>241721</v>
      </c>
      <c r="J123" s="17">
        <v>84837</v>
      </c>
      <c r="K123" s="18">
        <v>326558</v>
      </c>
      <c r="L123" s="30" t="s">
        <v>768</v>
      </c>
      <c r="M123" s="30" t="s">
        <v>768</v>
      </c>
      <c r="N123" s="30" t="s">
        <v>768</v>
      </c>
      <c r="O123" s="18">
        <v>193377</v>
      </c>
      <c r="P123" s="18">
        <v>48344</v>
      </c>
      <c r="Q123" s="18">
        <v>241721</v>
      </c>
      <c r="R123" s="18">
        <v>67870</v>
      </c>
      <c r="S123" s="18">
        <v>16967</v>
      </c>
      <c r="T123" s="18">
        <v>84837</v>
      </c>
      <c r="U123" s="37">
        <v>326558</v>
      </c>
      <c r="V123" s="18">
        <v>24172</v>
      </c>
      <c r="W123" s="18">
        <v>24172</v>
      </c>
      <c r="X123" s="19">
        <v>302151</v>
      </c>
    </row>
    <row r="124" spans="1:24" x14ac:dyDescent="0.2">
      <c r="A124" s="12" t="s">
        <v>30</v>
      </c>
      <c r="B124" s="13" t="s">
        <v>519</v>
      </c>
      <c r="C124" s="14" t="s">
        <v>32</v>
      </c>
      <c r="D124" s="14" t="s">
        <v>134</v>
      </c>
      <c r="E124" s="14" t="s">
        <v>520</v>
      </c>
      <c r="F124" s="14" t="s">
        <v>521</v>
      </c>
      <c r="G124" s="15" t="s">
        <v>522</v>
      </c>
      <c r="H124" s="16" t="s">
        <v>523</v>
      </c>
      <c r="I124" s="17">
        <v>1562995</v>
      </c>
      <c r="J124" s="17">
        <v>548562</v>
      </c>
      <c r="K124" s="18">
        <v>2111557</v>
      </c>
      <c r="L124" s="30" t="s">
        <v>768</v>
      </c>
      <c r="M124" s="30" t="s">
        <v>768</v>
      </c>
      <c r="N124" s="30" t="s">
        <v>768</v>
      </c>
      <c r="O124" s="18">
        <v>1250396</v>
      </c>
      <c r="P124" s="18">
        <v>312599</v>
      </c>
      <c r="Q124" s="18">
        <v>1562995</v>
      </c>
      <c r="R124" s="18">
        <v>438850</v>
      </c>
      <c r="S124" s="18">
        <v>109712</v>
      </c>
      <c r="T124" s="18">
        <v>548562</v>
      </c>
      <c r="U124" s="37">
        <v>2111557</v>
      </c>
      <c r="V124" s="18">
        <v>156300</v>
      </c>
      <c r="W124" s="18">
        <v>156300</v>
      </c>
      <c r="X124" s="19">
        <v>1953743</v>
      </c>
    </row>
    <row r="125" spans="1:24" x14ac:dyDescent="0.2">
      <c r="A125" s="12" t="s">
        <v>30</v>
      </c>
      <c r="B125" s="21" t="s">
        <v>524</v>
      </c>
      <c r="C125" s="14" t="s">
        <v>32</v>
      </c>
      <c r="D125" s="14" t="s">
        <v>110</v>
      </c>
      <c r="E125" s="14" t="s">
        <v>525</v>
      </c>
      <c r="F125" s="22" t="s">
        <v>526</v>
      </c>
      <c r="G125" s="15" t="s">
        <v>527</v>
      </c>
      <c r="H125" s="23" t="s">
        <v>528</v>
      </c>
      <c r="I125" s="24">
        <v>211038</v>
      </c>
      <c r="J125" s="24">
        <v>74068</v>
      </c>
      <c r="K125" s="18">
        <v>285106</v>
      </c>
      <c r="L125" s="30" t="s">
        <v>768</v>
      </c>
      <c r="M125" s="30" t="s">
        <v>768</v>
      </c>
      <c r="N125" s="30" t="s">
        <v>768</v>
      </c>
      <c r="O125" s="18">
        <v>168830</v>
      </c>
      <c r="P125" s="18">
        <v>42208</v>
      </c>
      <c r="Q125" s="18">
        <v>211038</v>
      </c>
      <c r="R125" s="18">
        <v>59254</v>
      </c>
      <c r="S125" s="18">
        <v>14814</v>
      </c>
      <c r="T125" s="18">
        <v>74068</v>
      </c>
      <c r="U125" s="37">
        <v>285106</v>
      </c>
      <c r="V125" s="18">
        <v>21104</v>
      </c>
      <c r="W125" s="18">
        <v>21104</v>
      </c>
      <c r="X125" s="19">
        <v>263797</v>
      </c>
    </row>
    <row r="126" spans="1:24" x14ac:dyDescent="0.2">
      <c r="A126" s="12" t="s">
        <v>30</v>
      </c>
      <c r="B126" s="13" t="s">
        <v>529</v>
      </c>
      <c r="C126" s="14" t="s">
        <v>32</v>
      </c>
      <c r="D126" s="14" t="s">
        <v>95</v>
      </c>
      <c r="E126" s="14" t="s">
        <v>530</v>
      </c>
      <c r="F126" s="14" t="s">
        <v>531</v>
      </c>
      <c r="G126" s="15" t="s">
        <v>532</v>
      </c>
      <c r="H126" s="16" t="s">
        <v>533</v>
      </c>
      <c r="I126" s="17">
        <v>584877</v>
      </c>
      <c r="J126" s="17">
        <v>205274</v>
      </c>
      <c r="K126" s="18">
        <v>790151</v>
      </c>
      <c r="L126" s="30" t="s">
        <v>768</v>
      </c>
      <c r="M126" s="30" t="s">
        <v>768</v>
      </c>
      <c r="N126" s="30" t="s">
        <v>768</v>
      </c>
      <c r="O126" s="18">
        <v>467902</v>
      </c>
      <c r="P126" s="18">
        <v>116975</v>
      </c>
      <c r="Q126" s="18">
        <v>584877</v>
      </c>
      <c r="R126" s="18">
        <v>164219</v>
      </c>
      <c r="S126" s="18">
        <v>41055</v>
      </c>
      <c r="T126" s="18">
        <v>205274</v>
      </c>
      <c r="U126" s="37">
        <v>790151</v>
      </c>
      <c r="V126" s="18">
        <v>58488</v>
      </c>
      <c r="W126" s="18">
        <v>58488</v>
      </c>
      <c r="X126" s="19">
        <v>731096</v>
      </c>
    </row>
    <row r="127" spans="1:24" x14ac:dyDescent="0.2">
      <c r="A127" s="12" t="s">
        <v>30</v>
      </c>
      <c r="B127" s="13" t="s">
        <v>534</v>
      </c>
      <c r="C127" s="14" t="s">
        <v>32</v>
      </c>
      <c r="D127" s="14" t="s">
        <v>54</v>
      </c>
      <c r="E127" s="14" t="s">
        <v>535</v>
      </c>
      <c r="F127" s="14" t="s">
        <v>536</v>
      </c>
      <c r="G127" s="15" t="s">
        <v>537</v>
      </c>
      <c r="H127" s="16" t="s">
        <v>538</v>
      </c>
      <c r="I127" s="17">
        <v>0</v>
      </c>
      <c r="J127" s="17">
        <v>0</v>
      </c>
      <c r="K127" s="18">
        <v>0</v>
      </c>
      <c r="L127" s="30" t="s">
        <v>769</v>
      </c>
      <c r="M127" s="30" t="s">
        <v>769</v>
      </c>
      <c r="N127" s="30" t="s">
        <v>769</v>
      </c>
      <c r="O127" s="18">
        <v>0</v>
      </c>
      <c r="P127" s="18">
        <v>0</v>
      </c>
      <c r="Q127" s="18">
        <v>0</v>
      </c>
      <c r="R127" s="18">
        <v>0</v>
      </c>
      <c r="S127" s="18">
        <v>0</v>
      </c>
      <c r="T127" s="18">
        <v>0</v>
      </c>
      <c r="U127" s="37">
        <v>0</v>
      </c>
      <c r="V127" s="18">
        <v>0</v>
      </c>
      <c r="W127" s="18">
        <v>0</v>
      </c>
      <c r="X127" s="19">
        <v>0</v>
      </c>
    </row>
    <row r="128" spans="1:24" x14ac:dyDescent="0.2">
      <c r="A128" s="12" t="s">
        <v>30</v>
      </c>
      <c r="B128" s="13" t="s">
        <v>539</v>
      </c>
      <c r="C128" s="14" t="s">
        <v>32</v>
      </c>
      <c r="D128" s="14" t="s">
        <v>140</v>
      </c>
      <c r="E128" s="14" t="s">
        <v>540</v>
      </c>
      <c r="F128" s="14" t="s">
        <v>541</v>
      </c>
      <c r="G128" s="15" t="s">
        <v>542</v>
      </c>
      <c r="H128" s="16" t="s">
        <v>543</v>
      </c>
      <c r="I128" s="17">
        <v>431731</v>
      </c>
      <c r="J128" s="17">
        <v>151524</v>
      </c>
      <c r="K128" s="18">
        <v>583255</v>
      </c>
      <c r="L128" s="30" t="s">
        <v>768</v>
      </c>
      <c r="M128" s="30" t="s">
        <v>768</v>
      </c>
      <c r="N128" s="30" t="s">
        <v>768</v>
      </c>
      <c r="O128" s="18">
        <v>345385</v>
      </c>
      <c r="P128" s="18">
        <v>86346</v>
      </c>
      <c r="Q128" s="18">
        <v>431731</v>
      </c>
      <c r="R128" s="18">
        <v>121219</v>
      </c>
      <c r="S128" s="18">
        <v>30305</v>
      </c>
      <c r="T128" s="18">
        <v>151524</v>
      </c>
      <c r="U128" s="37">
        <v>583255</v>
      </c>
      <c r="V128" s="18">
        <v>43173</v>
      </c>
      <c r="W128" s="18">
        <v>43173</v>
      </c>
      <c r="X128" s="19">
        <v>539664</v>
      </c>
    </row>
    <row r="129" spans="1:24" x14ac:dyDescent="0.2">
      <c r="A129" s="12" t="s">
        <v>30</v>
      </c>
      <c r="B129" s="13" t="s">
        <v>544</v>
      </c>
      <c r="C129" s="14" t="s">
        <v>32</v>
      </c>
      <c r="D129" s="14" t="s">
        <v>81</v>
      </c>
      <c r="E129" s="14" t="s">
        <v>545</v>
      </c>
      <c r="F129" s="14" t="s">
        <v>546</v>
      </c>
      <c r="G129" s="15" t="s">
        <v>547</v>
      </c>
      <c r="H129" s="16" t="s">
        <v>548</v>
      </c>
      <c r="I129" s="17">
        <v>729763</v>
      </c>
      <c r="J129" s="17">
        <v>256124</v>
      </c>
      <c r="K129" s="18">
        <v>985887</v>
      </c>
      <c r="L129" s="30" t="s">
        <v>768</v>
      </c>
      <c r="M129" s="30" t="s">
        <v>768</v>
      </c>
      <c r="N129" s="30" t="s">
        <v>768</v>
      </c>
      <c r="O129" s="18">
        <v>583810</v>
      </c>
      <c r="P129" s="18">
        <v>145953</v>
      </c>
      <c r="Q129" s="18">
        <v>729763</v>
      </c>
      <c r="R129" s="18">
        <v>204899</v>
      </c>
      <c r="S129" s="18">
        <v>51225</v>
      </c>
      <c r="T129" s="18">
        <v>256124</v>
      </c>
      <c r="U129" s="37">
        <v>985887</v>
      </c>
      <c r="V129" s="18">
        <v>72976</v>
      </c>
      <c r="W129" s="18">
        <v>72976</v>
      </c>
      <c r="X129" s="19">
        <v>912204</v>
      </c>
    </row>
    <row r="130" spans="1:24" x14ac:dyDescent="0.2">
      <c r="A130" s="12" t="s">
        <v>30</v>
      </c>
      <c r="B130" s="13" t="s">
        <v>549</v>
      </c>
      <c r="C130" s="14" t="s">
        <v>32</v>
      </c>
      <c r="D130" s="14" t="s">
        <v>54</v>
      </c>
      <c r="E130" s="14" t="s">
        <v>550</v>
      </c>
      <c r="F130" s="14" t="s">
        <v>551</v>
      </c>
      <c r="G130" s="15" t="s">
        <v>552</v>
      </c>
      <c r="H130" s="16" t="s">
        <v>553</v>
      </c>
      <c r="I130" s="17">
        <v>0</v>
      </c>
      <c r="J130" s="17">
        <v>0</v>
      </c>
      <c r="K130" s="18">
        <v>0</v>
      </c>
      <c r="L130" s="30" t="s">
        <v>769</v>
      </c>
      <c r="M130" s="30" t="s">
        <v>769</v>
      </c>
      <c r="N130" s="30" t="s">
        <v>769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37">
        <v>0</v>
      </c>
      <c r="V130" s="18">
        <v>0</v>
      </c>
      <c r="W130" s="18">
        <v>0</v>
      </c>
      <c r="X130" s="19">
        <v>0</v>
      </c>
    </row>
    <row r="131" spans="1:24" x14ac:dyDescent="0.2">
      <c r="A131" s="12" t="s">
        <v>30</v>
      </c>
      <c r="B131" s="13" t="s">
        <v>554</v>
      </c>
      <c r="C131" s="14" t="s">
        <v>32</v>
      </c>
      <c r="D131" s="14" t="s">
        <v>95</v>
      </c>
      <c r="E131" s="14" t="s">
        <v>555</v>
      </c>
      <c r="F131" s="14" t="s">
        <v>556</v>
      </c>
      <c r="G131" s="15" t="s">
        <v>557</v>
      </c>
      <c r="H131" s="16" t="s">
        <v>558</v>
      </c>
      <c r="I131" s="17">
        <v>77337</v>
      </c>
      <c r="J131" s="17">
        <v>27143</v>
      </c>
      <c r="K131" s="18">
        <v>104480</v>
      </c>
      <c r="L131" s="30" t="s">
        <v>768</v>
      </c>
      <c r="M131" s="30" t="s">
        <v>768</v>
      </c>
      <c r="N131" s="30" t="s">
        <v>768</v>
      </c>
      <c r="O131" s="18">
        <v>61870</v>
      </c>
      <c r="P131" s="18">
        <v>15467</v>
      </c>
      <c r="Q131" s="18">
        <v>77337</v>
      </c>
      <c r="R131" s="18">
        <v>21714</v>
      </c>
      <c r="S131" s="18">
        <v>5429</v>
      </c>
      <c r="T131" s="18">
        <v>27143</v>
      </c>
      <c r="U131" s="37">
        <v>104480</v>
      </c>
      <c r="V131" s="18">
        <v>7734</v>
      </c>
      <c r="W131" s="18">
        <v>7734</v>
      </c>
      <c r="X131" s="19">
        <v>96671</v>
      </c>
    </row>
    <row r="132" spans="1:24" x14ac:dyDescent="0.2">
      <c r="A132" s="12" t="s">
        <v>30</v>
      </c>
      <c r="B132" s="13" t="s">
        <v>559</v>
      </c>
      <c r="C132" s="14" t="s">
        <v>32</v>
      </c>
      <c r="D132" s="14" t="s">
        <v>110</v>
      </c>
      <c r="E132" s="14" t="s">
        <v>560</v>
      </c>
      <c r="F132" s="14" t="s">
        <v>561</v>
      </c>
      <c r="G132" s="15" t="s">
        <v>562</v>
      </c>
      <c r="H132" s="16" t="s">
        <v>563</v>
      </c>
      <c r="I132" s="17">
        <v>205708</v>
      </c>
      <c r="J132" s="17">
        <v>72197</v>
      </c>
      <c r="K132" s="18">
        <v>277905</v>
      </c>
      <c r="L132" s="30" t="s">
        <v>768</v>
      </c>
      <c r="M132" s="30" t="s">
        <v>768</v>
      </c>
      <c r="N132" s="30" t="s">
        <v>768</v>
      </c>
      <c r="O132" s="18">
        <v>164566</v>
      </c>
      <c r="P132" s="18">
        <v>41142</v>
      </c>
      <c r="Q132" s="18">
        <v>205708</v>
      </c>
      <c r="R132" s="18">
        <v>57758</v>
      </c>
      <c r="S132" s="18">
        <v>14439</v>
      </c>
      <c r="T132" s="18">
        <v>72197</v>
      </c>
      <c r="U132" s="37">
        <v>277905</v>
      </c>
      <c r="V132" s="18">
        <v>20571</v>
      </c>
      <c r="W132" s="18">
        <v>20571</v>
      </c>
      <c r="X132" s="19">
        <v>257135</v>
      </c>
    </row>
    <row r="133" spans="1:24" x14ac:dyDescent="0.2">
      <c r="A133" s="12" t="s">
        <v>30</v>
      </c>
      <c r="B133" s="13" t="s">
        <v>564</v>
      </c>
      <c r="C133" s="14" t="s">
        <v>32</v>
      </c>
      <c r="D133" s="14" t="s">
        <v>110</v>
      </c>
      <c r="E133" s="14" t="s">
        <v>565</v>
      </c>
      <c r="F133" s="14" t="s">
        <v>566</v>
      </c>
      <c r="G133" s="15" t="s">
        <v>567</v>
      </c>
      <c r="H133" s="16" t="s">
        <v>568</v>
      </c>
      <c r="I133" s="17">
        <v>224117</v>
      </c>
      <c r="J133" s="17">
        <v>78658</v>
      </c>
      <c r="K133" s="18">
        <v>302775</v>
      </c>
      <c r="L133" s="30" t="s">
        <v>768</v>
      </c>
      <c r="M133" s="30" t="s">
        <v>768</v>
      </c>
      <c r="N133" s="30" t="s">
        <v>768</v>
      </c>
      <c r="O133" s="18">
        <v>179294</v>
      </c>
      <c r="P133" s="18">
        <v>44823</v>
      </c>
      <c r="Q133" s="18">
        <v>224117</v>
      </c>
      <c r="R133" s="18">
        <v>62926</v>
      </c>
      <c r="S133" s="18">
        <v>15732</v>
      </c>
      <c r="T133" s="18">
        <v>78658</v>
      </c>
      <c r="U133" s="37">
        <v>302775</v>
      </c>
      <c r="V133" s="18">
        <v>22412</v>
      </c>
      <c r="W133" s="18">
        <v>22412</v>
      </c>
      <c r="X133" s="19">
        <v>280146</v>
      </c>
    </row>
    <row r="134" spans="1:24" x14ac:dyDescent="0.2">
      <c r="A134" s="12" t="s">
        <v>30</v>
      </c>
      <c r="B134" s="13" t="s">
        <v>569</v>
      </c>
      <c r="C134" s="14" t="s">
        <v>32</v>
      </c>
      <c r="D134" s="14" t="s">
        <v>110</v>
      </c>
      <c r="E134" s="14" t="s">
        <v>570</v>
      </c>
      <c r="F134" s="14" t="s">
        <v>571</v>
      </c>
      <c r="G134" s="15" t="s">
        <v>572</v>
      </c>
      <c r="H134" s="16" t="s">
        <v>573</v>
      </c>
      <c r="I134" s="17">
        <v>458890</v>
      </c>
      <c r="J134" s="17">
        <v>161056</v>
      </c>
      <c r="K134" s="18">
        <v>619946</v>
      </c>
      <c r="L134" s="30" t="s">
        <v>768</v>
      </c>
      <c r="M134" s="30" t="s">
        <v>768</v>
      </c>
      <c r="N134" s="30" t="s">
        <v>768</v>
      </c>
      <c r="O134" s="18">
        <v>367112</v>
      </c>
      <c r="P134" s="18">
        <v>91778</v>
      </c>
      <c r="Q134" s="18">
        <v>458890</v>
      </c>
      <c r="R134" s="18">
        <v>128845</v>
      </c>
      <c r="S134" s="18">
        <v>32211</v>
      </c>
      <c r="T134" s="18">
        <v>161056</v>
      </c>
      <c r="U134" s="37">
        <v>619946</v>
      </c>
      <c r="V134" s="18">
        <v>45889</v>
      </c>
      <c r="W134" s="18">
        <v>45889</v>
      </c>
      <c r="X134" s="19">
        <v>573613</v>
      </c>
    </row>
    <row r="135" spans="1:24" x14ac:dyDescent="0.2">
      <c r="A135" s="12" t="s">
        <v>30</v>
      </c>
      <c r="B135" s="13" t="s">
        <v>574</v>
      </c>
      <c r="C135" s="14" t="s">
        <v>32</v>
      </c>
      <c r="D135" s="14" t="s">
        <v>110</v>
      </c>
      <c r="E135" s="14" t="s">
        <v>575</v>
      </c>
      <c r="F135" s="14" t="s">
        <v>576</v>
      </c>
      <c r="G135" s="15" t="s">
        <v>577</v>
      </c>
      <c r="H135" s="16" t="s">
        <v>578</v>
      </c>
      <c r="I135" s="17">
        <v>301709</v>
      </c>
      <c r="J135" s="17">
        <v>105890</v>
      </c>
      <c r="K135" s="18">
        <v>407599</v>
      </c>
      <c r="L135" s="30" t="s">
        <v>768</v>
      </c>
      <c r="M135" s="30" t="s">
        <v>768</v>
      </c>
      <c r="N135" s="30" t="s">
        <v>768</v>
      </c>
      <c r="O135" s="18">
        <v>241367</v>
      </c>
      <c r="P135" s="18">
        <v>60342</v>
      </c>
      <c r="Q135" s="18">
        <v>301709</v>
      </c>
      <c r="R135" s="18">
        <v>84712</v>
      </c>
      <c r="S135" s="18">
        <v>21178</v>
      </c>
      <c r="T135" s="18">
        <v>105890</v>
      </c>
      <c r="U135" s="37">
        <v>407599</v>
      </c>
      <c r="V135" s="18">
        <v>30171</v>
      </c>
      <c r="W135" s="18">
        <v>30171</v>
      </c>
      <c r="X135" s="19">
        <v>377136</v>
      </c>
    </row>
    <row r="136" spans="1:24" x14ac:dyDescent="0.2">
      <c r="A136" s="12" t="s">
        <v>30</v>
      </c>
      <c r="B136" s="13" t="s">
        <v>579</v>
      </c>
      <c r="C136" s="14" t="s">
        <v>32</v>
      </c>
      <c r="D136" s="14" t="s">
        <v>54</v>
      </c>
      <c r="E136" s="14" t="s">
        <v>580</v>
      </c>
      <c r="F136" s="14" t="s">
        <v>581</v>
      </c>
      <c r="G136" s="15" t="s">
        <v>582</v>
      </c>
      <c r="H136" s="16" t="s">
        <v>583</v>
      </c>
      <c r="I136" s="17">
        <v>2252241</v>
      </c>
      <c r="J136" s="17">
        <v>790466</v>
      </c>
      <c r="K136" s="18">
        <v>3042707</v>
      </c>
      <c r="L136" s="30" t="s">
        <v>768</v>
      </c>
      <c r="M136" s="30" t="s">
        <v>768</v>
      </c>
      <c r="N136" s="30" t="s">
        <v>769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37">
        <v>0</v>
      </c>
      <c r="V136" s="18">
        <v>0</v>
      </c>
      <c r="W136" s="18">
        <v>0</v>
      </c>
      <c r="X136" s="19">
        <v>0</v>
      </c>
    </row>
    <row r="137" spans="1:24" x14ac:dyDescent="0.2">
      <c r="A137" s="12" t="s">
        <v>30</v>
      </c>
      <c r="B137" s="13" t="s">
        <v>584</v>
      </c>
      <c r="C137" s="14" t="s">
        <v>32</v>
      </c>
      <c r="D137" s="14" t="s">
        <v>152</v>
      </c>
      <c r="E137" s="14" t="s">
        <v>585</v>
      </c>
      <c r="F137" s="14" t="s">
        <v>586</v>
      </c>
      <c r="G137" s="15" t="s">
        <v>587</v>
      </c>
      <c r="H137" s="16" t="s">
        <v>588</v>
      </c>
      <c r="I137" s="17">
        <v>224711</v>
      </c>
      <c r="J137" s="17">
        <v>78866</v>
      </c>
      <c r="K137" s="18">
        <v>303577</v>
      </c>
      <c r="L137" s="30" t="s">
        <v>768</v>
      </c>
      <c r="M137" s="30" t="s">
        <v>768</v>
      </c>
      <c r="N137" s="30" t="s">
        <v>768</v>
      </c>
      <c r="O137" s="18">
        <v>179769</v>
      </c>
      <c r="P137" s="18">
        <v>44942</v>
      </c>
      <c r="Q137" s="18">
        <v>224711</v>
      </c>
      <c r="R137" s="18">
        <v>63093</v>
      </c>
      <c r="S137" s="18">
        <v>15773</v>
      </c>
      <c r="T137" s="18">
        <v>78866</v>
      </c>
      <c r="U137" s="37">
        <v>303577</v>
      </c>
      <c r="V137" s="18">
        <v>22471</v>
      </c>
      <c r="W137" s="18">
        <v>22471</v>
      </c>
      <c r="X137" s="19">
        <v>280889</v>
      </c>
    </row>
    <row r="138" spans="1:24" x14ac:dyDescent="0.2">
      <c r="A138" s="12" t="s">
        <v>30</v>
      </c>
      <c r="B138" s="13" t="s">
        <v>589</v>
      </c>
      <c r="C138" s="14" t="s">
        <v>32</v>
      </c>
      <c r="D138" s="14" t="s">
        <v>63</v>
      </c>
      <c r="E138" s="14" t="s">
        <v>590</v>
      </c>
      <c r="F138" s="14" t="s">
        <v>591</v>
      </c>
      <c r="G138" s="15" t="s">
        <v>592</v>
      </c>
      <c r="H138" s="16" t="s">
        <v>593</v>
      </c>
      <c r="I138" s="17">
        <v>1424413</v>
      </c>
      <c r="J138" s="17">
        <v>499924</v>
      </c>
      <c r="K138" s="18">
        <v>1924337</v>
      </c>
      <c r="L138" s="30" t="s">
        <v>768</v>
      </c>
      <c r="M138" s="30" t="s">
        <v>768</v>
      </c>
      <c r="N138" s="30" t="s">
        <v>769</v>
      </c>
      <c r="O138" s="18">
        <v>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37">
        <v>0</v>
      </c>
      <c r="V138" s="18">
        <v>0</v>
      </c>
      <c r="W138" s="18">
        <v>0</v>
      </c>
      <c r="X138" s="19">
        <v>0</v>
      </c>
    </row>
    <row r="139" spans="1:24" x14ac:dyDescent="0.2">
      <c r="A139" s="12" t="s">
        <v>30</v>
      </c>
      <c r="B139" s="13" t="s">
        <v>594</v>
      </c>
      <c r="C139" s="14" t="s">
        <v>32</v>
      </c>
      <c r="D139" s="14" t="s">
        <v>39</v>
      </c>
      <c r="E139" s="14" t="s">
        <v>595</v>
      </c>
      <c r="F139" s="14" t="s">
        <v>596</v>
      </c>
      <c r="G139" s="15" t="s">
        <v>597</v>
      </c>
      <c r="H139" s="16" t="s">
        <v>598</v>
      </c>
      <c r="I139" s="17">
        <v>0</v>
      </c>
      <c r="J139" s="17">
        <v>0</v>
      </c>
      <c r="K139" s="18">
        <v>0</v>
      </c>
      <c r="L139" s="30" t="s">
        <v>769</v>
      </c>
      <c r="M139" s="30" t="s">
        <v>769</v>
      </c>
      <c r="N139" s="30" t="s">
        <v>769</v>
      </c>
      <c r="O139" s="18">
        <v>0</v>
      </c>
      <c r="P139" s="18">
        <v>0</v>
      </c>
      <c r="Q139" s="18">
        <v>0</v>
      </c>
      <c r="R139" s="18">
        <v>0</v>
      </c>
      <c r="S139" s="18">
        <v>0</v>
      </c>
      <c r="T139" s="18">
        <v>0</v>
      </c>
      <c r="U139" s="37">
        <v>0</v>
      </c>
      <c r="V139" s="18">
        <v>0</v>
      </c>
      <c r="W139" s="18">
        <v>0</v>
      </c>
      <c r="X139" s="19">
        <v>0</v>
      </c>
    </row>
    <row r="140" spans="1:24" x14ac:dyDescent="0.2">
      <c r="A140" s="12" t="s">
        <v>30</v>
      </c>
      <c r="B140" s="21" t="s">
        <v>599</v>
      </c>
      <c r="C140" s="14" t="s">
        <v>32</v>
      </c>
      <c r="D140" s="14" t="s">
        <v>600</v>
      </c>
      <c r="E140" s="14" t="s">
        <v>601</v>
      </c>
      <c r="F140" s="14" t="s">
        <v>602</v>
      </c>
      <c r="G140" s="15" t="s">
        <v>603</v>
      </c>
      <c r="H140" s="23" t="s">
        <v>604</v>
      </c>
      <c r="I140" s="24">
        <v>266884</v>
      </c>
      <c r="J140" s="24">
        <v>93668</v>
      </c>
      <c r="K140" s="18">
        <v>360552</v>
      </c>
      <c r="L140" s="30" t="s">
        <v>768</v>
      </c>
      <c r="M140" s="30" t="s">
        <v>768</v>
      </c>
      <c r="N140" s="30" t="s">
        <v>768</v>
      </c>
      <c r="O140" s="18">
        <v>213507</v>
      </c>
      <c r="P140" s="18">
        <v>53377</v>
      </c>
      <c r="Q140" s="18">
        <v>266884</v>
      </c>
      <c r="R140" s="18">
        <v>74934</v>
      </c>
      <c r="S140" s="18">
        <v>18734</v>
      </c>
      <c r="T140" s="18">
        <v>93668</v>
      </c>
      <c r="U140" s="37">
        <v>360552</v>
      </c>
      <c r="V140" s="18">
        <v>26688</v>
      </c>
      <c r="W140" s="18">
        <v>26688</v>
      </c>
      <c r="X140" s="19">
        <v>333606</v>
      </c>
    </row>
    <row r="141" spans="1:24" x14ac:dyDescent="0.2">
      <c r="A141" s="12" t="s">
        <v>30</v>
      </c>
      <c r="B141" s="13" t="s">
        <v>605</v>
      </c>
      <c r="C141" s="14" t="s">
        <v>32</v>
      </c>
      <c r="D141" s="14" t="s">
        <v>33</v>
      </c>
      <c r="E141" s="14" t="s">
        <v>606</v>
      </c>
      <c r="F141" s="14" t="s">
        <v>607</v>
      </c>
      <c r="G141" s="15" t="s">
        <v>608</v>
      </c>
      <c r="H141" s="16" t="s">
        <v>609</v>
      </c>
      <c r="I141" s="17">
        <v>483573</v>
      </c>
      <c r="J141" s="17">
        <v>169719</v>
      </c>
      <c r="K141" s="18">
        <v>653292</v>
      </c>
      <c r="L141" s="30" t="s">
        <v>768</v>
      </c>
      <c r="M141" s="30" t="s">
        <v>768</v>
      </c>
      <c r="N141" s="30" t="s">
        <v>768</v>
      </c>
      <c r="O141" s="18">
        <v>386858</v>
      </c>
      <c r="P141" s="18">
        <v>96715</v>
      </c>
      <c r="Q141" s="18">
        <v>483573</v>
      </c>
      <c r="R141" s="18">
        <v>135775</v>
      </c>
      <c r="S141" s="18">
        <v>33944</v>
      </c>
      <c r="T141" s="18">
        <v>169719</v>
      </c>
      <c r="U141" s="37">
        <v>653292</v>
      </c>
      <c r="V141" s="18">
        <v>48357</v>
      </c>
      <c r="W141" s="18">
        <v>48357</v>
      </c>
      <c r="X141" s="19">
        <v>604467</v>
      </c>
    </row>
    <row r="142" spans="1:24" x14ac:dyDescent="0.2">
      <c r="A142" s="12" t="s">
        <v>30</v>
      </c>
      <c r="B142" s="13" t="s">
        <v>610</v>
      </c>
      <c r="C142" s="14" t="s">
        <v>32</v>
      </c>
      <c r="D142" s="14" t="s">
        <v>611</v>
      </c>
      <c r="E142" s="14" t="s">
        <v>612</v>
      </c>
      <c r="F142" s="14" t="s">
        <v>613</v>
      </c>
      <c r="G142" s="15" t="s">
        <v>614</v>
      </c>
      <c r="H142" s="16" t="s">
        <v>615</v>
      </c>
      <c r="I142" s="17">
        <v>378300</v>
      </c>
      <c r="J142" s="17">
        <v>132771</v>
      </c>
      <c r="K142" s="18">
        <v>511071</v>
      </c>
      <c r="L142" s="30" t="s">
        <v>768</v>
      </c>
      <c r="M142" s="30" t="s">
        <v>768</v>
      </c>
      <c r="N142" s="30" t="s">
        <v>768</v>
      </c>
      <c r="O142" s="18">
        <v>302640</v>
      </c>
      <c r="P142" s="18">
        <v>75660</v>
      </c>
      <c r="Q142" s="18">
        <v>378300</v>
      </c>
      <c r="R142" s="18">
        <v>106217</v>
      </c>
      <c r="S142" s="18">
        <v>26554</v>
      </c>
      <c r="T142" s="18">
        <v>132771</v>
      </c>
      <c r="U142" s="37">
        <v>511071</v>
      </c>
      <c r="V142" s="18">
        <v>37830</v>
      </c>
      <c r="W142" s="18">
        <v>37830</v>
      </c>
      <c r="X142" s="19">
        <v>472875</v>
      </c>
    </row>
    <row r="143" spans="1:24" x14ac:dyDescent="0.2">
      <c r="A143" s="12" t="s">
        <v>30</v>
      </c>
      <c r="B143" s="13" t="s">
        <v>616</v>
      </c>
      <c r="C143" s="14" t="s">
        <v>32</v>
      </c>
      <c r="D143" s="14" t="s">
        <v>54</v>
      </c>
      <c r="E143" s="14" t="s">
        <v>617</v>
      </c>
      <c r="F143" s="14" t="s">
        <v>618</v>
      </c>
      <c r="G143" s="15" t="s">
        <v>619</v>
      </c>
      <c r="H143" s="16" t="s">
        <v>620</v>
      </c>
      <c r="I143" s="17">
        <v>2659081</v>
      </c>
      <c r="J143" s="17">
        <v>933254</v>
      </c>
      <c r="K143" s="18">
        <v>3592335</v>
      </c>
      <c r="L143" s="30" t="s">
        <v>768</v>
      </c>
      <c r="M143" s="30" t="s">
        <v>768</v>
      </c>
      <c r="N143" s="30" t="s">
        <v>769</v>
      </c>
      <c r="O143" s="18">
        <v>0</v>
      </c>
      <c r="P143" s="18">
        <v>0</v>
      </c>
      <c r="Q143" s="18">
        <v>0</v>
      </c>
      <c r="R143" s="18">
        <v>0</v>
      </c>
      <c r="S143" s="18">
        <v>0</v>
      </c>
      <c r="T143" s="18">
        <v>0</v>
      </c>
      <c r="U143" s="37">
        <v>0</v>
      </c>
      <c r="V143" s="18">
        <v>0</v>
      </c>
      <c r="W143" s="18">
        <v>0</v>
      </c>
      <c r="X143" s="19">
        <v>0</v>
      </c>
    </row>
    <row r="144" spans="1:24" x14ac:dyDescent="0.2">
      <c r="A144" s="12" t="s">
        <v>30</v>
      </c>
      <c r="B144" s="13" t="s">
        <v>621</v>
      </c>
      <c r="C144" s="14" t="s">
        <v>32</v>
      </c>
      <c r="D144" s="14" t="s">
        <v>89</v>
      </c>
      <c r="E144" s="14" t="s">
        <v>622</v>
      </c>
      <c r="F144" s="14" t="s">
        <v>623</v>
      </c>
      <c r="G144" s="15" t="s">
        <v>624</v>
      </c>
      <c r="H144" s="16" t="s">
        <v>625</v>
      </c>
      <c r="I144" s="17">
        <v>129331</v>
      </c>
      <c r="J144" s="17">
        <v>45391</v>
      </c>
      <c r="K144" s="18">
        <v>174722</v>
      </c>
      <c r="L144" s="30" t="s">
        <v>768</v>
      </c>
      <c r="M144" s="30" t="s">
        <v>768</v>
      </c>
      <c r="N144" s="30" t="s">
        <v>768</v>
      </c>
      <c r="O144" s="18">
        <v>103465</v>
      </c>
      <c r="P144" s="18">
        <v>25866</v>
      </c>
      <c r="Q144" s="18">
        <v>129331</v>
      </c>
      <c r="R144" s="18">
        <v>36313</v>
      </c>
      <c r="S144" s="18">
        <v>9078</v>
      </c>
      <c r="T144" s="18">
        <v>45391</v>
      </c>
      <c r="U144" s="37">
        <v>174722</v>
      </c>
      <c r="V144" s="18">
        <v>12933</v>
      </c>
      <c r="W144" s="18">
        <v>12933</v>
      </c>
      <c r="X144" s="19">
        <v>161664</v>
      </c>
    </row>
    <row r="145" spans="1:24" x14ac:dyDescent="0.2">
      <c r="A145" s="12" t="s">
        <v>30</v>
      </c>
      <c r="B145" s="13" t="s">
        <v>626</v>
      </c>
      <c r="C145" s="14" t="s">
        <v>32</v>
      </c>
      <c r="D145" s="14" t="s">
        <v>627</v>
      </c>
      <c r="E145" s="14" t="s">
        <v>628</v>
      </c>
      <c r="F145" s="14" t="s">
        <v>629</v>
      </c>
      <c r="G145" s="15" t="s">
        <v>630</v>
      </c>
      <c r="H145" s="16" t="s">
        <v>631</v>
      </c>
      <c r="I145" s="17">
        <v>368037</v>
      </c>
      <c r="J145" s="17">
        <v>129169</v>
      </c>
      <c r="K145" s="18">
        <v>497206</v>
      </c>
      <c r="L145" s="30" t="s">
        <v>768</v>
      </c>
      <c r="M145" s="30" t="s">
        <v>768</v>
      </c>
      <c r="N145" s="30" t="s">
        <v>768</v>
      </c>
      <c r="O145" s="18">
        <v>294430</v>
      </c>
      <c r="P145" s="18">
        <v>73607</v>
      </c>
      <c r="Q145" s="18">
        <v>368037</v>
      </c>
      <c r="R145" s="18">
        <v>103335</v>
      </c>
      <c r="S145" s="18">
        <v>25834</v>
      </c>
      <c r="T145" s="18">
        <v>129169</v>
      </c>
      <c r="U145" s="37">
        <v>497206</v>
      </c>
      <c r="V145" s="18">
        <v>36804</v>
      </c>
      <c r="W145" s="18">
        <v>36804</v>
      </c>
      <c r="X145" s="19">
        <v>460046</v>
      </c>
    </row>
    <row r="146" spans="1:24" x14ac:dyDescent="0.2">
      <c r="A146" s="12" t="s">
        <v>30</v>
      </c>
      <c r="B146" s="13" t="s">
        <v>632</v>
      </c>
      <c r="C146" s="14" t="s">
        <v>32</v>
      </c>
      <c r="D146" s="14" t="s">
        <v>54</v>
      </c>
      <c r="E146" s="14" t="s">
        <v>633</v>
      </c>
      <c r="F146" s="14" t="s">
        <v>634</v>
      </c>
      <c r="G146" s="15" t="s">
        <v>635</v>
      </c>
      <c r="H146" s="16" t="s">
        <v>636</v>
      </c>
      <c r="I146" s="17">
        <v>0</v>
      </c>
      <c r="J146" s="17">
        <v>0</v>
      </c>
      <c r="K146" s="18">
        <v>0</v>
      </c>
      <c r="L146" s="30" t="s">
        <v>769</v>
      </c>
      <c r="M146" s="30" t="s">
        <v>769</v>
      </c>
      <c r="N146" s="30" t="s">
        <v>769</v>
      </c>
      <c r="O146" s="18">
        <v>0</v>
      </c>
      <c r="P146" s="18">
        <v>0</v>
      </c>
      <c r="Q146" s="18">
        <v>0</v>
      </c>
      <c r="R146" s="18">
        <v>0</v>
      </c>
      <c r="S146" s="18">
        <v>0</v>
      </c>
      <c r="T146" s="18">
        <v>0</v>
      </c>
      <c r="U146" s="37">
        <v>0</v>
      </c>
      <c r="V146" s="18">
        <v>0</v>
      </c>
      <c r="W146" s="18">
        <v>0</v>
      </c>
      <c r="X146" s="19">
        <v>0</v>
      </c>
    </row>
    <row r="147" spans="1:24" x14ac:dyDescent="0.2">
      <c r="A147" s="12" t="s">
        <v>30</v>
      </c>
      <c r="B147" s="13" t="s">
        <v>637</v>
      </c>
      <c r="C147" s="14" t="s">
        <v>32</v>
      </c>
      <c r="D147" s="14" t="s">
        <v>95</v>
      </c>
      <c r="E147" s="14" t="s">
        <v>638</v>
      </c>
      <c r="F147" s="14" t="s">
        <v>639</v>
      </c>
      <c r="G147" s="15" t="s">
        <v>640</v>
      </c>
      <c r="H147" s="16" t="s">
        <v>641</v>
      </c>
      <c r="I147" s="17">
        <v>184610</v>
      </c>
      <c r="J147" s="17">
        <v>64792</v>
      </c>
      <c r="K147" s="18">
        <v>249402</v>
      </c>
      <c r="L147" s="30" t="s">
        <v>768</v>
      </c>
      <c r="M147" s="30" t="s">
        <v>768</v>
      </c>
      <c r="N147" s="30" t="s">
        <v>768</v>
      </c>
      <c r="O147" s="18">
        <v>147688</v>
      </c>
      <c r="P147" s="18">
        <v>36922</v>
      </c>
      <c r="Q147" s="18">
        <v>184610</v>
      </c>
      <c r="R147" s="18">
        <v>51834</v>
      </c>
      <c r="S147" s="18">
        <v>12958</v>
      </c>
      <c r="T147" s="18">
        <v>64792</v>
      </c>
      <c r="U147" s="37">
        <v>249402</v>
      </c>
      <c r="V147" s="18">
        <v>18461</v>
      </c>
      <c r="W147" s="18">
        <v>18461</v>
      </c>
      <c r="X147" s="19">
        <v>230762</v>
      </c>
    </row>
    <row r="148" spans="1:24" x14ac:dyDescent="0.2">
      <c r="A148" s="12" t="s">
        <v>30</v>
      </c>
      <c r="B148" s="13" t="s">
        <v>642</v>
      </c>
      <c r="C148" s="14" t="s">
        <v>32</v>
      </c>
      <c r="D148" s="14" t="s">
        <v>81</v>
      </c>
      <c r="E148" s="14" t="s">
        <v>643</v>
      </c>
      <c r="F148" s="14" t="s">
        <v>644</v>
      </c>
      <c r="G148" s="15" t="s">
        <v>645</v>
      </c>
      <c r="H148" s="16" t="s">
        <v>646</v>
      </c>
      <c r="I148" s="17">
        <v>0</v>
      </c>
      <c r="J148" s="17">
        <v>0</v>
      </c>
      <c r="K148" s="18">
        <v>0</v>
      </c>
      <c r="L148" s="30" t="s">
        <v>769</v>
      </c>
      <c r="M148" s="30" t="s">
        <v>769</v>
      </c>
      <c r="N148" s="30" t="s">
        <v>769</v>
      </c>
      <c r="O148" s="18">
        <v>0</v>
      </c>
      <c r="P148" s="18">
        <v>0</v>
      </c>
      <c r="Q148" s="18">
        <v>0</v>
      </c>
      <c r="R148" s="18">
        <v>0</v>
      </c>
      <c r="S148" s="18">
        <v>0</v>
      </c>
      <c r="T148" s="18">
        <v>0</v>
      </c>
      <c r="U148" s="37">
        <v>0</v>
      </c>
      <c r="V148" s="18">
        <v>0</v>
      </c>
      <c r="W148" s="18">
        <v>0</v>
      </c>
      <c r="X148" s="19">
        <v>0</v>
      </c>
    </row>
    <row r="149" spans="1:24" x14ac:dyDescent="0.2">
      <c r="A149" s="12" t="s">
        <v>30</v>
      </c>
      <c r="B149" s="13" t="s">
        <v>647</v>
      </c>
      <c r="C149" s="14" t="s">
        <v>32</v>
      </c>
      <c r="D149" s="14" t="s">
        <v>66</v>
      </c>
      <c r="E149" s="14" t="s">
        <v>648</v>
      </c>
      <c r="F149" s="14" t="s">
        <v>649</v>
      </c>
      <c r="G149" s="15" t="s">
        <v>650</v>
      </c>
      <c r="H149" s="16" t="s">
        <v>651</v>
      </c>
      <c r="I149" s="17">
        <v>100137</v>
      </c>
      <c r="J149" s="17">
        <v>35145</v>
      </c>
      <c r="K149" s="18">
        <v>135282</v>
      </c>
      <c r="L149" s="30" t="s">
        <v>768</v>
      </c>
      <c r="M149" s="30" t="s">
        <v>768</v>
      </c>
      <c r="N149" s="30" t="s">
        <v>768</v>
      </c>
      <c r="O149" s="18">
        <v>80110</v>
      </c>
      <c r="P149" s="18">
        <v>20027</v>
      </c>
      <c r="Q149" s="18">
        <v>100137</v>
      </c>
      <c r="R149" s="18">
        <v>28116</v>
      </c>
      <c r="S149" s="18">
        <v>7029</v>
      </c>
      <c r="T149" s="18">
        <v>35145</v>
      </c>
      <c r="U149" s="37">
        <v>135282</v>
      </c>
      <c r="V149" s="18">
        <v>10014</v>
      </c>
      <c r="W149" s="18">
        <v>10014</v>
      </c>
      <c r="X149" s="19">
        <v>125171</v>
      </c>
    </row>
    <row r="150" spans="1:24" x14ac:dyDescent="0.2">
      <c r="A150" s="12" t="s">
        <v>30</v>
      </c>
      <c r="B150" s="13" t="s">
        <v>652</v>
      </c>
      <c r="C150" s="14" t="s">
        <v>32</v>
      </c>
      <c r="D150" s="14" t="s">
        <v>33</v>
      </c>
      <c r="E150" s="14" t="s">
        <v>653</v>
      </c>
      <c r="F150" s="14" t="s">
        <v>654</v>
      </c>
      <c r="G150" s="15" t="s">
        <v>655</v>
      </c>
      <c r="H150" s="16" t="s">
        <v>656</v>
      </c>
      <c r="I150" s="17">
        <v>0</v>
      </c>
      <c r="J150" s="17">
        <v>0</v>
      </c>
      <c r="K150" s="18">
        <v>0</v>
      </c>
      <c r="L150" s="30" t="s">
        <v>768</v>
      </c>
      <c r="M150" s="30" t="s">
        <v>769</v>
      </c>
      <c r="N150" s="30" t="s">
        <v>769</v>
      </c>
      <c r="O150" s="18">
        <v>0</v>
      </c>
      <c r="P150" s="18">
        <v>0</v>
      </c>
      <c r="Q150" s="18">
        <v>0</v>
      </c>
      <c r="R150" s="18">
        <v>0</v>
      </c>
      <c r="S150" s="18">
        <v>0</v>
      </c>
      <c r="T150" s="18">
        <v>0</v>
      </c>
      <c r="U150" s="37">
        <v>0</v>
      </c>
      <c r="V150" s="18">
        <v>0</v>
      </c>
      <c r="W150" s="18">
        <v>0</v>
      </c>
      <c r="X150" s="19">
        <v>0</v>
      </c>
    </row>
    <row r="151" spans="1:24" x14ac:dyDescent="0.2">
      <c r="A151" s="12" t="s">
        <v>30</v>
      </c>
      <c r="B151" s="13" t="s">
        <v>657</v>
      </c>
      <c r="C151" s="14" t="s">
        <v>32</v>
      </c>
      <c r="D151" s="14" t="s">
        <v>33</v>
      </c>
      <c r="E151" s="14" t="s">
        <v>658</v>
      </c>
      <c r="F151" s="14" t="s">
        <v>659</v>
      </c>
      <c r="G151" s="15" t="s">
        <v>660</v>
      </c>
      <c r="H151" s="16" t="s">
        <v>661</v>
      </c>
      <c r="I151" s="17">
        <v>0</v>
      </c>
      <c r="J151" s="17">
        <v>0</v>
      </c>
      <c r="K151" s="18">
        <v>0</v>
      </c>
      <c r="L151" s="30" t="s">
        <v>768</v>
      </c>
      <c r="M151" s="30" t="s">
        <v>769</v>
      </c>
      <c r="N151" s="30" t="s">
        <v>769</v>
      </c>
      <c r="O151" s="18">
        <v>0</v>
      </c>
      <c r="P151" s="18">
        <v>0</v>
      </c>
      <c r="Q151" s="18">
        <v>0</v>
      </c>
      <c r="R151" s="18">
        <v>0</v>
      </c>
      <c r="S151" s="18">
        <v>0</v>
      </c>
      <c r="T151" s="18">
        <v>0</v>
      </c>
      <c r="U151" s="37">
        <v>0</v>
      </c>
      <c r="V151" s="18">
        <v>0</v>
      </c>
      <c r="W151" s="18">
        <v>0</v>
      </c>
      <c r="X151" s="19">
        <v>0</v>
      </c>
    </row>
    <row r="152" spans="1:24" x14ac:dyDescent="0.2">
      <c r="A152" s="12" t="s">
        <v>30</v>
      </c>
      <c r="B152" s="13" t="s">
        <v>662</v>
      </c>
      <c r="C152" s="14" t="s">
        <v>32</v>
      </c>
      <c r="D152" s="14" t="s">
        <v>663</v>
      </c>
      <c r="E152" s="14" t="s">
        <v>664</v>
      </c>
      <c r="F152" s="14" t="s">
        <v>665</v>
      </c>
      <c r="G152" s="15" t="s">
        <v>666</v>
      </c>
      <c r="H152" s="16" t="s">
        <v>667</v>
      </c>
      <c r="I152" s="17">
        <v>154581</v>
      </c>
      <c r="J152" s="17">
        <v>54253</v>
      </c>
      <c r="K152" s="18">
        <v>208834</v>
      </c>
      <c r="L152" s="30" t="s">
        <v>768</v>
      </c>
      <c r="M152" s="30" t="s">
        <v>768</v>
      </c>
      <c r="N152" s="30" t="s">
        <v>768</v>
      </c>
      <c r="O152" s="18">
        <v>123665</v>
      </c>
      <c r="P152" s="18">
        <v>30916</v>
      </c>
      <c r="Q152" s="18">
        <v>154581</v>
      </c>
      <c r="R152" s="18">
        <v>43402</v>
      </c>
      <c r="S152" s="18">
        <v>10851</v>
      </c>
      <c r="T152" s="18">
        <v>54253</v>
      </c>
      <c r="U152" s="37">
        <v>208834</v>
      </c>
      <c r="V152" s="18">
        <v>15458</v>
      </c>
      <c r="W152" s="18">
        <v>15458</v>
      </c>
      <c r="X152" s="19">
        <v>193226</v>
      </c>
    </row>
    <row r="153" spans="1:24" x14ac:dyDescent="0.2">
      <c r="A153" s="12" t="s">
        <v>30</v>
      </c>
      <c r="B153" s="13" t="s">
        <v>668</v>
      </c>
      <c r="C153" s="14" t="s">
        <v>32</v>
      </c>
      <c r="D153" s="14" t="s">
        <v>669</v>
      </c>
      <c r="E153" s="14" t="s">
        <v>670</v>
      </c>
      <c r="F153" s="14" t="s">
        <v>671</v>
      </c>
      <c r="G153" s="15" t="s">
        <v>672</v>
      </c>
      <c r="H153" s="16" t="s">
        <v>673</v>
      </c>
      <c r="I153" s="17">
        <v>0</v>
      </c>
      <c r="J153" s="17">
        <v>0</v>
      </c>
      <c r="K153" s="18">
        <v>0</v>
      </c>
      <c r="L153" s="30" t="s">
        <v>769</v>
      </c>
      <c r="M153" s="30" t="s">
        <v>769</v>
      </c>
      <c r="N153" s="30" t="s">
        <v>769</v>
      </c>
      <c r="O153" s="18">
        <v>0</v>
      </c>
      <c r="P153" s="18">
        <v>0</v>
      </c>
      <c r="Q153" s="18">
        <v>0</v>
      </c>
      <c r="R153" s="18">
        <v>0</v>
      </c>
      <c r="S153" s="18">
        <v>0</v>
      </c>
      <c r="T153" s="18">
        <v>0</v>
      </c>
      <c r="U153" s="37">
        <v>0</v>
      </c>
      <c r="V153" s="18">
        <v>0</v>
      </c>
      <c r="W153" s="18">
        <v>0</v>
      </c>
      <c r="X153" s="19">
        <v>0</v>
      </c>
    </row>
    <row r="154" spans="1:24" x14ac:dyDescent="0.2">
      <c r="A154" s="12" t="s">
        <v>30</v>
      </c>
      <c r="B154" s="13" t="s">
        <v>674</v>
      </c>
      <c r="C154" s="14" t="s">
        <v>32</v>
      </c>
      <c r="D154" s="14" t="s">
        <v>675</v>
      </c>
      <c r="E154" s="14" t="s">
        <v>676</v>
      </c>
      <c r="F154" s="14" t="s">
        <v>677</v>
      </c>
      <c r="G154" s="15" t="s">
        <v>678</v>
      </c>
      <c r="H154" s="16" t="s">
        <v>679</v>
      </c>
      <c r="I154" s="17">
        <v>317537</v>
      </c>
      <c r="J154" s="17">
        <v>111446</v>
      </c>
      <c r="K154" s="18">
        <v>428983</v>
      </c>
      <c r="L154" s="30" t="s">
        <v>768</v>
      </c>
      <c r="M154" s="30" t="s">
        <v>768</v>
      </c>
      <c r="N154" s="30" t="s">
        <v>768</v>
      </c>
      <c r="O154" s="18">
        <v>254030</v>
      </c>
      <c r="P154" s="18">
        <v>63507</v>
      </c>
      <c r="Q154" s="18">
        <v>317537</v>
      </c>
      <c r="R154" s="18">
        <v>89157</v>
      </c>
      <c r="S154" s="18">
        <v>22289</v>
      </c>
      <c r="T154" s="18">
        <v>111446</v>
      </c>
      <c r="U154" s="37">
        <v>428983</v>
      </c>
      <c r="V154" s="18">
        <v>31754</v>
      </c>
      <c r="W154" s="18">
        <v>31754</v>
      </c>
      <c r="X154" s="19">
        <v>396921</v>
      </c>
    </row>
    <row r="155" spans="1:24" x14ac:dyDescent="0.2">
      <c r="A155" s="12" t="s">
        <v>30</v>
      </c>
      <c r="B155" s="13" t="s">
        <v>680</v>
      </c>
      <c r="C155" s="14" t="s">
        <v>32</v>
      </c>
      <c r="D155" s="14" t="s">
        <v>110</v>
      </c>
      <c r="E155" s="14" t="s">
        <v>681</v>
      </c>
      <c r="F155" s="14" t="s">
        <v>682</v>
      </c>
      <c r="G155" s="15" t="s">
        <v>683</v>
      </c>
      <c r="H155" s="16" t="s">
        <v>684</v>
      </c>
      <c r="I155" s="17">
        <v>190652</v>
      </c>
      <c r="J155" s="17">
        <v>66913</v>
      </c>
      <c r="K155" s="18">
        <v>257565</v>
      </c>
      <c r="L155" s="30" t="s">
        <v>768</v>
      </c>
      <c r="M155" s="30" t="s">
        <v>768</v>
      </c>
      <c r="N155" s="30" t="s">
        <v>769</v>
      </c>
      <c r="O155" s="18">
        <v>0</v>
      </c>
      <c r="P155" s="18">
        <v>0</v>
      </c>
      <c r="Q155" s="18">
        <v>0</v>
      </c>
      <c r="R155" s="18">
        <v>0</v>
      </c>
      <c r="S155" s="18">
        <v>0</v>
      </c>
      <c r="T155" s="18">
        <v>0</v>
      </c>
      <c r="U155" s="37">
        <v>0</v>
      </c>
      <c r="V155" s="18">
        <v>0</v>
      </c>
      <c r="W155" s="18">
        <v>0</v>
      </c>
      <c r="X155" s="19">
        <v>0</v>
      </c>
    </row>
    <row r="156" spans="1:24" x14ac:dyDescent="0.2">
      <c r="A156" s="12" t="s">
        <v>30</v>
      </c>
      <c r="B156" s="13" t="s">
        <v>685</v>
      </c>
      <c r="C156" s="14" t="s">
        <v>32</v>
      </c>
      <c r="D156" s="14" t="s">
        <v>149</v>
      </c>
      <c r="E156" s="14" t="s">
        <v>686</v>
      </c>
      <c r="F156" s="14" t="s">
        <v>687</v>
      </c>
      <c r="G156" s="15" t="s">
        <v>688</v>
      </c>
      <c r="H156" s="16" t="s">
        <v>689</v>
      </c>
      <c r="I156" s="17">
        <v>109910</v>
      </c>
      <c r="J156" s="17">
        <v>38575</v>
      </c>
      <c r="K156" s="18">
        <v>148485</v>
      </c>
      <c r="L156" s="30" t="s">
        <v>768</v>
      </c>
      <c r="M156" s="30" t="s">
        <v>768</v>
      </c>
      <c r="N156" s="30" t="s">
        <v>768</v>
      </c>
      <c r="O156" s="18">
        <v>87928</v>
      </c>
      <c r="P156" s="18">
        <v>21982</v>
      </c>
      <c r="Q156" s="18">
        <v>109910</v>
      </c>
      <c r="R156" s="18">
        <v>30860</v>
      </c>
      <c r="S156" s="18">
        <v>7715</v>
      </c>
      <c r="T156" s="18">
        <v>38575</v>
      </c>
      <c r="U156" s="37">
        <v>148485</v>
      </c>
      <c r="V156" s="18">
        <v>10991</v>
      </c>
      <c r="W156" s="18">
        <v>10991</v>
      </c>
      <c r="X156" s="19">
        <v>137388</v>
      </c>
    </row>
    <row r="157" spans="1:24" x14ac:dyDescent="0.2">
      <c r="A157" s="12" t="s">
        <v>30</v>
      </c>
      <c r="B157" s="13" t="s">
        <v>690</v>
      </c>
      <c r="C157" s="14" t="s">
        <v>32</v>
      </c>
      <c r="D157" s="14" t="s">
        <v>33</v>
      </c>
      <c r="E157" s="14" t="s">
        <v>691</v>
      </c>
      <c r="F157" s="14" t="s">
        <v>692</v>
      </c>
      <c r="G157" s="15" t="s">
        <v>693</v>
      </c>
      <c r="H157" s="16" t="s">
        <v>694</v>
      </c>
      <c r="I157" s="17">
        <v>464284</v>
      </c>
      <c r="J157" s="17">
        <v>162949</v>
      </c>
      <c r="K157" s="18">
        <v>627233</v>
      </c>
      <c r="L157" s="30" t="s">
        <v>768</v>
      </c>
      <c r="M157" s="30" t="s">
        <v>768</v>
      </c>
      <c r="N157" s="30" t="s">
        <v>768</v>
      </c>
      <c r="O157" s="18">
        <v>371427</v>
      </c>
      <c r="P157" s="18">
        <v>92857</v>
      </c>
      <c r="Q157" s="18">
        <v>464284</v>
      </c>
      <c r="R157" s="18">
        <v>130359</v>
      </c>
      <c r="S157" s="18">
        <v>32590</v>
      </c>
      <c r="T157" s="18">
        <v>162949</v>
      </c>
      <c r="U157" s="37">
        <v>627233</v>
      </c>
      <c r="V157" s="18">
        <v>46428</v>
      </c>
      <c r="W157" s="18">
        <v>46428</v>
      </c>
      <c r="X157" s="19">
        <v>580355</v>
      </c>
    </row>
    <row r="158" spans="1:24" x14ac:dyDescent="0.2">
      <c r="A158" s="12" t="s">
        <v>30</v>
      </c>
      <c r="B158" s="13" t="s">
        <v>695</v>
      </c>
      <c r="C158" s="14" t="s">
        <v>32</v>
      </c>
      <c r="D158" s="14" t="s">
        <v>81</v>
      </c>
      <c r="E158" s="14" t="s">
        <v>696</v>
      </c>
      <c r="F158" s="14" t="s">
        <v>697</v>
      </c>
      <c r="G158" s="15" t="s">
        <v>698</v>
      </c>
      <c r="H158" s="16" t="s">
        <v>699</v>
      </c>
      <c r="I158" s="17">
        <v>0</v>
      </c>
      <c r="J158" s="17">
        <v>0</v>
      </c>
      <c r="K158" s="18">
        <v>0</v>
      </c>
      <c r="L158" s="30" t="s">
        <v>769</v>
      </c>
      <c r="M158" s="30" t="s">
        <v>769</v>
      </c>
      <c r="N158" s="30" t="s">
        <v>769</v>
      </c>
      <c r="O158" s="18">
        <v>0</v>
      </c>
      <c r="P158" s="18">
        <v>0</v>
      </c>
      <c r="Q158" s="18">
        <v>0</v>
      </c>
      <c r="R158" s="18">
        <v>0</v>
      </c>
      <c r="S158" s="18">
        <v>0</v>
      </c>
      <c r="T158" s="18">
        <v>0</v>
      </c>
      <c r="U158" s="37">
        <v>0</v>
      </c>
      <c r="V158" s="18">
        <v>0</v>
      </c>
      <c r="W158" s="18">
        <v>0</v>
      </c>
      <c r="X158" s="19">
        <v>0</v>
      </c>
    </row>
    <row r="159" spans="1:24" x14ac:dyDescent="0.2">
      <c r="A159" s="12" t="s">
        <v>30</v>
      </c>
      <c r="B159" s="13" t="s">
        <v>700</v>
      </c>
      <c r="C159" s="14" t="s">
        <v>32</v>
      </c>
      <c r="D159" s="14" t="s">
        <v>48</v>
      </c>
      <c r="E159" s="14" t="s">
        <v>701</v>
      </c>
      <c r="F159" s="14" t="s">
        <v>702</v>
      </c>
      <c r="G159" s="15" t="s">
        <v>703</v>
      </c>
      <c r="H159" s="16" t="s">
        <v>704</v>
      </c>
      <c r="I159" s="17">
        <v>432685</v>
      </c>
      <c r="J159" s="17">
        <v>151859</v>
      </c>
      <c r="K159" s="18">
        <v>584544</v>
      </c>
      <c r="L159" s="30" t="s">
        <v>768</v>
      </c>
      <c r="M159" s="30" t="s">
        <v>768</v>
      </c>
      <c r="N159" s="30" t="s">
        <v>768</v>
      </c>
      <c r="O159" s="18">
        <v>346148</v>
      </c>
      <c r="P159" s="18">
        <v>86537</v>
      </c>
      <c r="Q159" s="18">
        <v>432685</v>
      </c>
      <c r="R159" s="18">
        <v>121487</v>
      </c>
      <c r="S159" s="18">
        <v>30372</v>
      </c>
      <c r="T159" s="18">
        <v>151859</v>
      </c>
      <c r="U159" s="37">
        <v>584544</v>
      </c>
      <c r="V159" s="18">
        <v>43269</v>
      </c>
      <c r="W159" s="18">
        <v>43269</v>
      </c>
      <c r="X159" s="19">
        <v>540856</v>
      </c>
    </row>
    <row r="160" spans="1:24" x14ac:dyDescent="0.2">
      <c r="A160" s="12" t="s">
        <v>30</v>
      </c>
      <c r="B160" s="13" t="s">
        <v>705</v>
      </c>
      <c r="C160" s="14" t="s">
        <v>32</v>
      </c>
      <c r="D160" s="14" t="s">
        <v>33</v>
      </c>
      <c r="E160" s="14" t="s">
        <v>706</v>
      </c>
      <c r="F160" s="14" t="s">
        <v>707</v>
      </c>
      <c r="G160" s="15" t="s">
        <v>708</v>
      </c>
      <c r="H160" s="16" t="s">
        <v>709</v>
      </c>
      <c r="I160" s="17">
        <v>0</v>
      </c>
      <c r="J160" s="17">
        <v>0</v>
      </c>
      <c r="K160" s="18">
        <v>0</v>
      </c>
      <c r="L160" s="30" t="s">
        <v>769</v>
      </c>
      <c r="M160" s="30" t="s">
        <v>769</v>
      </c>
      <c r="N160" s="30" t="s">
        <v>769</v>
      </c>
      <c r="O160" s="18">
        <v>0</v>
      </c>
      <c r="P160" s="18">
        <v>0</v>
      </c>
      <c r="Q160" s="18">
        <v>0</v>
      </c>
      <c r="R160" s="18">
        <v>0</v>
      </c>
      <c r="S160" s="18">
        <v>0</v>
      </c>
      <c r="T160" s="18">
        <v>0</v>
      </c>
      <c r="U160" s="37">
        <v>0</v>
      </c>
      <c r="V160" s="18">
        <v>0</v>
      </c>
      <c r="W160" s="18">
        <v>0</v>
      </c>
      <c r="X160" s="19">
        <v>0</v>
      </c>
    </row>
    <row r="161" spans="1:24" x14ac:dyDescent="0.2">
      <c r="A161" s="12" t="s">
        <v>30</v>
      </c>
      <c r="B161" s="13" t="s">
        <v>710</v>
      </c>
      <c r="C161" s="14" t="s">
        <v>32</v>
      </c>
      <c r="D161" s="14" t="s">
        <v>152</v>
      </c>
      <c r="E161" s="14" t="s">
        <v>711</v>
      </c>
      <c r="F161" s="14" t="s">
        <v>712</v>
      </c>
      <c r="G161" s="15" t="s">
        <v>713</v>
      </c>
      <c r="H161" s="16" t="s">
        <v>714</v>
      </c>
      <c r="I161" s="17">
        <v>0</v>
      </c>
      <c r="J161" s="17">
        <v>0</v>
      </c>
      <c r="K161" s="18">
        <v>0</v>
      </c>
      <c r="L161" s="30" t="s">
        <v>769</v>
      </c>
      <c r="M161" s="30" t="s">
        <v>769</v>
      </c>
      <c r="N161" s="30" t="s">
        <v>769</v>
      </c>
      <c r="O161" s="18">
        <v>0</v>
      </c>
      <c r="P161" s="18">
        <v>0</v>
      </c>
      <c r="Q161" s="18">
        <v>0</v>
      </c>
      <c r="R161" s="18">
        <v>0</v>
      </c>
      <c r="S161" s="18">
        <v>0</v>
      </c>
      <c r="T161" s="18">
        <v>0</v>
      </c>
      <c r="U161" s="37">
        <v>0</v>
      </c>
      <c r="V161" s="18">
        <v>0</v>
      </c>
      <c r="W161" s="18">
        <v>0</v>
      </c>
      <c r="X161" s="19">
        <v>0</v>
      </c>
    </row>
    <row r="162" spans="1:24" x14ac:dyDescent="0.2">
      <c r="A162" s="12" t="s">
        <v>30</v>
      </c>
      <c r="B162" s="13" t="s">
        <v>715</v>
      </c>
      <c r="C162" s="14" t="s">
        <v>32</v>
      </c>
      <c r="D162" s="14" t="s">
        <v>95</v>
      </c>
      <c r="E162" s="14" t="s">
        <v>716</v>
      </c>
      <c r="F162" s="14" t="s">
        <v>717</v>
      </c>
      <c r="G162" s="15" t="s">
        <v>718</v>
      </c>
      <c r="H162" s="16" t="s">
        <v>719</v>
      </c>
      <c r="I162" s="17">
        <v>100217</v>
      </c>
      <c r="J162" s="17">
        <v>35173</v>
      </c>
      <c r="K162" s="18">
        <v>135390</v>
      </c>
      <c r="L162" s="30" t="s">
        <v>768</v>
      </c>
      <c r="M162" s="30" t="s">
        <v>768</v>
      </c>
      <c r="N162" s="30" t="s">
        <v>768</v>
      </c>
      <c r="O162" s="18">
        <v>80174</v>
      </c>
      <c r="P162" s="18">
        <v>20043</v>
      </c>
      <c r="Q162" s="18">
        <v>100217</v>
      </c>
      <c r="R162" s="18">
        <v>28138</v>
      </c>
      <c r="S162" s="18">
        <v>7035</v>
      </c>
      <c r="T162" s="18">
        <v>35173</v>
      </c>
      <c r="U162" s="37">
        <v>135390</v>
      </c>
      <c r="V162" s="18">
        <v>10022</v>
      </c>
      <c r="W162" s="18">
        <v>10022</v>
      </c>
      <c r="X162" s="19">
        <v>125271</v>
      </c>
    </row>
    <row r="163" spans="1:24" x14ac:dyDescent="0.2">
      <c r="A163" s="12" t="s">
        <v>30</v>
      </c>
      <c r="B163" s="13" t="s">
        <v>720</v>
      </c>
      <c r="C163" s="14" t="s">
        <v>32</v>
      </c>
      <c r="D163" s="14" t="s">
        <v>81</v>
      </c>
      <c r="E163" s="14" t="s">
        <v>721</v>
      </c>
      <c r="F163" s="14" t="s">
        <v>722</v>
      </c>
      <c r="G163" s="15" t="s">
        <v>723</v>
      </c>
      <c r="H163" s="16" t="s">
        <v>724</v>
      </c>
      <c r="I163" s="17">
        <v>0</v>
      </c>
      <c r="J163" s="17">
        <v>0</v>
      </c>
      <c r="K163" s="18">
        <v>0</v>
      </c>
      <c r="L163" s="30" t="s">
        <v>769</v>
      </c>
      <c r="M163" s="30" t="s">
        <v>769</v>
      </c>
      <c r="N163" s="30" t="s">
        <v>769</v>
      </c>
      <c r="O163" s="18">
        <v>0</v>
      </c>
      <c r="P163" s="18">
        <v>0</v>
      </c>
      <c r="Q163" s="18">
        <v>0</v>
      </c>
      <c r="R163" s="18">
        <v>0</v>
      </c>
      <c r="S163" s="18">
        <v>0</v>
      </c>
      <c r="T163" s="18">
        <v>0</v>
      </c>
      <c r="U163" s="37">
        <v>0</v>
      </c>
      <c r="V163" s="18">
        <v>0</v>
      </c>
      <c r="W163" s="18">
        <v>0</v>
      </c>
      <c r="X163" s="19">
        <v>0</v>
      </c>
    </row>
    <row r="164" spans="1:24" x14ac:dyDescent="0.2">
      <c r="A164" s="12" t="s">
        <v>30</v>
      </c>
      <c r="B164" s="13" t="s">
        <v>725</v>
      </c>
      <c r="C164" s="14" t="s">
        <v>32</v>
      </c>
      <c r="D164" s="14" t="s">
        <v>33</v>
      </c>
      <c r="E164" s="14" t="s">
        <v>726</v>
      </c>
      <c r="F164" s="14" t="s">
        <v>727</v>
      </c>
      <c r="G164" s="15" t="s">
        <v>728</v>
      </c>
      <c r="H164" s="16" t="s">
        <v>729</v>
      </c>
      <c r="I164" s="17">
        <v>179335</v>
      </c>
      <c r="J164" s="17">
        <v>62941</v>
      </c>
      <c r="K164" s="18">
        <v>242276</v>
      </c>
      <c r="L164" s="30" t="s">
        <v>768</v>
      </c>
      <c r="M164" s="30" t="s">
        <v>768</v>
      </c>
      <c r="N164" s="30" t="s">
        <v>768</v>
      </c>
      <c r="O164" s="18">
        <v>143468</v>
      </c>
      <c r="P164" s="18">
        <v>35867</v>
      </c>
      <c r="Q164" s="18">
        <v>179335</v>
      </c>
      <c r="R164" s="18">
        <v>50353</v>
      </c>
      <c r="S164" s="18">
        <v>12588</v>
      </c>
      <c r="T164" s="18">
        <v>62941</v>
      </c>
      <c r="U164" s="37">
        <v>242276</v>
      </c>
      <c r="V164" s="18">
        <v>17934</v>
      </c>
      <c r="W164" s="18">
        <v>17934</v>
      </c>
      <c r="X164" s="19">
        <v>224168</v>
      </c>
    </row>
    <row r="165" spans="1:24" x14ac:dyDescent="0.2">
      <c r="A165" s="12" t="s">
        <v>30</v>
      </c>
      <c r="B165" s="13" t="s">
        <v>730</v>
      </c>
      <c r="C165" s="14" t="s">
        <v>32</v>
      </c>
      <c r="D165" s="14" t="s">
        <v>33</v>
      </c>
      <c r="E165" s="14" t="s">
        <v>731</v>
      </c>
      <c r="F165" s="14" t="s">
        <v>732</v>
      </c>
      <c r="G165" s="15" t="s">
        <v>733</v>
      </c>
      <c r="H165" s="16" t="s">
        <v>734</v>
      </c>
      <c r="I165" s="17">
        <v>184610</v>
      </c>
      <c r="J165" s="17">
        <v>64792</v>
      </c>
      <c r="K165" s="18">
        <v>249402</v>
      </c>
      <c r="L165" s="30" t="s">
        <v>768</v>
      </c>
      <c r="M165" s="30" t="s">
        <v>768</v>
      </c>
      <c r="N165" s="30" t="s">
        <v>768</v>
      </c>
      <c r="O165" s="18">
        <v>147688</v>
      </c>
      <c r="P165" s="18">
        <v>36922</v>
      </c>
      <c r="Q165" s="18">
        <v>184610</v>
      </c>
      <c r="R165" s="18">
        <v>51834</v>
      </c>
      <c r="S165" s="18">
        <v>12958</v>
      </c>
      <c r="T165" s="18">
        <v>64792</v>
      </c>
      <c r="U165" s="37">
        <v>249402</v>
      </c>
      <c r="V165" s="18">
        <v>18461</v>
      </c>
      <c r="W165" s="18">
        <v>18461</v>
      </c>
      <c r="X165" s="19">
        <v>230762</v>
      </c>
    </row>
    <row r="166" spans="1:24" x14ac:dyDescent="0.2">
      <c r="A166" s="12" t="s">
        <v>30</v>
      </c>
      <c r="B166" s="25" t="s">
        <v>735</v>
      </c>
      <c r="C166" s="26" t="s">
        <v>32</v>
      </c>
      <c r="D166" s="26" t="s">
        <v>75</v>
      </c>
      <c r="E166" s="26" t="s">
        <v>736</v>
      </c>
      <c r="F166" s="27" t="s">
        <v>737</v>
      </c>
      <c r="G166" s="15" t="s">
        <v>738</v>
      </c>
      <c r="H166" s="23" t="s">
        <v>739</v>
      </c>
      <c r="I166" s="24">
        <v>328484</v>
      </c>
      <c r="J166" s="24">
        <v>115288</v>
      </c>
      <c r="K166" s="18">
        <v>443772</v>
      </c>
      <c r="L166" s="30" t="s">
        <v>768</v>
      </c>
      <c r="M166" s="30" t="s">
        <v>768</v>
      </c>
      <c r="N166" s="30" t="s">
        <v>768</v>
      </c>
      <c r="O166" s="18">
        <v>262787</v>
      </c>
      <c r="P166" s="18">
        <v>65697</v>
      </c>
      <c r="Q166" s="18">
        <v>328484</v>
      </c>
      <c r="R166" s="18">
        <v>92230</v>
      </c>
      <c r="S166" s="18">
        <v>23058</v>
      </c>
      <c r="T166" s="18">
        <v>115288</v>
      </c>
      <c r="U166" s="37">
        <v>443772</v>
      </c>
      <c r="V166" s="18">
        <v>32848</v>
      </c>
      <c r="W166" s="18">
        <v>32848</v>
      </c>
      <c r="X166" s="19">
        <v>410605</v>
      </c>
    </row>
    <row r="167" spans="1:24" x14ac:dyDescent="0.2">
      <c r="A167" s="12" t="s">
        <v>30</v>
      </c>
      <c r="B167" s="25" t="s">
        <v>740</v>
      </c>
      <c r="C167" s="26" t="s">
        <v>32</v>
      </c>
      <c r="D167" s="26" t="s">
        <v>152</v>
      </c>
      <c r="E167" s="26" t="s">
        <v>741</v>
      </c>
      <c r="F167" s="27" t="s">
        <v>742</v>
      </c>
      <c r="G167" s="15" t="s">
        <v>743</v>
      </c>
      <c r="H167" s="23" t="s">
        <v>744</v>
      </c>
      <c r="I167" s="24">
        <v>185931</v>
      </c>
      <c r="J167" s="24">
        <v>65256</v>
      </c>
      <c r="K167" s="18">
        <v>251187</v>
      </c>
      <c r="L167" s="30" t="s">
        <v>768</v>
      </c>
      <c r="M167" s="30" t="s">
        <v>768</v>
      </c>
      <c r="N167" s="30" t="s">
        <v>768</v>
      </c>
      <c r="O167" s="18">
        <v>148745</v>
      </c>
      <c r="P167" s="18">
        <v>37186</v>
      </c>
      <c r="Q167" s="18">
        <v>185931</v>
      </c>
      <c r="R167" s="18">
        <v>52205</v>
      </c>
      <c r="S167" s="18">
        <v>13051</v>
      </c>
      <c r="T167" s="18">
        <v>65256</v>
      </c>
      <c r="U167" s="37">
        <v>251187</v>
      </c>
      <c r="V167" s="18">
        <v>18593</v>
      </c>
      <c r="W167" s="18">
        <v>18593</v>
      </c>
      <c r="X167" s="19">
        <v>232414</v>
      </c>
    </row>
    <row r="168" spans="1:24" x14ac:dyDescent="0.2">
      <c r="A168" s="12" t="s">
        <v>30</v>
      </c>
      <c r="B168" s="25" t="s">
        <v>745</v>
      </c>
      <c r="C168" s="26" t="s">
        <v>32</v>
      </c>
      <c r="D168" s="26" t="s">
        <v>152</v>
      </c>
      <c r="E168" s="26" t="s">
        <v>746</v>
      </c>
      <c r="F168" s="27" t="s">
        <v>747</v>
      </c>
      <c r="G168" s="15" t="s">
        <v>748</v>
      </c>
      <c r="H168" s="23" t="s">
        <v>749</v>
      </c>
      <c r="I168" s="24">
        <v>0</v>
      </c>
      <c r="J168" s="24">
        <v>0</v>
      </c>
      <c r="K168" s="18">
        <v>0</v>
      </c>
      <c r="L168" s="30" t="s">
        <v>768</v>
      </c>
      <c r="M168" s="30" t="s">
        <v>768</v>
      </c>
      <c r="N168" s="30" t="s">
        <v>769</v>
      </c>
      <c r="O168" s="18">
        <v>0</v>
      </c>
      <c r="P168" s="18">
        <v>0</v>
      </c>
      <c r="Q168" s="18">
        <v>0</v>
      </c>
      <c r="R168" s="18">
        <v>0</v>
      </c>
      <c r="S168" s="18">
        <v>0</v>
      </c>
      <c r="T168" s="18">
        <v>0</v>
      </c>
      <c r="U168" s="37">
        <v>0</v>
      </c>
      <c r="V168" s="18">
        <v>0</v>
      </c>
      <c r="W168" s="18">
        <v>0</v>
      </c>
      <c r="X168" s="19">
        <v>0</v>
      </c>
    </row>
    <row r="169" spans="1:24" x14ac:dyDescent="0.2">
      <c r="A169" s="12" t="s">
        <v>30</v>
      </c>
      <c r="B169" s="25" t="s">
        <v>750</v>
      </c>
      <c r="C169" s="26" t="s">
        <v>32</v>
      </c>
      <c r="D169" s="26" t="s">
        <v>152</v>
      </c>
      <c r="E169" s="26" t="s">
        <v>751</v>
      </c>
      <c r="F169" s="27" t="s">
        <v>752</v>
      </c>
      <c r="G169" s="15" t="s">
        <v>753</v>
      </c>
      <c r="H169" s="23" t="s">
        <v>29</v>
      </c>
      <c r="I169" s="24">
        <v>490181</v>
      </c>
      <c r="J169" s="24">
        <v>172038</v>
      </c>
      <c r="K169" s="18">
        <v>662219</v>
      </c>
      <c r="L169" s="30" t="s">
        <v>768</v>
      </c>
      <c r="M169" s="30" t="s">
        <v>768</v>
      </c>
      <c r="N169" s="30" t="s">
        <v>768</v>
      </c>
      <c r="O169" s="18">
        <v>392145</v>
      </c>
      <c r="P169" s="18">
        <v>98036</v>
      </c>
      <c r="Q169" s="18">
        <v>490181</v>
      </c>
      <c r="R169" s="18">
        <v>137630</v>
      </c>
      <c r="S169" s="18">
        <v>34408</v>
      </c>
      <c r="T169" s="18">
        <v>172038</v>
      </c>
      <c r="U169" s="37">
        <v>662219</v>
      </c>
      <c r="V169" s="18">
        <v>49018</v>
      </c>
      <c r="W169" s="18">
        <v>49018</v>
      </c>
      <c r="X169" s="19">
        <v>612726</v>
      </c>
    </row>
    <row r="170" spans="1:24" x14ac:dyDescent="0.2">
      <c r="A170" s="12" t="s">
        <v>30</v>
      </c>
      <c r="B170" s="25" t="s">
        <v>754</v>
      </c>
      <c r="C170" s="26" t="s">
        <v>32</v>
      </c>
      <c r="D170" s="26" t="s">
        <v>42</v>
      </c>
      <c r="E170" s="26" t="s">
        <v>755</v>
      </c>
      <c r="F170" s="27" t="s">
        <v>756</v>
      </c>
      <c r="G170" s="15" t="s">
        <v>757</v>
      </c>
      <c r="H170" s="23" t="s">
        <v>758</v>
      </c>
      <c r="I170" s="24">
        <v>319358</v>
      </c>
      <c r="J170" s="24">
        <v>112085</v>
      </c>
      <c r="K170" s="18">
        <v>431443</v>
      </c>
      <c r="L170" s="30" t="s">
        <v>768</v>
      </c>
      <c r="M170" s="30" t="s">
        <v>768</v>
      </c>
      <c r="N170" s="30" t="s">
        <v>768</v>
      </c>
      <c r="O170" s="18">
        <v>255486</v>
      </c>
      <c r="P170" s="18">
        <v>63872</v>
      </c>
      <c r="Q170" s="18">
        <v>319358</v>
      </c>
      <c r="R170" s="18">
        <v>89668</v>
      </c>
      <c r="S170" s="18">
        <v>22417</v>
      </c>
      <c r="T170" s="18">
        <v>112085</v>
      </c>
      <c r="U170" s="37">
        <v>431443</v>
      </c>
      <c r="V170" s="18">
        <v>31936</v>
      </c>
      <c r="W170" s="18">
        <v>31936</v>
      </c>
      <c r="X170" s="19">
        <v>399197</v>
      </c>
    </row>
    <row r="171" spans="1:24" x14ac:dyDescent="0.2">
      <c r="A171" s="12" t="s">
        <v>30</v>
      </c>
      <c r="B171" s="25" t="s">
        <v>759</v>
      </c>
      <c r="C171" s="26" t="s">
        <v>32</v>
      </c>
      <c r="D171" s="26" t="s">
        <v>81</v>
      </c>
      <c r="E171" s="26" t="s">
        <v>760</v>
      </c>
      <c r="F171" s="27" t="s">
        <v>761</v>
      </c>
      <c r="G171" s="15" t="s">
        <v>762</v>
      </c>
      <c r="H171" s="23" t="s">
        <v>763</v>
      </c>
      <c r="I171" s="24">
        <v>609420</v>
      </c>
      <c r="J171" s="24">
        <v>213887</v>
      </c>
      <c r="K171" s="18">
        <v>823307</v>
      </c>
      <c r="L171" s="30" t="s">
        <v>768</v>
      </c>
      <c r="M171" s="30" t="s">
        <v>768</v>
      </c>
      <c r="N171" s="30" t="s">
        <v>768</v>
      </c>
      <c r="O171" s="18">
        <v>487536</v>
      </c>
      <c r="P171" s="18">
        <v>121884</v>
      </c>
      <c r="Q171" s="18">
        <v>609420</v>
      </c>
      <c r="R171" s="18">
        <v>171110</v>
      </c>
      <c r="S171" s="18">
        <v>42777</v>
      </c>
      <c r="T171" s="18">
        <v>213887</v>
      </c>
      <c r="U171" s="37">
        <v>823307</v>
      </c>
      <c r="V171" s="18">
        <v>60942</v>
      </c>
      <c r="W171" s="18">
        <v>60942</v>
      </c>
      <c r="X171" s="19">
        <v>761775</v>
      </c>
    </row>
    <row r="172" spans="1:24" ht="15.75" x14ac:dyDescent="0.25">
      <c r="A172" s="32" t="s">
        <v>764</v>
      </c>
      <c r="B172" s="32"/>
      <c r="C172" s="311"/>
      <c r="D172" s="33"/>
      <c r="E172" s="33"/>
      <c r="F172" s="33"/>
      <c r="G172" s="33"/>
      <c r="H172" s="34"/>
      <c r="I172" s="35">
        <f>SUBTOTAL(109,Table2[Current
Authority
Eligibility
Amount])</f>
        <v>676001757</v>
      </c>
      <c r="J172" s="35">
        <f>SUBTOTAL(109,Table2[Future
Authority
Eligibility
Amount])</f>
        <v>237255380</v>
      </c>
      <c r="K172" s="36">
        <f>SUBTOTAL(109,Table2[Revised 
Total
Eligibility
Amount])</f>
        <v>913257137</v>
      </c>
      <c r="L172" s="31"/>
      <c r="M172" s="31"/>
      <c r="N172" s="31"/>
      <c r="O172" s="36">
        <f>SUBTOTAL(109,Table2[80% of Funding Allowable Uses of ESSER III
Resource 3213
(Current Authority)])</f>
        <v>535354894</v>
      </c>
      <c r="P172" s="36">
        <f>SUBTOTAL(109,Table2[20% of Funding to Address Learning Loss1
Resource 3214
(Current Authority)])</f>
        <v>133838719</v>
      </c>
      <c r="Q172" s="36">
        <f>SUBTOTAL(109,Table2[Total
Revised
Allocation
Amount
(Current Authority)])</f>
        <v>669193613</v>
      </c>
      <c r="R172" s="36">
        <f>SUBTOTAL(109,Table2[80% of Funding Allowable Uses of ESSER III
Resource 3213
(Future Authority)])</f>
        <v>187892745</v>
      </c>
      <c r="S172" s="36">
        <f>SUBTOTAL(109,Table2[20% of Funding to Address Learning Loss1
Resource 3214
(Future Authority)])</f>
        <v>46973190</v>
      </c>
      <c r="T172" s="36">
        <f>SUBTOTAL(109,Table2[Total
Revised
Allocation
Amount
(Future Authority)])</f>
        <v>234865935</v>
      </c>
      <c r="U172" s="36">
        <f>SUBTOTAL(109,Table2[Total Revised Allocation Amount
(Current + Future)])</f>
        <v>904059548</v>
      </c>
      <c r="V172" s="36">
        <f>SUBTOTAL(109,Table2[1st
Apportionment
(10% of Current Authority)])</f>
        <v>66919365</v>
      </c>
      <c r="W172" s="36">
        <f>SUBTOTAL(109,Table2[Total Paid])</f>
        <v>66919365</v>
      </c>
      <c r="X172" s="36">
        <f>SUBTOTAL(109,Table2[Balance
Remaining])</f>
        <v>836492009</v>
      </c>
    </row>
    <row r="173" spans="1:24" x14ac:dyDescent="0.2">
      <c r="A173" s="2" t="s">
        <v>765</v>
      </c>
      <c r="T173" s="287" t="s">
        <v>985</v>
      </c>
      <c r="U173" s="286">
        <f>SUMIF(Table2[Direct
Funded
Charter School
Number],"N/A",Table2[Total Revised Allocation Amount
(Current + Future)])</f>
        <v>815709242</v>
      </c>
    </row>
    <row r="174" spans="1:24" x14ac:dyDescent="0.2">
      <c r="A174" s="2" t="s">
        <v>766</v>
      </c>
    </row>
    <row r="175" spans="1:24" x14ac:dyDescent="0.2">
      <c r="A175" s="29" t="s">
        <v>767</v>
      </c>
    </row>
  </sheetData>
  <conditionalFormatting sqref="G9:G171">
    <cfRule type="duplicateValues" dxfId="265" priority="5"/>
  </conditionalFormatting>
  <pageMargins left="0.7" right="0.7" top="0.75" bottom="0.75" header="0.3" footer="0.3"/>
  <pageSetup paperSize="5" scale="33" fitToHeight="0" orientation="landscape" horizontalDpi="200" verticalDpi="2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0423E-B10D-482A-8EAA-EFBEC60A0E47}">
  <sheetPr>
    <pageSetUpPr fitToPage="1"/>
  </sheetPr>
  <dimension ref="A1:AF139"/>
  <sheetViews>
    <sheetView zoomScaleNormal="100" workbookViewId="0">
      <pane ySplit="5" topLeftCell="A96" activePane="bottomLeft" state="frozen"/>
      <selection pane="bottomLeft" activeCell="A6" sqref="A6"/>
    </sheetView>
  </sheetViews>
  <sheetFormatPr defaultColWidth="11.44140625" defaultRowHeight="15" x14ac:dyDescent="0.2"/>
  <cols>
    <col min="1" max="1" width="11.33203125" style="150" customWidth="1"/>
    <col min="2" max="2" width="13.6640625" style="152" customWidth="1"/>
    <col min="3" max="4" width="13.44140625" style="152" customWidth="1"/>
    <col min="5" max="5" width="16" style="152" customWidth="1"/>
    <col min="6" max="6" width="18.33203125" style="152" customWidth="1"/>
    <col min="7" max="7" width="42.77734375" style="150" customWidth="1"/>
    <col min="8" max="8" width="21.21875" style="150" customWidth="1"/>
    <col min="9" max="9" width="14.77734375" style="150" customWidth="1"/>
    <col min="10" max="23" width="13.21875" style="150" customWidth="1"/>
    <col min="24" max="24" width="16.33203125" style="150" customWidth="1"/>
    <col min="25" max="25" width="14.6640625" style="150" customWidth="1"/>
    <col min="26" max="26" width="14" style="150" customWidth="1"/>
    <col min="27" max="27" width="14.6640625" style="151" customWidth="1"/>
    <col min="28" max="16384" width="11.44140625" style="150"/>
  </cols>
  <sheetData>
    <row r="1" spans="1:32" ht="15.75" x14ac:dyDescent="0.25">
      <c r="A1" s="186" t="s">
        <v>936</v>
      </c>
      <c r="S1" s="180"/>
      <c r="T1" s="180"/>
      <c r="U1" s="180"/>
      <c r="V1" s="180"/>
      <c r="W1" s="180"/>
      <c r="X1" s="180"/>
      <c r="Y1" s="180"/>
      <c r="Z1" s="181"/>
      <c r="AA1" s="185"/>
      <c r="AB1" s="181"/>
      <c r="AC1" s="180"/>
      <c r="AD1" s="180"/>
      <c r="AE1" s="180"/>
      <c r="AF1" s="180"/>
    </row>
    <row r="2" spans="1:32" ht="15.75" x14ac:dyDescent="0.25">
      <c r="A2" s="184" t="s">
        <v>935</v>
      </c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81"/>
      <c r="AC2" s="180"/>
      <c r="AD2" s="180"/>
      <c r="AE2" s="180"/>
      <c r="AF2" s="180"/>
    </row>
    <row r="3" spans="1:32" x14ac:dyDescent="0.2">
      <c r="A3" s="183" t="s">
        <v>934</v>
      </c>
      <c r="S3" s="180"/>
      <c r="T3" s="180"/>
      <c r="U3" s="180"/>
      <c r="V3" s="180"/>
      <c r="W3" s="180"/>
      <c r="X3" s="180"/>
      <c r="Y3" s="180"/>
      <c r="Z3" s="181"/>
      <c r="AA3" s="182"/>
      <c r="AB3" s="181"/>
      <c r="AC3" s="180"/>
      <c r="AD3" s="180"/>
      <c r="AE3" s="180"/>
      <c r="AF3" s="180"/>
    </row>
    <row r="4" spans="1:32" s="179" customFormat="1" ht="15" customHeight="1" x14ac:dyDescent="0.2">
      <c r="A4" s="179" t="s">
        <v>933</v>
      </c>
    </row>
    <row r="5" spans="1:32" ht="94.5" customHeight="1" x14ac:dyDescent="0.25">
      <c r="A5" s="178" t="s">
        <v>932</v>
      </c>
      <c r="B5" s="176" t="s">
        <v>837</v>
      </c>
      <c r="C5" s="176" t="s">
        <v>836</v>
      </c>
      <c r="D5" s="176" t="s">
        <v>835</v>
      </c>
      <c r="E5" s="176" t="s">
        <v>834</v>
      </c>
      <c r="F5" s="176" t="s">
        <v>931</v>
      </c>
      <c r="G5" s="176" t="s">
        <v>12</v>
      </c>
      <c r="H5" s="176" t="s">
        <v>930</v>
      </c>
      <c r="I5" s="176" t="s">
        <v>929</v>
      </c>
      <c r="J5" s="176" t="s">
        <v>928</v>
      </c>
      <c r="K5" s="176" t="s">
        <v>927</v>
      </c>
      <c r="L5" s="176" t="s">
        <v>926</v>
      </c>
      <c r="M5" s="176" t="s">
        <v>925</v>
      </c>
      <c r="N5" s="176" t="s">
        <v>924</v>
      </c>
      <c r="O5" s="176" t="s">
        <v>923</v>
      </c>
      <c r="P5" s="176" t="s">
        <v>922</v>
      </c>
      <c r="Q5" s="176" t="s">
        <v>921</v>
      </c>
      <c r="R5" s="176" t="s">
        <v>920</v>
      </c>
      <c r="S5" s="176" t="s">
        <v>919</v>
      </c>
      <c r="T5" s="176" t="s">
        <v>918</v>
      </c>
      <c r="U5" s="176" t="s">
        <v>917</v>
      </c>
      <c r="V5" s="176" t="s">
        <v>916</v>
      </c>
      <c r="W5" s="176" t="s">
        <v>915</v>
      </c>
      <c r="X5" s="177" t="s">
        <v>914</v>
      </c>
      <c r="Y5" s="177" t="s">
        <v>913</v>
      </c>
      <c r="Z5" s="177" t="s">
        <v>912</v>
      </c>
      <c r="AA5" s="176" t="s">
        <v>911</v>
      </c>
    </row>
    <row r="6" spans="1:32" ht="15.75" customHeight="1" x14ac:dyDescent="0.2">
      <c r="A6" s="174" t="s">
        <v>905</v>
      </c>
      <c r="B6" s="173" t="s">
        <v>32</v>
      </c>
      <c r="C6" s="170" t="s">
        <v>33</v>
      </c>
      <c r="D6" s="172" t="s">
        <v>26</v>
      </c>
      <c r="E6" s="171" t="s">
        <v>27</v>
      </c>
      <c r="F6" s="170" t="s">
        <v>27</v>
      </c>
      <c r="G6" s="169" t="s">
        <v>824</v>
      </c>
      <c r="H6" s="169" t="s">
        <v>910</v>
      </c>
      <c r="I6" s="168">
        <v>0</v>
      </c>
      <c r="J6" s="168">
        <v>0</v>
      </c>
      <c r="K6" s="168">
        <v>0</v>
      </c>
      <c r="L6" s="168">
        <v>0</v>
      </c>
      <c r="M6" s="167">
        <v>0</v>
      </c>
      <c r="N6" s="168">
        <v>1205.7</v>
      </c>
      <c r="O6" s="168">
        <v>447.64</v>
      </c>
      <c r="P6" s="167">
        <v>1653.3400000000001</v>
      </c>
      <c r="Q6" s="167">
        <v>0</v>
      </c>
      <c r="R6" s="167">
        <v>0</v>
      </c>
      <c r="S6" s="167">
        <v>0</v>
      </c>
      <c r="T6" s="167">
        <v>0</v>
      </c>
      <c r="U6" s="167">
        <v>0</v>
      </c>
      <c r="V6" s="167">
        <v>1653.3400000000001</v>
      </c>
      <c r="W6" s="167">
        <v>0</v>
      </c>
      <c r="X6" s="167">
        <v>1653.3400000000001</v>
      </c>
      <c r="Y6" s="167" t="s">
        <v>27</v>
      </c>
      <c r="Z6" s="166">
        <v>1653.3400000000001</v>
      </c>
      <c r="AA6" s="165">
        <v>28732</v>
      </c>
    </row>
    <row r="7" spans="1:32" ht="15.75" hidden="1" customHeight="1" x14ac:dyDescent="0.2">
      <c r="A7" s="174" t="s">
        <v>905</v>
      </c>
      <c r="B7" s="173" t="s">
        <v>32</v>
      </c>
      <c r="C7" s="170" t="s">
        <v>33</v>
      </c>
      <c r="D7" s="172" t="s">
        <v>606</v>
      </c>
      <c r="E7" s="171" t="s">
        <v>607</v>
      </c>
      <c r="F7" s="170" t="s">
        <v>781</v>
      </c>
      <c r="G7" s="169" t="s">
        <v>823</v>
      </c>
      <c r="H7" s="169" t="s">
        <v>904</v>
      </c>
      <c r="I7" s="168">
        <v>0</v>
      </c>
      <c r="J7" s="168">
        <v>0</v>
      </c>
      <c r="K7" s="168">
        <v>0</v>
      </c>
      <c r="L7" s="168">
        <v>0</v>
      </c>
      <c r="M7" s="167">
        <v>0</v>
      </c>
      <c r="N7" s="168">
        <v>0</v>
      </c>
      <c r="O7" s="168">
        <v>0</v>
      </c>
      <c r="P7" s="167">
        <v>0</v>
      </c>
      <c r="Q7" s="167">
        <v>377.89</v>
      </c>
      <c r="R7" s="167">
        <v>0</v>
      </c>
      <c r="S7" s="167">
        <v>0</v>
      </c>
      <c r="T7" s="167">
        <v>0</v>
      </c>
      <c r="U7" s="167">
        <v>377.89</v>
      </c>
      <c r="V7" s="167">
        <v>377.89</v>
      </c>
      <c r="W7" s="167">
        <v>0</v>
      </c>
      <c r="X7" s="167">
        <v>377.89</v>
      </c>
      <c r="Y7" s="167" t="s">
        <v>27</v>
      </c>
      <c r="Z7" s="166">
        <v>377.89</v>
      </c>
      <c r="AA7" s="165">
        <v>6567</v>
      </c>
    </row>
    <row r="8" spans="1:32" ht="15.75" hidden="1" customHeight="1" x14ac:dyDescent="0.2">
      <c r="A8" s="174" t="s">
        <v>905</v>
      </c>
      <c r="B8" s="173" t="s">
        <v>32</v>
      </c>
      <c r="C8" s="170" t="s">
        <v>33</v>
      </c>
      <c r="D8" s="172" t="s">
        <v>874</v>
      </c>
      <c r="E8" s="171" t="s">
        <v>873</v>
      </c>
      <c r="F8" s="170" t="s">
        <v>781</v>
      </c>
      <c r="G8" s="169" t="s">
        <v>871</v>
      </c>
      <c r="H8" s="169" t="s">
        <v>909</v>
      </c>
      <c r="I8" s="168">
        <v>0</v>
      </c>
      <c r="J8" s="168">
        <v>0</v>
      </c>
      <c r="K8" s="168">
        <v>0</v>
      </c>
      <c r="L8" s="168">
        <v>0</v>
      </c>
      <c r="M8" s="167">
        <v>0</v>
      </c>
      <c r="N8" s="168">
        <v>0</v>
      </c>
      <c r="O8" s="168">
        <v>0</v>
      </c>
      <c r="P8" s="167">
        <v>0</v>
      </c>
      <c r="Q8" s="167">
        <v>66.72</v>
      </c>
      <c r="R8" s="167">
        <v>0</v>
      </c>
      <c r="S8" s="167">
        <v>0</v>
      </c>
      <c r="T8" s="167">
        <v>0</v>
      </c>
      <c r="U8" s="167">
        <v>66.72</v>
      </c>
      <c r="V8" s="167">
        <v>66.72</v>
      </c>
      <c r="W8" s="167">
        <v>0</v>
      </c>
      <c r="X8" s="167">
        <v>66.72</v>
      </c>
      <c r="Y8" s="167" t="s">
        <v>27</v>
      </c>
      <c r="Z8" s="166">
        <v>66.72</v>
      </c>
      <c r="AA8" s="165">
        <v>1159</v>
      </c>
    </row>
    <row r="9" spans="1:32" ht="15.75" hidden="1" customHeight="1" x14ac:dyDescent="0.2">
      <c r="A9" s="174" t="s">
        <v>905</v>
      </c>
      <c r="B9" s="173" t="s">
        <v>32</v>
      </c>
      <c r="C9" s="170" t="s">
        <v>33</v>
      </c>
      <c r="D9" s="172" t="s">
        <v>726</v>
      </c>
      <c r="E9" s="171" t="s">
        <v>727</v>
      </c>
      <c r="F9" s="170" t="s">
        <v>781</v>
      </c>
      <c r="G9" s="169" t="s">
        <v>729</v>
      </c>
      <c r="H9" s="169" t="s">
        <v>904</v>
      </c>
      <c r="I9" s="168">
        <v>0</v>
      </c>
      <c r="J9" s="168">
        <v>0</v>
      </c>
      <c r="K9" s="168">
        <v>0</v>
      </c>
      <c r="L9" s="168">
        <v>0</v>
      </c>
      <c r="M9" s="167">
        <v>0</v>
      </c>
      <c r="N9" s="168">
        <v>0</v>
      </c>
      <c r="O9" s="168">
        <v>0</v>
      </c>
      <c r="P9" s="167">
        <v>0</v>
      </c>
      <c r="Q9" s="167">
        <v>244.83</v>
      </c>
      <c r="R9" s="167">
        <v>0</v>
      </c>
      <c r="S9" s="167">
        <v>0</v>
      </c>
      <c r="T9" s="167">
        <v>0</v>
      </c>
      <c r="U9" s="167">
        <v>244.83</v>
      </c>
      <c r="V9" s="167">
        <v>244.83</v>
      </c>
      <c r="W9" s="167">
        <v>0</v>
      </c>
      <c r="X9" s="167">
        <v>244.83</v>
      </c>
      <c r="Y9" s="167" t="s">
        <v>27</v>
      </c>
      <c r="Z9" s="166">
        <v>244.83</v>
      </c>
      <c r="AA9" s="165">
        <v>4255</v>
      </c>
    </row>
    <row r="10" spans="1:32" ht="15.75" hidden="1" customHeight="1" x14ac:dyDescent="0.2">
      <c r="A10" s="174" t="s">
        <v>905</v>
      </c>
      <c r="B10" s="173" t="s">
        <v>32</v>
      </c>
      <c r="C10" s="170" t="s">
        <v>33</v>
      </c>
      <c r="D10" s="172" t="s">
        <v>281</v>
      </c>
      <c r="E10" s="171" t="s">
        <v>282</v>
      </c>
      <c r="F10" s="170" t="s">
        <v>781</v>
      </c>
      <c r="G10" s="169" t="s">
        <v>284</v>
      </c>
      <c r="H10" s="169" t="s">
        <v>906</v>
      </c>
      <c r="I10" s="168">
        <v>0</v>
      </c>
      <c r="J10" s="168">
        <v>0</v>
      </c>
      <c r="K10" s="168">
        <v>0</v>
      </c>
      <c r="L10" s="168">
        <v>0</v>
      </c>
      <c r="M10" s="167">
        <v>0</v>
      </c>
      <c r="N10" s="168">
        <v>0</v>
      </c>
      <c r="O10" s="168">
        <v>0</v>
      </c>
      <c r="P10" s="167">
        <v>0</v>
      </c>
      <c r="Q10" s="167">
        <v>1713.41</v>
      </c>
      <c r="R10" s="167">
        <v>0</v>
      </c>
      <c r="S10" s="167">
        <v>0</v>
      </c>
      <c r="T10" s="167">
        <v>0</v>
      </c>
      <c r="U10" s="167">
        <v>1713.41</v>
      </c>
      <c r="V10" s="167">
        <v>1713.41</v>
      </c>
      <c r="W10" s="167">
        <v>46.4</v>
      </c>
      <c r="X10" s="167">
        <v>1667.01</v>
      </c>
      <c r="Y10" s="167" t="s">
        <v>27</v>
      </c>
      <c r="Z10" s="166">
        <v>1667.01</v>
      </c>
      <c r="AA10" s="165">
        <v>28969</v>
      </c>
    </row>
    <row r="11" spans="1:32" ht="15.75" customHeight="1" x14ac:dyDescent="0.2">
      <c r="A11" s="174" t="s">
        <v>905</v>
      </c>
      <c r="B11" s="173" t="s">
        <v>32</v>
      </c>
      <c r="C11" s="170" t="s">
        <v>36</v>
      </c>
      <c r="D11" s="172" t="s">
        <v>26</v>
      </c>
      <c r="E11" s="171" t="s">
        <v>27</v>
      </c>
      <c r="F11" s="170" t="s">
        <v>27</v>
      </c>
      <c r="G11" s="169" t="s">
        <v>37</v>
      </c>
      <c r="H11" s="169" t="s">
        <v>906</v>
      </c>
      <c r="I11" s="168">
        <v>1566.91</v>
      </c>
      <c r="J11" s="168">
        <v>0</v>
      </c>
      <c r="K11" s="168">
        <v>0</v>
      </c>
      <c r="L11" s="168">
        <v>0</v>
      </c>
      <c r="M11" s="167">
        <v>1566.91</v>
      </c>
      <c r="N11" s="168">
        <v>0</v>
      </c>
      <c r="O11" s="168">
        <v>0</v>
      </c>
      <c r="P11" s="167">
        <v>0</v>
      </c>
      <c r="Q11" s="167">
        <v>0</v>
      </c>
      <c r="R11" s="167">
        <v>0</v>
      </c>
      <c r="S11" s="167">
        <v>0</v>
      </c>
      <c r="T11" s="167">
        <v>0</v>
      </c>
      <c r="U11" s="167">
        <v>0</v>
      </c>
      <c r="V11" s="167">
        <v>1566.91</v>
      </c>
      <c r="W11" s="167">
        <v>0</v>
      </c>
      <c r="X11" s="167">
        <v>1566.91</v>
      </c>
      <c r="Y11" s="167" t="s">
        <v>27</v>
      </c>
      <c r="Z11" s="166">
        <v>1566.91</v>
      </c>
      <c r="AA11" s="165">
        <v>27230</v>
      </c>
    </row>
    <row r="12" spans="1:32" ht="15.75" customHeight="1" x14ac:dyDescent="0.2">
      <c r="A12" s="174" t="s">
        <v>905</v>
      </c>
      <c r="B12" s="173" t="s">
        <v>32</v>
      </c>
      <c r="C12" s="170" t="s">
        <v>39</v>
      </c>
      <c r="D12" s="172" t="s">
        <v>26</v>
      </c>
      <c r="E12" s="171" t="s">
        <v>27</v>
      </c>
      <c r="F12" s="170" t="s">
        <v>27</v>
      </c>
      <c r="G12" s="169" t="s">
        <v>40</v>
      </c>
      <c r="H12" s="169" t="s">
        <v>904</v>
      </c>
      <c r="I12" s="168">
        <v>257.25</v>
      </c>
      <c r="J12" s="168">
        <v>115.06</v>
      </c>
      <c r="K12" s="168">
        <v>0</v>
      </c>
      <c r="L12" s="168">
        <v>0</v>
      </c>
      <c r="M12" s="167">
        <v>372.31</v>
      </c>
      <c r="N12" s="168">
        <v>0</v>
      </c>
      <c r="O12" s="168">
        <v>0</v>
      </c>
      <c r="P12" s="167">
        <v>0</v>
      </c>
      <c r="Q12" s="167">
        <v>0</v>
      </c>
      <c r="R12" s="167">
        <v>0</v>
      </c>
      <c r="S12" s="167">
        <v>0</v>
      </c>
      <c r="T12" s="167">
        <v>0</v>
      </c>
      <c r="U12" s="167">
        <v>0</v>
      </c>
      <c r="V12" s="167">
        <v>372.31</v>
      </c>
      <c r="W12" s="167">
        <v>0</v>
      </c>
      <c r="X12" s="167">
        <v>372.31</v>
      </c>
      <c r="Y12" s="167" t="s">
        <v>27</v>
      </c>
      <c r="Z12" s="166">
        <v>372.31</v>
      </c>
      <c r="AA12" s="165">
        <v>6470</v>
      </c>
    </row>
    <row r="13" spans="1:32" ht="15.75" customHeight="1" x14ac:dyDescent="0.2">
      <c r="A13" s="174" t="s">
        <v>905</v>
      </c>
      <c r="B13" s="173" t="s">
        <v>32</v>
      </c>
      <c r="C13" s="170" t="s">
        <v>42</v>
      </c>
      <c r="D13" s="172" t="s">
        <v>26</v>
      </c>
      <c r="E13" s="171" t="s">
        <v>27</v>
      </c>
      <c r="F13" s="170" t="s">
        <v>27</v>
      </c>
      <c r="G13" s="169" t="s">
        <v>43</v>
      </c>
      <c r="H13" s="169" t="s">
        <v>906</v>
      </c>
      <c r="I13" s="168">
        <v>15899.8</v>
      </c>
      <c r="J13" s="168">
        <v>0</v>
      </c>
      <c r="K13" s="168">
        <v>0</v>
      </c>
      <c r="L13" s="168">
        <v>0</v>
      </c>
      <c r="M13" s="167">
        <v>15899.8</v>
      </c>
      <c r="N13" s="168">
        <v>0</v>
      </c>
      <c r="O13" s="168">
        <v>0</v>
      </c>
      <c r="P13" s="167">
        <v>0</v>
      </c>
      <c r="Q13" s="167">
        <v>0</v>
      </c>
      <c r="R13" s="167">
        <v>0</v>
      </c>
      <c r="S13" s="167">
        <v>0</v>
      </c>
      <c r="T13" s="167">
        <v>0</v>
      </c>
      <c r="U13" s="167">
        <v>0</v>
      </c>
      <c r="V13" s="167">
        <v>15899.8</v>
      </c>
      <c r="W13" s="167">
        <v>0</v>
      </c>
      <c r="X13" s="167">
        <v>15899.8</v>
      </c>
      <c r="Y13" s="167" t="s">
        <v>27</v>
      </c>
      <c r="Z13" s="166">
        <v>15899.8</v>
      </c>
      <c r="AA13" s="165">
        <v>276306</v>
      </c>
    </row>
    <row r="14" spans="1:32" ht="15.75" hidden="1" customHeight="1" x14ac:dyDescent="0.2">
      <c r="A14" s="174" t="s">
        <v>905</v>
      </c>
      <c r="B14" s="173" t="s">
        <v>32</v>
      </c>
      <c r="C14" s="170" t="s">
        <v>42</v>
      </c>
      <c r="D14" s="172" t="s">
        <v>371</v>
      </c>
      <c r="E14" s="171" t="s">
        <v>372</v>
      </c>
      <c r="F14" s="170" t="s">
        <v>781</v>
      </c>
      <c r="G14" s="169" t="s">
        <v>374</v>
      </c>
      <c r="H14" s="169" t="s">
        <v>906</v>
      </c>
      <c r="I14" s="168">
        <v>0</v>
      </c>
      <c r="J14" s="168">
        <v>0</v>
      </c>
      <c r="K14" s="168">
        <v>0</v>
      </c>
      <c r="L14" s="168">
        <v>0</v>
      </c>
      <c r="M14" s="167">
        <v>0</v>
      </c>
      <c r="N14" s="168">
        <v>0</v>
      </c>
      <c r="O14" s="168">
        <v>0</v>
      </c>
      <c r="P14" s="167">
        <v>0</v>
      </c>
      <c r="Q14" s="167">
        <v>533.37</v>
      </c>
      <c r="R14" s="167">
        <v>0</v>
      </c>
      <c r="S14" s="167">
        <v>0</v>
      </c>
      <c r="T14" s="167">
        <v>0</v>
      </c>
      <c r="U14" s="167">
        <v>533.37</v>
      </c>
      <c r="V14" s="167">
        <v>533.37</v>
      </c>
      <c r="W14" s="167">
        <v>2.3200000000000003</v>
      </c>
      <c r="X14" s="167">
        <v>531.04999999999995</v>
      </c>
      <c r="Y14" s="167" t="s">
        <v>27</v>
      </c>
      <c r="Z14" s="166">
        <v>531.04999999999995</v>
      </c>
      <c r="AA14" s="165">
        <v>9229</v>
      </c>
    </row>
    <row r="15" spans="1:32" ht="15.75" hidden="1" customHeight="1" x14ac:dyDescent="0.2">
      <c r="A15" s="174" t="s">
        <v>905</v>
      </c>
      <c r="B15" s="173" t="s">
        <v>32</v>
      </c>
      <c r="C15" s="170" t="s">
        <v>42</v>
      </c>
      <c r="D15" s="172" t="s">
        <v>451</v>
      </c>
      <c r="E15" s="171" t="s">
        <v>452</v>
      </c>
      <c r="F15" s="170" t="s">
        <v>781</v>
      </c>
      <c r="G15" s="169" t="s">
        <v>454</v>
      </c>
      <c r="H15" s="169" t="s">
        <v>906</v>
      </c>
      <c r="I15" s="168">
        <v>0</v>
      </c>
      <c r="J15" s="168">
        <v>0</v>
      </c>
      <c r="K15" s="168">
        <v>0</v>
      </c>
      <c r="L15" s="168">
        <v>0</v>
      </c>
      <c r="M15" s="167">
        <v>0</v>
      </c>
      <c r="N15" s="168">
        <v>0</v>
      </c>
      <c r="O15" s="168">
        <v>0</v>
      </c>
      <c r="P15" s="167">
        <v>0</v>
      </c>
      <c r="Q15" s="167">
        <v>248.29</v>
      </c>
      <c r="R15" s="167">
        <v>0</v>
      </c>
      <c r="S15" s="167">
        <v>0</v>
      </c>
      <c r="T15" s="167">
        <v>0</v>
      </c>
      <c r="U15" s="167">
        <v>248.29</v>
      </c>
      <c r="V15" s="167">
        <v>248.29</v>
      </c>
      <c r="W15" s="167">
        <v>0.21</v>
      </c>
      <c r="X15" s="167">
        <v>248.07999999999998</v>
      </c>
      <c r="Y15" s="167" t="s">
        <v>27</v>
      </c>
      <c r="Z15" s="166">
        <v>248.07999999999998</v>
      </c>
      <c r="AA15" s="165">
        <v>4311</v>
      </c>
    </row>
    <row r="16" spans="1:32" ht="15.75" hidden="1" customHeight="1" x14ac:dyDescent="0.2">
      <c r="A16" s="174" t="s">
        <v>905</v>
      </c>
      <c r="B16" s="173" t="s">
        <v>32</v>
      </c>
      <c r="C16" s="170" t="s">
        <v>42</v>
      </c>
      <c r="D16" s="172" t="s">
        <v>755</v>
      </c>
      <c r="E16" s="171" t="s">
        <v>756</v>
      </c>
      <c r="F16" s="170" t="s">
        <v>781</v>
      </c>
      <c r="G16" s="169" t="s">
        <v>758</v>
      </c>
      <c r="H16" s="169" t="s">
        <v>906</v>
      </c>
      <c r="I16" s="168">
        <v>0</v>
      </c>
      <c r="J16" s="168">
        <v>0</v>
      </c>
      <c r="K16" s="168">
        <v>0</v>
      </c>
      <c r="L16" s="168">
        <v>0</v>
      </c>
      <c r="M16" s="167">
        <v>0</v>
      </c>
      <c r="N16" s="168">
        <v>0</v>
      </c>
      <c r="O16" s="168">
        <v>0</v>
      </c>
      <c r="P16" s="167">
        <v>0</v>
      </c>
      <c r="Q16" s="167">
        <v>109.22</v>
      </c>
      <c r="R16" s="167">
        <v>0</v>
      </c>
      <c r="S16" s="167">
        <v>0</v>
      </c>
      <c r="T16" s="167">
        <v>0</v>
      </c>
      <c r="U16" s="167">
        <v>109.22</v>
      </c>
      <c r="V16" s="167">
        <v>109.22</v>
      </c>
      <c r="W16" s="167">
        <v>0</v>
      </c>
      <c r="X16" s="167">
        <v>109.22</v>
      </c>
      <c r="Y16" s="167" t="s">
        <v>27</v>
      </c>
      <c r="Z16" s="166">
        <v>109.22</v>
      </c>
      <c r="AA16" s="165">
        <v>1898</v>
      </c>
    </row>
    <row r="17" spans="1:27" ht="15.75" customHeight="1" x14ac:dyDescent="0.2">
      <c r="A17" s="174" t="s">
        <v>905</v>
      </c>
      <c r="B17" s="173" t="s">
        <v>32</v>
      </c>
      <c r="C17" s="170" t="s">
        <v>45</v>
      </c>
      <c r="D17" s="172" t="s">
        <v>26</v>
      </c>
      <c r="E17" s="171" t="s">
        <v>27</v>
      </c>
      <c r="F17" s="170" t="s">
        <v>27</v>
      </c>
      <c r="G17" s="169" t="s">
        <v>46</v>
      </c>
      <c r="H17" s="169" t="s">
        <v>906</v>
      </c>
      <c r="I17" s="168">
        <v>665.39</v>
      </c>
      <c r="J17" s="168">
        <v>0</v>
      </c>
      <c r="K17" s="168">
        <v>0</v>
      </c>
      <c r="L17" s="168">
        <v>0</v>
      </c>
      <c r="M17" s="167">
        <v>665.39</v>
      </c>
      <c r="N17" s="168">
        <v>0</v>
      </c>
      <c r="O17" s="168">
        <v>0</v>
      </c>
      <c r="P17" s="167">
        <v>0</v>
      </c>
      <c r="Q17" s="167">
        <v>0</v>
      </c>
      <c r="R17" s="167">
        <v>0</v>
      </c>
      <c r="S17" s="167">
        <v>0</v>
      </c>
      <c r="T17" s="167">
        <v>0</v>
      </c>
      <c r="U17" s="167">
        <v>0</v>
      </c>
      <c r="V17" s="167">
        <v>665.39</v>
      </c>
      <c r="W17" s="167">
        <v>0</v>
      </c>
      <c r="X17" s="167">
        <v>665.39</v>
      </c>
      <c r="Y17" s="167" t="s">
        <v>27</v>
      </c>
      <c r="Z17" s="166">
        <v>665.39</v>
      </c>
      <c r="AA17" s="165">
        <v>11563</v>
      </c>
    </row>
    <row r="18" spans="1:27" ht="15.75" customHeight="1" x14ac:dyDescent="0.2">
      <c r="A18" s="174" t="s">
        <v>905</v>
      </c>
      <c r="B18" s="173" t="s">
        <v>32</v>
      </c>
      <c r="C18" s="170" t="s">
        <v>48</v>
      </c>
      <c r="D18" s="172" t="s">
        <v>26</v>
      </c>
      <c r="E18" s="171" t="s">
        <v>27</v>
      </c>
      <c r="F18" s="170" t="s">
        <v>27</v>
      </c>
      <c r="G18" s="169" t="s">
        <v>49</v>
      </c>
      <c r="H18" s="169" t="s">
        <v>906</v>
      </c>
      <c r="I18" s="168">
        <v>22471.43</v>
      </c>
      <c r="J18" s="168">
        <v>0</v>
      </c>
      <c r="K18" s="168">
        <v>0</v>
      </c>
      <c r="L18" s="168">
        <v>0</v>
      </c>
      <c r="M18" s="167">
        <v>22471.43</v>
      </c>
      <c r="N18" s="168">
        <v>0</v>
      </c>
      <c r="O18" s="168">
        <v>0</v>
      </c>
      <c r="P18" s="167">
        <v>0</v>
      </c>
      <c r="Q18" s="167">
        <v>0</v>
      </c>
      <c r="R18" s="167">
        <v>0</v>
      </c>
      <c r="S18" s="167">
        <v>0</v>
      </c>
      <c r="T18" s="167">
        <v>0</v>
      </c>
      <c r="U18" s="167">
        <v>0</v>
      </c>
      <c r="V18" s="167">
        <v>22471.43</v>
      </c>
      <c r="W18" s="167">
        <v>0</v>
      </c>
      <c r="X18" s="167">
        <v>22471.43</v>
      </c>
      <c r="Y18" s="167" t="s">
        <v>27</v>
      </c>
      <c r="Z18" s="166">
        <v>22471.43</v>
      </c>
      <c r="AA18" s="165">
        <v>390507</v>
      </c>
    </row>
    <row r="19" spans="1:27" ht="15.75" hidden="1" customHeight="1" x14ac:dyDescent="0.2">
      <c r="A19" s="174" t="s">
        <v>905</v>
      </c>
      <c r="B19" s="173" t="s">
        <v>32</v>
      </c>
      <c r="C19" s="170" t="s">
        <v>48</v>
      </c>
      <c r="D19" s="172" t="s">
        <v>461</v>
      </c>
      <c r="E19" s="171" t="s">
        <v>462</v>
      </c>
      <c r="F19" s="170" t="s">
        <v>781</v>
      </c>
      <c r="G19" s="169" t="s">
        <v>464</v>
      </c>
      <c r="H19" s="169" t="s">
        <v>906</v>
      </c>
      <c r="I19" s="168">
        <v>0</v>
      </c>
      <c r="J19" s="168">
        <v>0</v>
      </c>
      <c r="K19" s="168">
        <v>0</v>
      </c>
      <c r="L19" s="168">
        <v>0</v>
      </c>
      <c r="M19" s="167">
        <v>0</v>
      </c>
      <c r="N19" s="168">
        <v>0</v>
      </c>
      <c r="O19" s="168">
        <v>0</v>
      </c>
      <c r="P19" s="167">
        <v>0</v>
      </c>
      <c r="Q19" s="167">
        <v>236.13</v>
      </c>
      <c r="R19" s="167">
        <v>0</v>
      </c>
      <c r="S19" s="167">
        <v>0</v>
      </c>
      <c r="T19" s="167">
        <v>0</v>
      </c>
      <c r="U19" s="167">
        <v>236.13</v>
      </c>
      <c r="V19" s="167">
        <v>236.13</v>
      </c>
      <c r="W19" s="167">
        <v>0.97</v>
      </c>
      <c r="X19" s="167">
        <v>235.16</v>
      </c>
      <c r="Y19" s="167" t="s">
        <v>27</v>
      </c>
      <c r="Z19" s="166">
        <v>235.16</v>
      </c>
      <c r="AA19" s="165">
        <v>4087</v>
      </c>
    </row>
    <row r="20" spans="1:27" ht="15.75" hidden="1" customHeight="1" x14ac:dyDescent="0.2">
      <c r="A20" s="174" t="s">
        <v>905</v>
      </c>
      <c r="B20" s="173" t="s">
        <v>32</v>
      </c>
      <c r="C20" s="170" t="s">
        <v>48</v>
      </c>
      <c r="D20" s="172" t="s">
        <v>500</v>
      </c>
      <c r="E20" s="171" t="s">
        <v>501</v>
      </c>
      <c r="F20" s="170" t="s">
        <v>781</v>
      </c>
      <c r="G20" s="169" t="s">
        <v>503</v>
      </c>
      <c r="H20" s="169" t="s">
        <v>906</v>
      </c>
      <c r="I20" s="168">
        <v>0</v>
      </c>
      <c r="J20" s="168">
        <v>0</v>
      </c>
      <c r="K20" s="168">
        <v>0</v>
      </c>
      <c r="L20" s="168">
        <v>0</v>
      </c>
      <c r="M20" s="167">
        <v>0</v>
      </c>
      <c r="N20" s="168">
        <v>0</v>
      </c>
      <c r="O20" s="168">
        <v>0</v>
      </c>
      <c r="P20" s="167">
        <v>0</v>
      </c>
      <c r="Q20" s="167">
        <v>199.06</v>
      </c>
      <c r="R20" s="167">
        <v>0</v>
      </c>
      <c r="S20" s="167">
        <v>0</v>
      </c>
      <c r="T20" s="167">
        <v>0</v>
      </c>
      <c r="U20" s="167">
        <v>199.06</v>
      </c>
      <c r="V20" s="167">
        <v>199.06</v>
      </c>
      <c r="W20" s="167">
        <v>1.34</v>
      </c>
      <c r="X20" s="167">
        <v>197.72</v>
      </c>
      <c r="Y20" s="167" t="s">
        <v>27</v>
      </c>
      <c r="Z20" s="166">
        <v>197.72</v>
      </c>
      <c r="AA20" s="165">
        <v>3436</v>
      </c>
    </row>
    <row r="21" spans="1:27" ht="15.75" hidden="1" customHeight="1" x14ac:dyDescent="0.2">
      <c r="A21" s="174" t="s">
        <v>905</v>
      </c>
      <c r="B21" s="173" t="s">
        <v>32</v>
      </c>
      <c r="C21" s="170" t="s">
        <v>48</v>
      </c>
      <c r="D21" s="172" t="s">
        <v>216</v>
      </c>
      <c r="E21" s="171" t="s">
        <v>217</v>
      </c>
      <c r="F21" s="170" t="s">
        <v>781</v>
      </c>
      <c r="G21" s="169" t="s">
        <v>219</v>
      </c>
      <c r="H21" s="169" t="s">
        <v>906</v>
      </c>
      <c r="I21" s="168">
        <v>0</v>
      </c>
      <c r="J21" s="168">
        <v>0</v>
      </c>
      <c r="K21" s="168">
        <v>0</v>
      </c>
      <c r="L21" s="168">
        <v>0</v>
      </c>
      <c r="M21" s="167">
        <v>0</v>
      </c>
      <c r="N21" s="168">
        <v>0</v>
      </c>
      <c r="O21" s="168">
        <v>0</v>
      </c>
      <c r="P21" s="167">
        <v>0</v>
      </c>
      <c r="Q21" s="167">
        <v>1148.24</v>
      </c>
      <c r="R21" s="167">
        <v>0</v>
      </c>
      <c r="S21" s="167">
        <v>0</v>
      </c>
      <c r="T21" s="167">
        <v>0</v>
      </c>
      <c r="U21" s="167">
        <v>1148.24</v>
      </c>
      <c r="V21" s="167">
        <v>1148.24</v>
      </c>
      <c r="W21" s="167">
        <v>0</v>
      </c>
      <c r="X21" s="167">
        <v>1148.24</v>
      </c>
      <c r="Y21" s="167" t="s">
        <v>27</v>
      </c>
      <c r="Z21" s="166">
        <v>1148.24</v>
      </c>
      <c r="AA21" s="165">
        <v>19954</v>
      </c>
    </row>
    <row r="22" spans="1:27" ht="15.75" hidden="1" customHeight="1" x14ac:dyDescent="0.2">
      <c r="A22" s="174" t="s">
        <v>905</v>
      </c>
      <c r="B22" s="173" t="s">
        <v>32</v>
      </c>
      <c r="C22" s="170" t="s">
        <v>48</v>
      </c>
      <c r="D22" s="172" t="s">
        <v>191</v>
      </c>
      <c r="E22" s="171" t="s">
        <v>192</v>
      </c>
      <c r="F22" s="170" t="s">
        <v>781</v>
      </c>
      <c r="G22" s="169" t="s">
        <v>194</v>
      </c>
      <c r="H22" s="169" t="s">
        <v>906</v>
      </c>
      <c r="I22" s="168">
        <v>0</v>
      </c>
      <c r="J22" s="168">
        <v>0</v>
      </c>
      <c r="K22" s="168">
        <v>0</v>
      </c>
      <c r="L22" s="168">
        <v>0</v>
      </c>
      <c r="M22" s="167">
        <v>0</v>
      </c>
      <c r="N22" s="168">
        <v>0</v>
      </c>
      <c r="O22" s="168">
        <v>0</v>
      </c>
      <c r="P22" s="167">
        <v>0</v>
      </c>
      <c r="Q22" s="167">
        <v>1574.05</v>
      </c>
      <c r="R22" s="167">
        <v>0</v>
      </c>
      <c r="S22" s="167">
        <v>0</v>
      </c>
      <c r="T22" s="167">
        <v>0</v>
      </c>
      <c r="U22" s="167">
        <v>1574.05</v>
      </c>
      <c r="V22" s="167">
        <v>1574.05</v>
      </c>
      <c r="W22" s="167">
        <v>0</v>
      </c>
      <c r="X22" s="167">
        <v>1574.05</v>
      </c>
      <c r="Y22" s="167" t="s">
        <v>27</v>
      </c>
      <c r="Z22" s="166">
        <v>1574.05</v>
      </c>
      <c r="AA22" s="165">
        <v>27354</v>
      </c>
    </row>
    <row r="23" spans="1:27" ht="15.75" hidden="1" customHeight="1" x14ac:dyDescent="0.2">
      <c r="A23" s="174" t="s">
        <v>905</v>
      </c>
      <c r="B23" s="173" t="s">
        <v>32</v>
      </c>
      <c r="C23" s="170" t="s">
        <v>48</v>
      </c>
      <c r="D23" s="172" t="s">
        <v>186</v>
      </c>
      <c r="E23" s="171" t="s">
        <v>187</v>
      </c>
      <c r="F23" s="170" t="s">
        <v>781</v>
      </c>
      <c r="G23" s="169" t="s">
        <v>189</v>
      </c>
      <c r="H23" s="169" t="s">
        <v>906</v>
      </c>
      <c r="I23" s="168">
        <v>0</v>
      </c>
      <c r="J23" s="168">
        <v>0</v>
      </c>
      <c r="K23" s="168">
        <v>0</v>
      </c>
      <c r="L23" s="168">
        <v>0</v>
      </c>
      <c r="M23" s="167">
        <v>0</v>
      </c>
      <c r="N23" s="168">
        <v>0</v>
      </c>
      <c r="O23" s="168">
        <v>0</v>
      </c>
      <c r="P23" s="167">
        <v>0</v>
      </c>
      <c r="Q23" s="167">
        <v>866.6</v>
      </c>
      <c r="R23" s="167">
        <v>0</v>
      </c>
      <c r="S23" s="167">
        <v>0</v>
      </c>
      <c r="T23" s="167">
        <v>0</v>
      </c>
      <c r="U23" s="167">
        <v>866.6</v>
      </c>
      <c r="V23" s="167">
        <v>866.6</v>
      </c>
      <c r="W23" s="167">
        <v>0</v>
      </c>
      <c r="X23" s="167">
        <v>866.6</v>
      </c>
      <c r="Y23" s="167" t="s">
        <v>27</v>
      </c>
      <c r="Z23" s="166">
        <v>866.6</v>
      </c>
      <c r="AA23" s="165">
        <v>15060</v>
      </c>
    </row>
    <row r="24" spans="1:27" ht="15.75" hidden="1" customHeight="1" x14ac:dyDescent="0.2">
      <c r="A24" s="174" t="s">
        <v>905</v>
      </c>
      <c r="B24" s="173" t="s">
        <v>32</v>
      </c>
      <c r="C24" s="170" t="s">
        <v>48</v>
      </c>
      <c r="D24" s="172" t="s">
        <v>221</v>
      </c>
      <c r="E24" s="171" t="s">
        <v>222</v>
      </c>
      <c r="F24" s="170" t="s">
        <v>781</v>
      </c>
      <c r="G24" s="169" t="s">
        <v>224</v>
      </c>
      <c r="H24" s="169" t="s">
        <v>906</v>
      </c>
      <c r="I24" s="168">
        <v>0</v>
      </c>
      <c r="J24" s="168">
        <v>0</v>
      </c>
      <c r="K24" s="168">
        <v>0</v>
      </c>
      <c r="L24" s="168">
        <v>0</v>
      </c>
      <c r="M24" s="167">
        <v>0</v>
      </c>
      <c r="N24" s="168">
        <v>0</v>
      </c>
      <c r="O24" s="168">
        <v>0</v>
      </c>
      <c r="P24" s="167">
        <v>0</v>
      </c>
      <c r="Q24" s="167">
        <v>1446.75</v>
      </c>
      <c r="R24" s="167">
        <v>0</v>
      </c>
      <c r="S24" s="167">
        <v>0</v>
      </c>
      <c r="T24" s="167">
        <v>0</v>
      </c>
      <c r="U24" s="167">
        <v>1446.75</v>
      </c>
      <c r="V24" s="167">
        <v>1446.75</v>
      </c>
      <c r="W24" s="167">
        <v>0</v>
      </c>
      <c r="X24" s="167">
        <v>1446.75</v>
      </c>
      <c r="Y24" s="167" t="s">
        <v>27</v>
      </c>
      <c r="Z24" s="166">
        <v>1446.75</v>
      </c>
      <c r="AA24" s="165">
        <v>25142</v>
      </c>
    </row>
    <row r="25" spans="1:27" ht="15.75" hidden="1" customHeight="1" x14ac:dyDescent="0.2">
      <c r="A25" s="174" t="s">
        <v>905</v>
      </c>
      <c r="B25" s="173" t="s">
        <v>32</v>
      </c>
      <c r="C25" s="170" t="s">
        <v>48</v>
      </c>
      <c r="D25" s="172" t="s">
        <v>301</v>
      </c>
      <c r="E25" s="171" t="s">
        <v>302</v>
      </c>
      <c r="F25" s="170" t="s">
        <v>781</v>
      </c>
      <c r="G25" s="169" t="s">
        <v>304</v>
      </c>
      <c r="H25" s="169" t="s">
        <v>906</v>
      </c>
      <c r="I25" s="168">
        <v>0</v>
      </c>
      <c r="J25" s="168">
        <v>0</v>
      </c>
      <c r="K25" s="168">
        <v>0</v>
      </c>
      <c r="L25" s="168">
        <v>0</v>
      </c>
      <c r="M25" s="167">
        <v>0</v>
      </c>
      <c r="N25" s="168">
        <v>0</v>
      </c>
      <c r="O25" s="168">
        <v>0</v>
      </c>
      <c r="P25" s="167">
        <v>0</v>
      </c>
      <c r="Q25" s="167">
        <v>911.22</v>
      </c>
      <c r="R25" s="167">
        <v>0</v>
      </c>
      <c r="S25" s="167">
        <v>0</v>
      </c>
      <c r="T25" s="167">
        <v>0</v>
      </c>
      <c r="U25" s="167">
        <v>911.22</v>
      </c>
      <c r="V25" s="167">
        <v>911.22</v>
      </c>
      <c r="W25" s="167">
        <v>0</v>
      </c>
      <c r="X25" s="167">
        <v>911.22</v>
      </c>
      <c r="Y25" s="167" t="s">
        <v>27</v>
      </c>
      <c r="Z25" s="166">
        <v>911.22</v>
      </c>
      <c r="AA25" s="165">
        <v>15835</v>
      </c>
    </row>
    <row r="26" spans="1:27" ht="15.75" customHeight="1" x14ac:dyDescent="0.2">
      <c r="A26" s="174" t="s">
        <v>905</v>
      </c>
      <c r="B26" s="173" t="s">
        <v>32</v>
      </c>
      <c r="C26" s="170" t="s">
        <v>51</v>
      </c>
      <c r="D26" s="172" t="s">
        <v>26</v>
      </c>
      <c r="E26" s="171" t="s">
        <v>27</v>
      </c>
      <c r="F26" s="170" t="s">
        <v>27</v>
      </c>
      <c r="G26" s="169" t="s">
        <v>52</v>
      </c>
      <c r="H26" s="169" t="s">
        <v>904</v>
      </c>
      <c r="I26" s="168">
        <v>2956.25</v>
      </c>
      <c r="J26" s="168">
        <v>0</v>
      </c>
      <c r="K26" s="168">
        <v>0</v>
      </c>
      <c r="L26" s="168">
        <v>0</v>
      </c>
      <c r="M26" s="167">
        <v>2956.25</v>
      </c>
      <c r="N26" s="168">
        <v>0</v>
      </c>
      <c r="O26" s="168">
        <v>0</v>
      </c>
      <c r="P26" s="167">
        <v>0</v>
      </c>
      <c r="Q26" s="167">
        <v>0</v>
      </c>
      <c r="R26" s="167">
        <v>0</v>
      </c>
      <c r="S26" s="167">
        <v>0</v>
      </c>
      <c r="T26" s="167">
        <v>0</v>
      </c>
      <c r="U26" s="167">
        <v>0</v>
      </c>
      <c r="V26" s="167">
        <v>2956.25</v>
      </c>
      <c r="W26" s="167">
        <v>0</v>
      </c>
      <c r="X26" s="167">
        <v>2956.25</v>
      </c>
      <c r="Y26" s="167" t="s">
        <v>27</v>
      </c>
      <c r="Z26" s="166">
        <v>2956.25</v>
      </c>
      <c r="AA26" s="165">
        <v>51373</v>
      </c>
    </row>
    <row r="27" spans="1:27" ht="15.75" customHeight="1" x14ac:dyDescent="0.2">
      <c r="A27" s="174" t="s">
        <v>905</v>
      </c>
      <c r="B27" s="173" t="s">
        <v>32</v>
      </c>
      <c r="C27" s="170" t="s">
        <v>54</v>
      </c>
      <c r="D27" s="172" t="s">
        <v>26</v>
      </c>
      <c r="E27" s="171" t="s">
        <v>27</v>
      </c>
      <c r="F27" s="170" t="s">
        <v>27</v>
      </c>
      <c r="G27" s="169" t="s">
        <v>55</v>
      </c>
      <c r="H27" s="169" t="s">
        <v>906</v>
      </c>
      <c r="I27" s="168">
        <v>141.59</v>
      </c>
      <c r="J27" s="168">
        <v>0</v>
      </c>
      <c r="K27" s="168">
        <v>0</v>
      </c>
      <c r="L27" s="168">
        <v>0</v>
      </c>
      <c r="M27" s="167">
        <v>141.59</v>
      </c>
      <c r="N27" s="168">
        <v>0</v>
      </c>
      <c r="O27" s="168">
        <v>0</v>
      </c>
      <c r="P27" s="167">
        <v>0</v>
      </c>
      <c r="Q27" s="167">
        <v>0</v>
      </c>
      <c r="R27" s="167">
        <v>0</v>
      </c>
      <c r="S27" s="167">
        <v>0</v>
      </c>
      <c r="T27" s="167">
        <v>0</v>
      </c>
      <c r="U27" s="167">
        <v>0</v>
      </c>
      <c r="V27" s="167">
        <v>141.59</v>
      </c>
      <c r="W27" s="167">
        <v>0</v>
      </c>
      <c r="X27" s="167">
        <v>141.59</v>
      </c>
      <c r="Y27" s="167" t="s">
        <v>27</v>
      </c>
      <c r="Z27" s="166">
        <v>141.59</v>
      </c>
      <c r="AA27" s="165">
        <v>2461</v>
      </c>
    </row>
    <row r="28" spans="1:27" ht="15.75" customHeight="1" x14ac:dyDescent="0.2">
      <c r="A28" s="174" t="s">
        <v>905</v>
      </c>
      <c r="B28" s="173" t="s">
        <v>32</v>
      </c>
      <c r="C28" s="170" t="s">
        <v>57</v>
      </c>
      <c r="D28" s="172" t="s">
        <v>26</v>
      </c>
      <c r="E28" s="171" t="s">
        <v>27</v>
      </c>
      <c r="F28" s="170" t="s">
        <v>27</v>
      </c>
      <c r="G28" s="169" t="s">
        <v>58</v>
      </c>
      <c r="H28" s="169" t="s">
        <v>906</v>
      </c>
      <c r="I28" s="168">
        <v>4142.57</v>
      </c>
      <c r="J28" s="168">
        <v>0</v>
      </c>
      <c r="K28" s="168">
        <v>0</v>
      </c>
      <c r="L28" s="168">
        <v>0</v>
      </c>
      <c r="M28" s="167">
        <v>4142.57</v>
      </c>
      <c r="N28" s="168">
        <v>0</v>
      </c>
      <c r="O28" s="168">
        <v>0</v>
      </c>
      <c r="P28" s="167">
        <v>0</v>
      </c>
      <c r="Q28" s="167">
        <v>0</v>
      </c>
      <c r="R28" s="167">
        <v>0</v>
      </c>
      <c r="S28" s="167">
        <v>0</v>
      </c>
      <c r="T28" s="167">
        <v>0</v>
      </c>
      <c r="U28" s="167">
        <v>0</v>
      </c>
      <c r="V28" s="167">
        <v>4142.57</v>
      </c>
      <c r="W28" s="167">
        <v>0</v>
      </c>
      <c r="X28" s="167">
        <v>4142.57</v>
      </c>
      <c r="Y28" s="167" t="s">
        <v>27</v>
      </c>
      <c r="Z28" s="166">
        <v>4142.57</v>
      </c>
      <c r="AA28" s="165">
        <v>71989</v>
      </c>
    </row>
    <row r="29" spans="1:27" ht="15.75" customHeight="1" x14ac:dyDescent="0.2">
      <c r="A29" s="174" t="s">
        <v>905</v>
      </c>
      <c r="B29" s="173" t="s">
        <v>32</v>
      </c>
      <c r="C29" s="170" t="s">
        <v>60</v>
      </c>
      <c r="D29" s="172" t="s">
        <v>26</v>
      </c>
      <c r="E29" s="171" t="s">
        <v>27</v>
      </c>
      <c r="F29" s="170" t="s">
        <v>27</v>
      </c>
      <c r="G29" s="169" t="s">
        <v>61</v>
      </c>
      <c r="H29" s="169" t="s">
        <v>906</v>
      </c>
      <c r="I29" s="168">
        <v>5121.1100000000006</v>
      </c>
      <c r="J29" s="168">
        <v>0</v>
      </c>
      <c r="K29" s="168">
        <v>58.11</v>
      </c>
      <c r="L29" s="168">
        <v>0</v>
      </c>
      <c r="M29" s="167">
        <v>5179.22</v>
      </c>
      <c r="N29" s="168">
        <v>0</v>
      </c>
      <c r="O29" s="168">
        <v>0</v>
      </c>
      <c r="P29" s="167">
        <v>0</v>
      </c>
      <c r="Q29" s="167">
        <v>0</v>
      </c>
      <c r="R29" s="167">
        <v>0</v>
      </c>
      <c r="S29" s="167">
        <v>0</v>
      </c>
      <c r="T29" s="167">
        <v>0</v>
      </c>
      <c r="U29" s="167">
        <v>0</v>
      </c>
      <c r="V29" s="167">
        <v>5179.22</v>
      </c>
      <c r="W29" s="167">
        <v>0</v>
      </c>
      <c r="X29" s="167">
        <v>5179.22</v>
      </c>
      <c r="Y29" s="167" t="s">
        <v>27</v>
      </c>
      <c r="Z29" s="166">
        <v>5179.22</v>
      </c>
      <c r="AA29" s="165">
        <v>90004</v>
      </c>
    </row>
    <row r="30" spans="1:27" ht="15.75" customHeight="1" x14ac:dyDescent="0.2">
      <c r="A30" s="174" t="s">
        <v>905</v>
      </c>
      <c r="B30" s="173" t="s">
        <v>32</v>
      </c>
      <c r="C30" s="170" t="s">
        <v>63</v>
      </c>
      <c r="D30" s="172" t="s">
        <v>26</v>
      </c>
      <c r="E30" s="171" t="s">
        <v>27</v>
      </c>
      <c r="F30" s="170" t="s">
        <v>27</v>
      </c>
      <c r="G30" s="169" t="s">
        <v>64</v>
      </c>
      <c r="H30" s="169" t="s">
        <v>906</v>
      </c>
      <c r="I30" s="168">
        <v>14344.28</v>
      </c>
      <c r="J30" s="168">
        <v>0</v>
      </c>
      <c r="K30" s="168">
        <v>0</v>
      </c>
      <c r="L30" s="168">
        <v>0</v>
      </c>
      <c r="M30" s="167">
        <v>14344.28</v>
      </c>
      <c r="N30" s="168">
        <v>0</v>
      </c>
      <c r="O30" s="168">
        <v>0</v>
      </c>
      <c r="P30" s="167">
        <v>0</v>
      </c>
      <c r="Q30" s="167">
        <v>0</v>
      </c>
      <c r="R30" s="167">
        <v>0</v>
      </c>
      <c r="S30" s="167">
        <v>0</v>
      </c>
      <c r="T30" s="167">
        <v>0</v>
      </c>
      <c r="U30" s="167">
        <v>0</v>
      </c>
      <c r="V30" s="167">
        <v>14344.28</v>
      </c>
      <c r="W30" s="167">
        <v>0</v>
      </c>
      <c r="X30" s="167">
        <v>14344.28</v>
      </c>
      <c r="Y30" s="167" t="s">
        <v>27</v>
      </c>
      <c r="Z30" s="166">
        <v>14344.28</v>
      </c>
      <c r="AA30" s="165">
        <v>249274</v>
      </c>
    </row>
    <row r="31" spans="1:27" ht="15.75" hidden="1" customHeight="1" x14ac:dyDescent="0.2">
      <c r="A31" s="174" t="s">
        <v>905</v>
      </c>
      <c r="B31" s="173" t="s">
        <v>32</v>
      </c>
      <c r="C31" s="170" t="s">
        <v>63</v>
      </c>
      <c r="D31" s="172" t="s">
        <v>336</v>
      </c>
      <c r="E31" s="171" t="s">
        <v>337</v>
      </c>
      <c r="F31" s="170" t="s">
        <v>781</v>
      </c>
      <c r="G31" s="169" t="s">
        <v>339</v>
      </c>
      <c r="H31" s="169" t="s">
        <v>906</v>
      </c>
      <c r="I31" s="168">
        <v>0</v>
      </c>
      <c r="J31" s="168">
        <v>0</v>
      </c>
      <c r="K31" s="168">
        <v>0</v>
      </c>
      <c r="L31" s="168">
        <v>0</v>
      </c>
      <c r="M31" s="167">
        <v>0</v>
      </c>
      <c r="N31" s="168">
        <v>0</v>
      </c>
      <c r="O31" s="168">
        <v>0</v>
      </c>
      <c r="P31" s="167">
        <v>0</v>
      </c>
      <c r="Q31" s="167">
        <v>1156.68</v>
      </c>
      <c r="R31" s="167">
        <v>0</v>
      </c>
      <c r="S31" s="167">
        <v>0</v>
      </c>
      <c r="T31" s="167">
        <v>0</v>
      </c>
      <c r="U31" s="167">
        <v>1156.68</v>
      </c>
      <c r="V31" s="167">
        <v>1156.68</v>
      </c>
      <c r="W31" s="167">
        <v>289.06</v>
      </c>
      <c r="X31" s="167">
        <v>867.62000000000012</v>
      </c>
      <c r="Y31" s="167" t="s">
        <v>27</v>
      </c>
      <c r="Z31" s="166">
        <v>867.62000000000012</v>
      </c>
      <c r="AA31" s="165">
        <v>15077</v>
      </c>
    </row>
    <row r="32" spans="1:27" ht="15.75" hidden="1" customHeight="1" x14ac:dyDescent="0.2">
      <c r="A32" s="174" t="s">
        <v>905</v>
      </c>
      <c r="B32" s="173" t="s">
        <v>32</v>
      </c>
      <c r="C32" s="170" t="s">
        <v>63</v>
      </c>
      <c r="D32" s="172" t="s">
        <v>590</v>
      </c>
      <c r="E32" s="171" t="s">
        <v>591</v>
      </c>
      <c r="F32" s="170" t="s">
        <v>781</v>
      </c>
      <c r="G32" s="169" t="s">
        <v>593</v>
      </c>
      <c r="H32" s="169" t="s">
        <v>906</v>
      </c>
      <c r="I32" s="168">
        <v>0</v>
      </c>
      <c r="J32" s="168">
        <v>0</v>
      </c>
      <c r="K32" s="168">
        <v>0</v>
      </c>
      <c r="L32" s="168">
        <v>0</v>
      </c>
      <c r="M32" s="167">
        <v>0</v>
      </c>
      <c r="N32" s="168">
        <v>0</v>
      </c>
      <c r="O32" s="168">
        <v>0</v>
      </c>
      <c r="P32" s="167">
        <v>0</v>
      </c>
      <c r="Q32" s="167">
        <v>724.62</v>
      </c>
      <c r="R32" s="167">
        <v>0</v>
      </c>
      <c r="S32" s="167">
        <v>0</v>
      </c>
      <c r="T32" s="167">
        <v>0</v>
      </c>
      <c r="U32" s="167">
        <v>724.62</v>
      </c>
      <c r="V32" s="167">
        <v>724.62</v>
      </c>
      <c r="W32" s="167">
        <v>0</v>
      </c>
      <c r="X32" s="167">
        <v>724.62</v>
      </c>
      <c r="Y32" s="167" t="s">
        <v>27</v>
      </c>
      <c r="Z32" s="166">
        <v>724.62</v>
      </c>
      <c r="AA32" s="165">
        <v>12592</v>
      </c>
    </row>
    <row r="33" spans="1:27" ht="15.75" customHeight="1" x14ac:dyDescent="0.2">
      <c r="A33" s="174" t="s">
        <v>905</v>
      </c>
      <c r="B33" s="173" t="s">
        <v>32</v>
      </c>
      <c r="C33" s="170" t="s">
        <v>66</v>
      </c>
      <c r="D33" s="172" t="s">
        <v>26</v>
      </c>
      <c r="E33" s="171" t="s">
        <v>27</v>
      </c>
      <c r="F33" s="170" t="s">
        <v>27</v>
      </c>
      <c r="G33" s="169" t="s">
        <v>67</v>
      </c>
      <c r="H33" s="169" t="s">
        <v>909</v>
      </c>
      <c r="I33" s="168">
        <v>6924.38</v>
      </c>
      <c r="J33" s="168">
        <v>0</v>
      </c>
      <c r="K33" s="168">
        <v>0</v>
      </c>
      <c r="L33" s="168">
        <v>0</v>
      </c>
      <c r="M33" s="167">
        <v>6924.38</v>
      </c>
      <c r="N33" s="168">
        <v>0</v>
      </c>
      <c r="O33" s="168">
        <v>0</v>
      </c>
      <c r="P33" s="167">
        <v>0</v>
      </c>
      <c r="Q33" s="167">
        <v>0</v>
      </c>
      <c r="R33" s="167">
        <v>0</v>
      </c>
      <c r="S33" s="167">
        <v>0</v>
      </c>
      <c r="T33" s="167">
        <v>0</v>
      </c>
      <c r="U33" s="167">
        <v>0</v>
      </c>
      <c r="V33" s="167">
        <v>6924.38</v>
      </c>
      <c r="W33" s="167">
        <v>0</v>
      </c>
      <c r="X33" s="167">
        <v>6924.38</v>
      </c>
      <c r="Y33" s="167" t="s">
        <v>27</v>
      </c>
      <c r="Z33" s="166">
        <v>6924.38</v>
      </c>
      <c r="AA33" s="165">
        <v>120331</v>
      </c>
    </row>
    <row r="34" spans="1:27" ht="15.75" hidden="1" customHeight="1" x14ac:dyDescent="0.2">
      <c r="A34" s="174" t="s">
        <v>905</v>
      </c>
      <c r="B34" s="173" t="s">
        <v>32</v>
      </c>
      <c r="C34" s="170" t="s">
        <v>66</v>
      </c>
      <c r="D34" s="172" t="s">
        <v>206</v>
      </c>
      <c r="E34" s="171" t="s">
        <v>207</v>
      </c>
      <c r="F34" s="170" t="s">
        <v>781</v>
      </c>
      <c r="G34" s="169" t="s">
        <v>209</v>
      </c>
      <c r="H34" s="169" t="s">
        <v>909</v>
      </c>
      <c r="I34" s="168">
        <v>0</v>
      </c>
      <c r="J34" s="168">
        <v>0</v>
      </c>
      <c r="K34" s="168">
        <v>0</v>
      </c>
      <c r="L34" s="168">
        <v>0</v>
      </c>
      <c r="M34" s="167">
        <v>0</v>
      </c>
      <c r="N34" s="168">
        <v>0</v>
      </c>
      <c r="O34" s="168">
        <v>0</v>
      </c>
      <c r="P34" s="167">
        <v>0</v>
      </c>
      <c r="Q34" s="167">
        <v>856.53</v>
      </c>
      <c r="R34" s="167">
        <v>0</v>
      </c>
      <c r="S34" s="167">
        <v>0</v>
      </c>
      <c r="T34" s="167">
        <v>0</v>
      </c>
      <c r="U34" s="167">
        <v>856.53</v>
      </c>
      <c r="V34" s="167">
        <v>856.53</v>
      </c>
      <c r="W34" s="167">
        <v>413.46</v>
      </c>
      <c r="X34" s="167">
        <v>443.07</v>
      </c>
      <c r="Y34" s="167" t="s">
        <v>27</v>
      </c>
      <c r="Z34" s="166">
        <v>443.07</v>
      </c>
      <c r="AA34" s="165">
        <v>7700</v>
      </c>
    </row>
    <row r="35" spans="1:27" ht="15.75" customHeight="1" x14ac:dyDescent="0.2">
      <c r="A35" s="174" t="s">
        <v>905</v>
      </c>
      <c r="B35" s="173" t="s">
        <v>32</v>
      </c>
      <c r="C35" s="170" t="s">
        <v>69</v>
      </c>
      <c r="D35" s="172" t="s">
        <v>26</v>
      </c>
      <c r="E35" s="171" t="s">
        <v>27</v>
      </c>
      <c r="F35" s="170" t="s">
        <v>27</v>
      </c>
      <c r="G35" s="169" t="s">
        <v>70</v>
      </c>
      <c r="H35" s="169" t="s">
        <v>906</v>
      </c>
      <c r="I35" s="168">
        <v>5088.7299999999996</v>
      </c>
      <c r="J35" s="168">
        <v>0</v>
      </c>
      <c r="K35" s="168">
        <v>0</v>
      </c>
      <c r="L35" s="168">
        <v>0</v>
      </c>
      <c r="M35" s="167">
        <v>5088.7299999999996</v>
      </c>
      <c r="N35" s="168">
        <v>0</v>
      </c>
      <c r="O35" s="168">
        <v>0</v>
      </c>
      <c r="P35" s="167">
        <v>0</v>
      </c>
      <c r="Q35" s="167">
        <v>0</v>
      </c>
      <c r="R35" s="167">
        <v>0</v>
      </c>
      <c r="S35" s="167">
        <v>0</v>
      </c>
      <c r="T35" s="167">
        <v>0</v>
      </c>
      <c r="U35" s="167">
        <v>0</v>
      </c>
      <c r="V35" s="167">
        <v>5088.7299999999996</v>
      </c>
      <c r="W35" s="167">
        <v>0</v>
      </c>
      <c r="X35" s="167">
        <v>5088.7299999999996</v>
      </c>
      <c r="Y35" s="167" t="s">
        <v>27</v>
      </c>
      <c r="Z35" s="166">
        <v>5088.7299999999996</v>
      </c>
      <c r="AA35" s="165">
        <v>88432</v>
      </c>
    </row>
    <row r="36" spans="1:27" ht="15.75" customHeight="1" x14ac:dyDescent="0.2">
      <c r="A36" s="174" t="s">
        <v>905</v>
      </c>
      <c r="B36" s="173" t="s">
        <v>32</v>
      </c>
      <c r="C36" s="170" t="s">
        <v>72</v>
      </c>
      <c r="D36" s="172" t="s">
        <v>26</v>
      </c>
      <c r="E36" s="171" t="s">
        <v>27</v>
      </c>
      <c r="F36" s="170" t="s">
        <v>27</v>
      </c>
      <c r="G36" s="169" t="s">
        <v>73</v>
      </c>
      <c r="H36" s="169" t="s">
        <v>909</v>
      </c>
      <c r="I36" s="168">
        <v>2042.42</v>
      </c>
      <c r="J36" s="168">
        <v>0</v>
      </c>
      <c r="K36" s="168">
        <v>0</v>
      </c>
      <c r="L36" s="168">
        <v>0</v>
      </c>
      <c r="M36" s="167">
        <v>2042.42</v>
      </c>
      <c r="N36" s="168">
        <v>0</v>
      </c>
      <c r="O36" s="168">
        <v>0</v>
      </c>
      <c r="P36" s="167">
        <v>0</v>
      </c>
      <c r="Q36" s="167">
        <v>0</v>
      </c>
      <c r="R36" s="167">
        <v>0</v>
      </c>
      <c r="S36" s="167">
        <v>0</v>
      </c>
      <c r="T36" s="167">
        <v>0</v>
      </c>
      <c r="U36" s="167">
        <v>0</v>
      </c>
      <c r="V36" s="167">
        <v>2042.42</v>
      </c>
      <c r="W36" s="167">
        <v>0</v>
      </c>
      <c r="X36" s="167">
        <v>2042.42</v>
      </c>
      <c r="Y36" s="167" t="s">
        <v>27</v>
      </c>
      <c r="Z36" s="166">
        <v>2042.42</v>
      </c>
      <c r="AA36" s="165">
        <v>35493</v>
      </c>
    </row>
    <row r="37" spans="1:27" ht="15.75" customHeight="1" x14ac:dyDescent="0.2">
      <c r="A37" s="174" t="s">
        <v>905</v>
      </c>
      <c r="B37" s="173" t="s">
        <v>32</v>
      </c>
      <c r="C37" s="170" t="s">
        <v>75</v>
      </c>
      <c r="D37" s="172" t="s">
        <v>26</v>
      </c>
      <c r="E37" s="171" t="s">
        <v>27</v>
      </c>
      <c r="F37" s="170" t="s">
        <v>27</v>
      </c>
      <c r="G37" s="169" t="s">
        <v>76</v>
      </c>
      <c r="H37" s="169" t="s">
        <v>909</v>
      </c>
      <c r="I37" s="168">
        <v>15763.8</v>
      </c>
      <c r="J37" s="168">
        <v>0</v>
      </c>
      <c r="K37" s="168">
        <v>0</v>
      </c>
      <c r="L37" s="168">
        <v>0</v>
      </c>
      <c r="M37" s="167">
        <v>15763.8</v>
      </c>
      <c r="N37" s="168">
        <v>0</v>
      </c>
      <c r="O37" s="168">
        <v>0</v>
      </c>
      <c r="P37" s="167">
        <v>0</v>
      </c>
      <c r="Q37" s="167">
        <v>0</v>
      </c>
      <c r="R37" s="167">
        <v>0</v>
      </c>
      <c r="S37" s="167">
        <v>0</v>
      </c>
      <c r="T37" s="167">
        <v>0</v>
      </c>
      <c r="U37" s="167">
        <v>0</v>
      </c>
      <c r="V37" s="167">
        <v>15763.8</v>
      </c>
      <c r="W37" s="167">
        <v>0</v>
      </c>
      <c r="X37" s="167">
        <v>15763.8</v>
      </c>
      <c r="Y37" s="167" t="s">
        <v>27</v>
      </c>
      <c r="Z37" s="166">
        <v>15763.8</v>
      </c>
      <c r="AA37" s="165">
        <v>273942</v>
      </c>
    </row>
    <row r="38" spans="1:27" ht="15.75" hidden="1" customHeight="1" x14ac:dyDescent="0.2">
      <c r="A38" s="174" t="s">
        <v>905</v>
      </c>
      <c r="B38" s="173" t="s">
        <v>32</v>
      </c>
      <c r="C38" s="170" t="s">
        <v>75</v>
      </c>
      <c r="D38" s="172" t="s">
        <v>426</v>
      </c>
      <c r="E38" s="171" t="s">
        <v>427</v>
      </c>
      <c r="F38" s="170" t="s">
        <v>781</v>
      </c>
      <c r="G38" s="169" t="s">
        <v>429</v>
      </c>
      <c r="H38" s="169" t="s">
        <v>909</v>
      </c>
      <c r="I38" s="168">
        <v>0</v>
      </c>
      <c r="J38" s="168">
        <v>0</v>
      </c>
      <c r="K38" s="168">
        <v>0</v>
      </c>
      <c r="L38" s="168">
        <v>0</v>
      </c>
      <c r="M38" s="167">
        <v>0</v>
      </c>
      <c r="N38" s="168">
        <v>0</v>
      </c>
      <c r="O38" s="168">
        <v>0</v>
      </c>
      <c r="P38" s="167">
        <v>0</v>
      </c>
      <c r="Q38" s="167">
        <v>2071.7399999999998</v>
      </c>
      <c r="R38" s="167">
        <v>0</v>
      </c>
      <c r="S38" s="167">
        <v>0</v>
      </c>
      <c r="T38" s="167">
        <v>0</v>
      </c>
      <c r="U38" s="167">
        <v>2071.7399999999998</v>
      </c>
      <c r="V38" s="167">
        <v>2071.7399999999998</v>
      </c>
      <c r="W38" s="167">
        <v>30.29</v>
      </c>
      <c r="X38" s="167">
        <v>2041.4499999999998</v>
      </c>
      <c r="Y38" s="167" t="s">
        <v>27</v>
      </c>
      <c r="Z38" s="166">
        <v>2041.4499999999998</v>
      </c>
      <c r="AA38" s="165">
        <v>35476</v>
      </c>
    </row>
    <row r="39" spans="1:27" ht="15.75" hidden="1" customHeight="1" x14ac:dyDescent="0.2">
      <c r="A39" s="174" t="s">
        <v>905</v>
      </c>
      <c r="B39" s="173" t="s">
        <v>32</v>
      </c>
      <c r="C39" s="170" t="s">
        <v>75</v>
      </c>
      <c r="D39" s="172" t="s">
        <v>226</v>
      </c>
      <c r="E39" s="171" t="s">
        <v>227</v>
      </c>
      <c r="F39" s="170" t="s">
        <v>781</v>
      </c>
      <c r="G39" s="169" t="s">
        <v>229</v>
      </c>
      <c r="H39" s="169" t="s">
        <v>909</v>
      </c>
      <c r="I39" s="168">
        <v>0</v>
      </c>
      <c r="J39" s="168">
        <v>0</v>
      </c>
      <c r="K39" s="168">
        <v>0</v>
      </c>
      <c r="L39" s="168">
        <v>0</v>
      </c>
      <c r="M39" s="167">
        <v>0</v>
      </c>
      <c r="N39" s="168">
        <v>0</v>
      </c>
      <c r="O39" s="168">
        <v>0</v>
      </c>
      <c r="P39" s="167">
        <v>0</v>
      </c>
      <c r="Q39" s="167">
        <v>2377.37</v>
      </c>
      <c r="R39" s="167">
        <v>0</v>
      </c>
      <c r="S39" s="167">
        <v>0</v>
      </c>
      <c r="T39" s="167">
        <v>0</v>
      </c>
      <c r="U39" s="167">
        <v>2377.37</v>
      </c>
      <c r="V39" s="167">
        <v>2377.37</v>
      </c>
      <c r="W39" s="167">
        <v>0</v>
      </c>
      <c r="X39" s="167">
        <v>2377.37</v>
      </c>
      <c r="Y39" s="167" t="s">
        <v>27</v>
      </c>
      <c r="Z39" s="166">
        <v>2377.37</v>
      </c>
      <c r="AA39" s="165">
        <v>41314</v>
      </c>
    </row>
    <row r="40" spans="1:27" ht="15.75" customHeight="1" x14ac:dyDescent="0.2">
      <c r="A40" s="174" t="s">
        <v>905</v>
      </c>
      <c r="B40" s="173" t="s">
        <v>32</v>
      </c>
      <c r="C40" s="170" t="s">
        <v>78</v>
      </c>
      <c r="D40" s="172" t="s">
        <v>26</v>
      </c>
      <c r="E40" s="171" t="s">
        <v>27</v>
      </c>
      <c r="F40" s="170" t="s">
        <v>27</v>
      </c>
      <c r="G40" s="169" t="s">
        <v>79</v>
      </c>
      <c r="H40" s="169" t="s">
        <v>906</v>
      </c>
      <c r="I40" s="168">
        <v>545.66999999999996</v>
      </c>
      <c r="J40" s="168">
        <v>0</v>
      </c>
      <c r="K40" s="168">
        <v>0</v>
      </c>
      <c r="L40" s="168">
        <v>0</v>
      </c>
      <c r="M40" s="167">
        <v>545.66999999999996</v>
      </c>
      <c r="N40" s="168">
        <v>0</v>
      </c>
      <c r="O40" s="168">
        <v>0</v>
      </c>
      <c r="P40" s="167">
        <v>0</v>
      </c>
      <c r="Q40" s="167">
        <v>0</v>
      </c>
      <c r="R40" s="167">
        <v>0</v>
      </c>
      <c r="S40" s="167">
        <v>0</v>
      </c>
      <c r="T40" s="167">
        <v>0</v>
      </c>
      <c r="U40" s="167">
        <v>0</v>
      </c>
      <c r="V40" s="167">
        <v>545.66999999999996</v>
      </c>
      <c r="W40" s="167">
        <v>0</v>
      </c>
      <c r="X40" s="167">
        <v>545.66999999999996</v>
      </c>
      <c r="Y40" s="167" t="s">
        <v>27</v>
      </c>
      <c r="Z40" s="166">
        <v>545.66999999999996</v>
      </c>
      <c r="AA40" s="165">
        <v>9483</v>
      </c>
    </row>
    <row r="41" spans="1:27" ht="15.75" customHeight="1" x14ac:dyDescent="0.2">
      <c r="A41" s="174" t="s">
        <v>905</v>
      </c>
      <c r="B41" s="173" t="s">
        <v>32</v>
      </c>
      <c r="C41" s="170" t="s">
        <v>81</v>
      </c>
      <c r="D41" s="172" t="s">
        <v>26</v>
      </c>
      <c r="E41" s="171" t="s">
        <v>27</v>
      </c>
      <c r="F41" s="170" t="s">
        <v>27</v>
      </c>
      <c r="G41" s="169" t="s">
        <v>82</v>
      </c>
      <c r="H41" s="169" t="s">
        <v>906</v>
      </c>
      <c r="I41" s="168">
        <v>267.97999999999996</v>
      </c>
      <c r="J41" s="168">
        <v>0</v>
      </c>
      <c r="K41" s="168">
        <v>0</v>
      </c>
      <c r="L41" s="168">
        <v>0</v>
      </c>
      <c r="M41" s="167">
        <v>267.97999999999996</v>
      </c>
      <c r="N41" s="168">
        <v>0</v>
      </c>
      <c r="O41" s="168">
        <v>0</v>
      </c>
      <c r="P41" s="167">
        <v>0</v>
      </c>
      <c r="Q41" s="167">
        <v>0</v>
      </c>
      <c r="R41" s="167">
        <v>0</v>
      </c>
      <c r="S41" s="167">
        <v>0</v>
      </c>
      <c r="T41" s="167">
        <v>0</v>
      </c>
      <c r="U41" s="167">
        <v>0</v>
      </c>
      <c r="V41" s="167">
        <v>267.97999999999996</v>
      </c>
      <c r="W41" s="167">
        <v>0</v>
      </c>
      <c r="X41" s="167">
        <v>267.97999999999996</v>
      </c>
      <c r="Y41" s="167" t="s">
        <v>27</v>
      </c>
      <c r="Z41" s="166">
        <v>267.97999999999996</v>
      </c>
      <c r="AA41" s="165">
        <v>4657</v>
      </c>
    </row>
    <row r="42" spans="1:27" ht="15.75" customHeight="1" x14ac:dyDescent="0.2">
      <c r="A42" s="174" t="s">
        <v>905</v>
      </c>
      <c r="B42" s="173" t="s">
        <v>32</v>
      </c>
      <c r="C42" s="170" t="s">
        <v>84</v>
      </c>
      <c r="D42" s="172" t="s">
        <v>26</v>
      </c>
      <c r="E42" s="171" t="s">
        <v>27</v>
      </c>
      <c r="F42" s="170" t="s">
        <v>27</v>
      </c>
      <c r="G42" s="169" t="s">
        <v>85</v>
      </c>
      <c r="H42" s="169" t="s">
        <v>909</v>
      </c>
      <c r="I42" s="168">
        <v>0</v>
      </c>
      <c r="J42" s="168">
        <v>101.06</v>
      </c>
      <c r="K42" s="168">
        <v>0</v>
      </c>
      <c r="L42" s="168">
        <v>0</v>
      </c>
      <c r="M42" s="167">
        <v>101.06</v>
      </c>
      <c r="N42" s="168">
        <v>0</v>
      </c>
      <c r="O42" s="168">
        <v>0</v>
      </c>
      <c r="P42" s="167">
        <v>0</v>
      </c>
      <c r="Q42" s="167">
        <v>0</v>
      </c>
      <c r="R42" s="167">
        <v>0</v>
      </c>
      <c r="S42" s="167">
        <v>0</v>
      </c>
      <c r="T42" s="167">
        <v>0</v>
      </c>
      <c r="U42" s="167">
        <v>0</v>
      </c>
      <c r="V42" s="167">
        <v>101.06</v>
      </c>
      <c r="W42" s="167">
        <v>0</v>
      </c>
      <c r="X42" s="167">
        <v>101.06</v>
      </c>
      <c r="Y42" s="167" t="s">
        <v>27</v>
      </c>
      <c r="Z42" s="166">
        <v>101.06</v>
      </c>
      <c r="AA42" s="165">
        <v>1756</v>
      </c>
    </row>
    <row r="43" spans="1:27" ht="15.75" customHeight="1" x14ac:dyDescent="0.2">
      <c r="A43" s="174" t="s">
        <v>905</v>
      </c>
      <c r="B43" s="173" t="s">
        <v>32</v>
      </c>
      <c r="C43" s="170" t="s">
        <v>87</v>
      </c>
      <c r="D43" s="172" t="s">
        <v>26</v>
      </c>
      <c r="E43" s="171" t="s">
        <v>27</v>
      </c>
      <c r="F43" s="170" t="s">
        <v>27</v>
      </c>
      <c r="G43" s="169" t="s">
        <v>28</v>
      </c>
      <c r="H43" s="169" t="s">
        <v>906</v>
      </c>
      <c r="I43" s="168">
        <v>4876.22</v>
      </c>
      <c r="J43" s="168">
        <v>0</v>
      </c>
      <c r="K43" s="168">
        <v>0</v>
      </c>
      <c r="L43" s="168">
        <v>0</v>
      </c>
      <c r="M43" s="167">
        <v>4876.22</v>
      </c>
      <c r="N43" s="168">
        <v>0</v>
      </c>
      <c r="O43" s="168">
        <v>0</v>
      </c>
      <c r="P43" s="167">
        <v>0</v>
      </c>
      <c r="Q43" s="167">
        <v>0</v>
      </c>
      <c r="R43" s="167">
        <v>0</v>
      </c>
      <c r="S43" s="167">
        <v>0</v>
      </c>
      <c r="T43" s="167">
        <v>0</v>
      </c>
      <c r="U43" s="167">
        <v>0</v>
      </c>
      <c r="V43" s="167">
        <v>4876.22</v>
      </c>
      <c r="W43" s="167">
        <v>0</v>
      </c>
      <c r="X43" s="167">
        <v>4876.22</v>
      </c>
      <c r="Y43" s="167" t="s">
        <v>27</v>
      </c>
      <c r="Z43" s="166">
        <v>4876.22</v>
      </c>
      <c r="AA43" s="165">
        <v>84739</v>
      </c>
    </row>
    <row r="44" spans="1:27" ht="15.75" hidden="1" customHeight="1" x14ac:dyDescent="0.2">
      <c r="A44" s="174" t="s">
        <v>905</v>
      </c>
      <c r="B44" s="173" t="s">
        <v>32</v>
      </c>
      <c r="C44" s="170" t="s">
        <v>87</v>
      </c>
      <c r="D44" s="172" t="s">
        <v>296</v>
      </c>
      <c r="E44" s="171" t="s">
        <v>297</v>
      </c>
      <c r="F44" s="170" t="s">
        <v>781</v>
      </c>
      <c r="G44" s="169" t="s">
        <v>299</v>
      </c>
      <c r="H44" s="169" t="s">
        <v>906</v>
      </c>
      <c r="I44" s="168">
        <v>0</v>
      </c>
      <c r="J44" s="168">
        <v>0</v>
      </c>
      <c r="K44" s="168">
        <v>0</v>
      </c>
      <c r="L44" s="168">
        <v>0</v>
      </c>
      <c r="M44" s="167">
        <v>0</v>
      </c>
      <c r="N44" s="168">
        <v>0</v>
      </c>
      <c r="O44" s="168">
        <v>0</v>
      </c>
      <c r="P44" s="167">
        <v>0</v>
      </c>
      <c r="Q44" s="167">
        <v>103.37</v>
      </c>
      <c r="R44" s="167">
        <v>0</v>
      </c>
      <c r="S44" s="167">
        <v>0</v>
      </c>
      <c r="T44" s="167">
        <v>0</v>
      </c>
      <c r="U44" s="167">
        <v>103.37</v>
      </c>
      <c r="V44" s="167">
        <v>103.37</v>
      </c>
      <c r="W44" s="167">
        <v>0</v>
      </c>
      <c r="X44" s="167">
        <v>103.37</v>
      </c>
      <c r="Y44" s="167" t="s">
        <v>27</v>
      </c>
      <c r="Z44" s="166">
        <v>103.37</v>
      </c>
      <c r="AA44" s="165">
        <v>1796</v>
      </c>
    </row>
    <row r="45" spans="1:27" ht="15.75" customHeight="1" x14ac:dyDescent="0.2">
      <c r="A45" s="174" t="s">
        <v>905</v>
      </c>
      <c r="B45" s="173" t="s">
        <v>32</v>
      </c>
      <c r="C45" s="170" t="s">
        <v>89</v>
      </c>
      <c r="D45" s="172" t="s">
        <v>26</v>
      </c>
      <c r="E45" s="171" t="s">
        <v>27</v>
      </c>
      <c r="F45" s="170" t="s">
        <v>27</v>
      </c>
      <c r="G45" s="169" t="s">
        <v>90</v>
      </c>
      <c r="H45" s="169" t="s">
        <v>906</v>
      </c>
      <c r="I45" s="168">
        <v>11474.5</v>
      </c>
      <c r="J45" s="168">
        <v>0</v>
      </c>
      <c r="K45" s="168">
        <v>0</v>
      </c>
      <c r="L45" s="168">
        <v>0</v>
      </c>
      <c r="M45" s="167">
        <v>11474.5</v>
      </c>
      <c r="N45" s="168">
        <v>0</v>
      </c>
      <c r="O45" s="168">
        <v>0</v>
      </c>
      <c r="P45" s="167">
        <v>0</v>
      </c>
      <c r="Q45" s="167">
        <v>0</v>
      </c>
      <c r="R45" s="167">
        <v>0</v>
      </c>
      <c r="S45" s="167">
        <v>0</v>
      </c>
      <c r="T45" s="167">
        <v>0</v>
      </c>
      <c r="U45" s="167">
        <v>0</v>
      </c>
      <c r="V45" s="167">
        <v>11474.5</v>
      </c>
      <c r="W45" s="167">
        <v>0</v>
      </c>
      <c r="X45" s="167">
        <v>11474.5</v>
      </c>
      <c r="Y45" s="167" t="s">
        <v>27</v>
      </c>
      <c r="Z45" s="166">
        <v>11474.5</v>
      </c>
      <c r="AA45" s="165">
        <v>199403</v>
      </c>
    </row>
    <row r="46" spans="1:27" ht="15.75" hidden="1" customHeight="1" x14ac:dyDescent="0.2">
      <c r="A46" s="174" t="s">
        <v>905</v>
      </c>
      <c r="B46" s="173" t="s">
        <v>32</v>
      </c>
      <c r="C46" s="170" t="s">
        <v>89</v>
      </c>
      <c r="D46" s="172" t="s">
        <v>622</v>
      </c>
      <c r="E46" s="171" t="s">
        <v>623</v>
      </c>
      <c r="F46" s="170" t="s">
        <v>781</v>
      </c>
      <c r="G46" s="169" t="s">
        <v>625</v>
      </c>
      <c r="H46" s="169" t="s">
        <v>906</v>
      </c>
      <c r="I46" s="168">
        <v>0</v>
      </c>
      <c r="J46" s="168">
        <v>0</v>
      </c>
      <c r="K46" s="168">
        <v>0</v>
      </c>
      <c r="L46" s="168">
        <v>0</v>
      </c>
      <c r="M46" s="167">
        <v>0</v>
      </c>
      <c r="N46" s="168">
        <v>0</v>
      </c>
      <c r="O46" s="168">
        <v>0</v>
      </c>
      <c r="P46" s="167">
        <v>0</v>
      </c>
      <c r="Q46" s="167">
        <v>254.51</v>
      </c>
      <c r="R46" s="167">
        <v>0</v>
      </c>
      <c r="S46" s="167">
        <v>0</v>
      </c>
      <c r="T46" s="167">
        <v>0</v>
      </c>
      <c r="U46" s="167">
        <v>254.51</v>
      </c>
      <c r="V46" s="167">
        <v>254.51</v>
      </c>
      <c r="W46" s="167">
        <v>7.33</v>
      </c>
      <c r="X46" s="167">
        <v>247.17999999999998</v>
      </c>
      <c r="Y46" s="167" t="s">
        <v>27</v>
      </c>
      <c r="Z46" s="166">
        <v>247.17999999999998</v>
      </c>
      <c r="AA46" s="165">
        <v>4295</v>
      </c>
    </row>
    <row r="47" spans="1:27" ht="15.75" customHeight="1" x14ac:dyDescent="0.2">
      <c r="A47" s="174" t="s">
        <v>905</v>
      </c>
      <c r="B47" s="173" t="s">
        <v>32</v>
      </c>
      <c r="C47" s="170" t="s">
        <v>92</v>
      </c>
      <c r="D47" s="172" t="s">
        <v>26</v>
      </c>
      <c r="E47" s="171" t="s">
        <v>27</v>
      </c>
      <c r="F47" s="170" t="s">
        <v>27</v>
      </c>
      <c r="G47" s="169" t="s">
        <v>93</v>
      </c>
      <c r="H47" s="169" t="s">
        <v>906</v>
      </c>
      <c r="I47" s="168">
        <v>3393.38</v>
      </c>
      <c r="J47" s="168">
        <v>0</v>
      </c>
      <c r="K47" s="168">
        <v>0</v>
      </c>
      <c r="L47" s="168">
        <v>0</v>
      </c>
      <c r="M47" s="167">
        <v>3393.38</v>
      </c>
      <c r="N47" s="168">
        <v>0</v>
      </c>
      <c r="O47" s="168">
        <v>0</v>
      </c>
      <c r="P47" s="167">
        <v>0</v>
      </c>
      <c r="Q47" s="167">
        <v>0</v>
      </c>
      <c r="R47" s="167">
        <v>0</v>
      </c>
      <c r="S47" s="167">
        <v>0</v>
      </c>
      <c r="T47" s="167">
        <v>0</v>
      </c>
      <c r="U47" s="167">
        <v>0</v>
      </c>
      <c r="V47" s="167">
        <v>3393.38</v>
      </c>
      <c r="W47" s="167">
        <v>0</v>
      </c>
      <c r="X47" s="167">
        <v>3393.38</v>
      </c>
      <c r="Y47" s="167" t="s">
        <v>27</v>
      </c>
      <c r="Z47" s="166">
        <v>3393.38</v>
      </c>
      <c r="AA47" s="165">
        <v>58970</v>
      </c>
    </row>
    <row r="48" spans="1:27" ht="15.75" customHeight="1" x14ac:dyDescent="0.2">
      <c r="A48" s="174" t="s">
        <v>905</v>
      </c>
      <c r="B48" s="173" t="s">
        <v>32</v>
      </c>
      <c r="C48" s="170" t="s">
        <v>95</v>
      </c>
      <c r="D48" s="172" t="s">
        <v>26</v>
      </c>
      <c r="E48" s="171" t="s">
        <v>27</v>
      </c>
      <c r="F48" s="170" t="s">
        <v>27</v>
      </c>
      <c r="G48" s="169" t="s">
        <v>96</v>
      </c>
      <c r="H48" s="169" t="s">
        <v>904</v>
      </c>
      <c r="I48" s="168">
        <v>1621.19</v>
      </c>
      <c r="J48" s="168">
        <v>0</v>
      </c>
      <c r="K48" s="168">
        <v>0</v>
      </c>
      <c r="L48" s="168">
        <v>0</v>
      </c>
      <c r="M48" s="167">
        <v>1621.19</v>
      </c>
      <c r="N48" s="168">
        <v>0</v>
      </c>
      <c r="O48" s="168">
        <v>0</v>
      </c>
      <c r="P48" s="167">
        <v>0</v>
      </c>
      <c r="Q48" s="167">
        <v>0</v>
      </c>
      <c r="R48" s="167">
        <v>0</v>
      </c>
      <c r="S48" s="167">
        <v>0</v>
      </c>
      <c r="T48" s="167">
        <v>0</v>
      </c>
      <c r="U48" s="167">
        <v>0</v>
      </c>
      <c r="V48" s="167">
        <v>1621.19</v>
      </c>
      <c r="W48" s="167">
        <v>0</v>
      </c>
      <c r="X48" s="167">
        <v>1621.19</v>
      </c>
      <c r="Y48" s="167" t="s">
        <v>27</v>
      </c>
      <c r="Z48" s="166">
        <v>1621.19</v>
      </c>
      <c r="AA48" s="165">
        <v>28173</v>
      </c>
    </row>
    <row r="49" spans="1:27" ht="15.75" customHeight="1" x14ac:dyDescent="0.2">
      <c r="A49" s="174" t="s">
        <v>905</v>
      </c>
      <c r="B49" s="173" t="s">
        <v>32</v>
      </c>
      <c r="C49" s="170" t="s">
        <v>98</v>
      </c>
      <c r="D49" s="172" t="s">
        <v>26</v>
      </c>
      <c r="E49" s="171" t="s">
        <v>27</v>
      </c>
      <c r="F49" s="170" t="s">
        <v>27</v>
      </c>
      <c r="G49" s="169" t="s">
        <v>99</v>
      </c>
      <c r="H49" s="169" t="s">
        <v>906</v>
      </c>
      <c r="I49" s="168">
        <v>4977.9599999999991</v>
      </c>
      <c r="J49" s="168">
        <v>0</v>
      </c>
      <c r="K49" s="168">
        <v>0</v>
      </c>
      <c r="L49" s="168">
        <v>0</v>
      </c>
      <c r="M49" s="167">
        <v>4977.9599999999991</v>
      </c>
      <c r="N49" s="168">
        <v>0</v>
      </c>
      <c r="O49" s="168">
        <v>0</v>
      </c>
      <c r="P49" s="167">
        <v>0</v>
      </c>
      <c r="Q49" s="167">
        <v>0</v>
      </c>
      <c r="R49" s="167">
        <v>0</v>
      </c>
      <c r="S49" s="167">
        <v>0</v>
      </c>
      <c r="T49" s="167">
        <v>0</v>
      </c>
      <c r="U49" s="167">
        <v>0</v>
      </c>
      <c r="V49" s="167">
        <v>4977.9599999999991</v>
      </c>
      <c r="W49" s="167">
        <v>0</v>
      </c>
      <c r="X49" s="167">
        <v>4977.9599999999991</v>
      </c>
      <c r="Y49" s="167" t="s">
        <v>27</v>
      </c>
      <c r="Z49" s="166">
        <v>4977.9599999999991</v>
      </c>
      <c r="AA49" s="165">
        <v>86507</v>
      </c>
    </row>
    <row r="50" spans="1:27" ht="15.75" hidden="1" customHeight="1" x14ac:dyDescent="0.2">
      <c r="A50" s="174" t="s">
        <v>905</v>
      </c>
      <c r="B50" s="173" t="s">
        <v>32</v>
      </c>
      <c r="C50" s="170" t="s">
        <v>98</v>
      </c>
      <c r="D50" s="172" t="s">
        <v>331</v>
      </c>
      <c r="E50" s="171" t="s">
        <v>332</v>
      </c>
      <c r="F50" s="170" t="s">
        <v>781</v>
      </c>
      <c r="G50" s="169" t="s">
        <v>334</v>
      </c>
      <c r="H50" s="169" t="s">
        <v>906</v>
      </c>
      <c r="I50" s="168">
        <v>0</v>
      </c>
      <c r="J50" s="168">
        <v>0</v>
      </c>
      <c r="K50" s="168">
        <v>0</v>
      </c>
      <c r="L50" s="168">
        <v>0</v>
      </c>
      <c r="M50" s="167">
        <v>0</v>
      </c>
      <c r="N50" s="168">
        <v>0</v>
      </c>
      <c r="O50" s="168">
        <v>0</v>
      </c>
      <c r="P50" s="167">
        <v>0</v>
      </c>
      <c r="Q50" s="167">
        <v>354.13</v>
      </c>
      <c r="R50" s="167">
        <v>0</v>
      </c>
      <c r="S50" s="167">
        <v>0</v>
      </c>
      <c r="T50" s="167">
        <v>0</v>
      </c>
      <c r="U50" s="167">
        <v>354.13</v>
      </c>
      <c r="V50" s="167">
        <v>354.13</v>
      </c>
      <c r="W50" s="167">
        <v>0</v>
      </c>
      <c r="X50" s="167">
        <v>354.13</v>
      </c>
      <c r="Y50" s="167" t="s">
        <v>27</v>
      </c>
      <c r="Z50" s="166">
        <v>354.13</v>
      </c>
      <c r="AA50" s="165">
        <v>6154</v>
      </c>
    </row>
    <row r="51" spans="1:27" ht="15.75" customHeight="1" x14ac:dyDescent="0.2">
      <c r="A51" s="174" t="s">
        <v>905</v>
      </c>
      <c r="B51" s="173" t="s">
        <v>32</v>
      </c>
      <c r="C51" s="170" t="s">
        <v>101</v>
      </c>
      <c r="D51" s="172" t="s">
        <v>26</v>
      </c>
      <c r="E51" s="171" t="s">
        <v>27</v>
      </c>
      <c r="F51" s="170" t="s">
        <v>27</v>
      </c>
      <c r="G51" s="169" t="s">
        <v>102</v>
      </c>
      <c r="H51" s="169" t="s">
        <v>904</v>
      </c>
      <c r="I51" s="168">
        <v>35552.25</v>
      </c>
      <c r="J51" s="168">
        <v>0</v>
      </c>
      <c r="K51" s="168">
        <v>0</v>
      </c>
      <c r="L51" s="168">
        <v>0</v>
      </c>
      <c r="M51" s="167">
        <v>35552.25</v>
      </c>
      <c r="N51" s="168">
        <v>0</v>
      </c>
      <c r="O51" s="168">
        <v>0</v>
      </c>
      <c r="P51" s="167">
        <v>0</v>
      </c>
      <c r="Q51" s="167">
        <v>0</v>
      </c>
      <c r="R51" s="167">
        <v>0</v>
      </c>
      <c r="S51" s="167">
        <v>0</v>
      </c>
      <c r="T51" s="167">
        <v>0</v>
      </c>
      <c r="U51" s="167">
        <v>0</v>
      </c>
      <c r="V51" s="167">
        <v>35552.25</v>
      </c>
      <c r="W51" s="167">
        <v>0</v>
      </c>
      <c r="X51" s="167">
        <v>35552.25</v>
      </c>
      <c r="Y51" s="167" t="s">
        <v>27</v>
      </c>
      <c r="Z51" s="166">
        <v>35552.25</v>
      </c>
      <c r="AA51" s="165">
        <v>617824</v>
      </c>
    </row>
    <row r="52" spans="1:27" ht="15.75" customHeight="1" x14ac:dyDescent="0.2">
      <c r="A52" s="174" t="s">
        <v>905</v>
      </c>
      <c r="B52" s="173" t="s">
        <v>32</v>
      </c>
      <c r="C52" s="170" t="s">
        <v>104</v>
      </c>
      <c r="D52" s="172" t="s">
        <v>26</v>
      </c>
      <c r="E52" s="171" t="s">
        <v>27</v>
      </c>
      <c r="F52" s="170" t="s">
        <v>27</v>
      </c>
      <c r="G52" s="169" t="s">
        <v>105</v>
      </c>
      <c r="H52" s="169" t="s">
        <v>904</v>
      </c>
      <c r="I52" s="168">
        <v>5168.04</v>
      </c>
      <c r="J52" s="168">
        <v>0</v>
      </c>
      <c r="K52" s="168">
        <v>0</v>
      </c>
      <c r="L52" s="168">
        <v>0</v>
      </c>
      <c r="M52" s="167">
        <v>5168.04</v>
      </c>
      <c r="N52" s="168">
        <v>0</v>
      </c>
      <c r="O52" s="168">
        <v>0</v>
      </c>
      <c r="P52" s="167">
        <v>0</v>
      </c>
      <c r="Q52" s="167">
        <v>0</v>
      </c>
      <c r="R52" s="167">
        <v>0</v>
      </c>
      <c r="S52" s="167">
        <v>0</v>
      </c>
      <c r="T52" s="167">
        <v>0</v>
      </c>
      <c r="U52" s="167">
        <v>0</v>
      </c>
      <c r="V52" s="167">
        <v>5168.04</v>
      </c>
      <c r="W52" s="167">
        <v>0</v>
      </c>
      <c r="X52" s="167">
        <v>5168.04</v>
      </c>
      <c r="Y52" s="167" t="s">
        <v>27</v>
      </c>
      <c r="Z52" s="166">
        <v>5168.04</v>
      </c>
      <c r="AA52" s="165">
        <v>89810</v>
      </c>
    </row>
    <row r="53" spans="1:27" ht="15.75" customHeight="1" x14ac:dyDescent="0.2">
      <c r="A53" s="174" t="s">
        <v>905</v>
      </c>
      <c r="B53" s="173" t="s">
        <v>32</v>
      </c>
      <c r="C53" s="170" t="s">
        <v>107</v>
      </c>
      <c r="D53" s="172" t="s">
        <v>26</v>
      </c>
      <c r="E53" s="171" t="s">
        <v>27</v>
      </c>
      <c r="F53" s="170" t="s">
        <v>27</v>
      </c>
      <c r="G53" s="169" t="s">
        <v>108</v>
      </c>
      <c r="H53" s="169" t="s">
        <v>906</v>
      </c>
      <c r="I53" s="168">
        <v>566.73</v>
      </c>
      <c r="J53" s="168">
        <v>0</v>
      </c>
      <c r="K53" s="168">
        <v>0</v>
      </c>
      <c r="L53" s="168">
        <v>0</v>
      </c>
      <c r="M53" s="167">
        <v>566.73</v>
      </c>
      <c r="N53" s="168">
        <v>0</v>
      </c>
      <c r="O53" s="168">
        <v>0</v>
      </c>
      <c r="P53" s="167">
        <v>0</v>
      </c>
      <c r="Q53" s="167">
        <v>0</v>
      </c>
      <c r="R53" s="167">
        <v>0</v>
      </c>
      <c r="S53" s="167">
        <v>0</v>
      </c>
      <c r="T53" s="167">
        <v>0</v>
      </c>
      <c r="U53" s="167">
        <v>0</v>
      </c>
      <c r="V53" s="167">
        <v>566.73</v>
      </c>
      <c r="W53" s="167">
        <v>0</v>
      </c>
      <c r="X53" s="167">
        <v>566.73</v>
      </c>
      <c r="Y53" s="167" t="s">
        <v>27</v>
      </c>
      <c r="Z53" s="166">
        <v>566.73</v>
      </c>
      <c r="AA53" s="165">
        <v>9849</v>
      </c>
    </row>
    <row r="54" spans="1:27" ht="15.75" customHeight="1" x14ac:dyDescent="0.2">
      <c r="A54" s="174" t="s">
        <v>905</v>
      </c>
      <c r="B54" s="173" t="s">
        <v>32</v>
      </c>
      <c r="C54" s="170" t="s">
        <v>110</v>
      </c>
      <c r="D54" s="172" t="s">
        <v>26</v>
      </c>
      <c r="E54" s="171" t="s">
        <v>27</v>
      </c>
      <c r="F54" s="170" t="s">
        <v>27</v>
      </c>
      <c r="G54" s="169" t="s">
        <v>111</v>
      </c>
      <c r="H54" s="169" t="s">
        <v>904</v>
      </c>
      <c r="I54" s="168">
        <v>98417.279999999999</v>
      </c>
      <c r="J54" s="168">
        <v>0</v>
      </c>
      <c r="K54" s="168">
        <v>0</v>
      </c>
      <c r="L54" s="168">
        <v>0</v>
      </c>
      <c r="M54" s="167">
        <v>98417.279999999999</v>
      </c>
      <c r="N54" s="168">
        <v>0</v>
      </c>
      <c r="O54" s="168">
        <v>0</v>
      </c>
      <c r="P54" s="167">
        <v>0</v>
      </c>
      <c r="Q54" s="167">
        <v>0</v>
      </c>
      <c r="R54" s="167">
        <v>0</v>
      </c>
      <c r="S54" s="167">
        <v>0</v>
      </c>
      <c r="T54" s="167">
        <v>0</v>
      </c>
      <c r="U54" s="167">
        <v>0</v>
      </c>
      <c r="V54" s="167">
        <v>98417.279999999999</v>
      </c>
      <c r="W54" s="167">
        <v>0</v>
      </c>
      <c r="X54" s="167">
        <v>98417.279999999999</v>
      </c>
      <c r="Y54" s="167" t="s">
        <v>27</v>
      </c>
      <c r="Z54" s="166">
        <v>98417.279999999999</v>
      </c>
      <c r="AA54" s="165">
        <v>1710288</v>
      </c>
    </row>
    <row r="55" spans="1:27" ht="15.75" hidden="1" customHeight="1" x14ac:dyDescent="0.2">
      <c r="A55" s="174" t="s">
        <v>905</v>
      </c>
      <c r="B55" s="173" t="s">
        <v>32</v>
      </c>
      <c r="C55" s="170" t="s">
        <v>110</v>
      </c>
      <c r="D55" s="172" t="s">
        <v>321</v>
      </c>
      <c r="E55" s="171" t="s">
        <v>322</v>
      </c>
      <c r="F55" s="170" t="s">
        <v>781</v>
      </c>
      <c r="G55" s="169" t="s">
        <v>324</v>
      </c>
      <c r="H55" s="169" t="s">
        <v>904</v>
      </c>
      <c r="I55" s="168">
        <v>0</v>
      </c>
      <c r="J55" s="168">
        <v>0</v>
      </c>
      <c r="K55" s="168">
        <v>0</v>
      </c>
      <c r="L55" s="168">
        <v>0</v>
      </c>
      <c r="M55" s="167">
        <v>0</v>
      </c>
      <c r="N55" s="168">
        <v>0</v>
      </c>
      <c r="O55" s="168">
        <v>0</v>
      </c>
      <c r="P55" s="167">
        <v>0</v>
      </c>
      <c r="Q55" s="167">
        <v>326.81</v>
      </c>
      <c r="R55" s="167">
        <v>0</v>
      </c>
      <c r="S55" s="167">
        <v>0</v>
      </c>
      <c r="T55" s="167">
        <v>0</v>
      </c>
      <c r="U55" s="167">
        <v>326.81</v>
      </c>
      <c r="V55" s="167">
        <v>326.81</v>
      </c>
      <c r="W55" s="167">
        <v>0</v>
      </c>
      <c r="X55" s="167">
        <v>326.81</v>
      </c>
      <c r="Y55" s="167" t="s">
        <v>27</v>
      </c>
      <c r="Z55" s="166">
        <v>326.81</v>
      </c>
      <c r="AA55" s="165">
        <v>5679</v>
      </c>
    </row>
    <row r="56" spans="1:27" ht="15.75" hidden="1" customHeight="1" x14ac:dyDescent="0.2">
      <c r="A56" s="174" t="s">
        <v>905</v>
      </c>
      <c r="B56" s="173" t="s">
        <v>32</v>
      </c>
      <c r="C56" s="170" t="s">
        <v>110</v>
      </c>
      <c r="D56" s="172" t="s">
        <v>326</v>
      </c>
      <c r="E56" s="171" t="s">
        <v>327</v>
      </c>
      <c r="F56" s="170" t="s">
        <v>781</v>
      </c>
      <c r="G56" s="169" t="s">
        <v>329</v>
      </c>
      <c r="H56" s="169" t="s">
        <v>904</v>
      </c>
      <c r="I56" s="168">
        <v>0</v>
      </c>
      <c r="J56" s="168">
        <v>0</v>
      </c>
      <c r="K56" s="168">
        <v>0</v>
      </c>
      <c r="L56" s="168">
        <v>0</v>
      </c>
      <c r="M56" s="167">
        <v>0</v>
      </c>
      <c r="N56" s="168">
        <v>0</v>
      </c>
      <c r="O56" s="168">
        <v>0</v>
      </c>
      <c r="P56" s="167">
        <v>0</v>
      </c>
      <c r="Q56" s="167">
        <v>275.61</v>
      </c>
      <c r="R56" s="167">
        <v>0</v>
      </c>
      <c r="S56" s="167">
        <v>0</v>
      </c>
      <c r="T56" s="167">
        <v>0</v>
      </c>
      <c r="U56" s="167">
        <v>275.61</v>
      </c>
      <c r="V56" s="167">
        <v>275.61</v>
      </c>
      <c r="W56" s="167">
        <v>0</v>
      </c>
      <c r="X56" s="167">
        <v>275.61</v>
      </c>
      <c r="Y56" s="167" t="s">
        <v>27</v>
      </c>
      <c r="Z56" s="166">
        <v>275.61</v>
      </c>
      <c r="AA56" s="165">
        <v>4790</v>
      </c>
    </row>
    <row r="57" spans="1:27" ht="15.75" hidden="1" customHeight="1" x14ac:dyDescent="0.2">
      <c r="A57" s="174" t="s">
        <v>905</v>
      </c>
      <c r="B57" s="173" t="s">
        <v>32</v>
      </c>
      <c r="C57" s="170" t="s">
        <v>110</v>
      </c>
      <c r="D57" s="172" t="s">
        <v>346</v>
      </c>
      <c r="E57" s="171" t="s">
        <v>347</v>
      </c>
      <c r="F57" s="170" t="s">
        <v>781</v>
      </c>
      <c r="G57" s="169" t="s">
        <v>349</v>
      </c>
      <c r="H57" s="169" t="s">
        <v>904</v>
      </c>
      <c r="I57" s="168">
        <v>0</v>
      </c>
      <c r="J57" s="168">
        <v>0</v>
      </c>
      <c r="K57" s="168">
        <v>0</v>
      </c>
      <c r="L57" s="168">
        <v>0</v>
      </c>
      <c r="M57" s="167">
        <v>0</v>
      </c>
      <c r="N57" s="168">
        <v>0</v>
      </c>
      <c r="O57" s="168">
        <v>0</v>
      </c>
      <c r="P57" s="167">
        <v>0</v>
      </c>
      <c r="Q57" s="167">
        <v>367.89</v>
      </c>
      <c r="R57" s="167">
        <v>0</v>
      </c>
      <c r="S57" s="167">
        <v>0</v>
      </c>
      <c r="T57" s="167">
        <v>0</v>
      </c>
      <c r="U57" s="167">
        <v>367.89</v>
      </c>
      <c r="V57" s="167">
        <v>367.89</v>
      </c>
      <c r="W57" s="167">
        <v>0</v>
      </c>
      <c r="X57" s="167">
        <v>367.89</v>
      </c>
      <c r="Y57" s="167" t="s">
        <v>27</v>
      </c>
      <c r="Z57" s="166">
        <v>367.89</v>
      </c>
      <c r="AA57" s="165">
        <v>6393</v>
      </c>
    </row>
    <row r="58" spans="1:27" ht="15.75" hidden="1" customHeight="1" x14ac:dyDescent="0.2">
      <c r="A58" s="174" t="s">
        <v>905</v>
      </c>
      <c r="B58" s="173" t="s">
        <v>32</v>
      </c>
      <c r="C58" s="170" t="s">
        <v>110</v>
      </c>
      <c r="D58" s="172" t="s">
        <v>361</v>
      </c>
      <c r="E58" s="171" t="s">
        <v>362</v>
      </c>
      <c r="F58" s="170" t="s">
        <v>781</v>
      </c>
      <c r="G58" s="169" t="s">
        <v>364</v>
      </c>
      <c r="H58" s="169" t="s">
        <v>904</v>
      </c>
      <c r="I58" s="168">
        <v>0</v>
      </c>
      <c r="J58" s="168">
        <v>0</v>
      </c>
      <c r="K58" s="168">
        <v>0</v>
      </c>
      <c r="L58" s="168">
        <v>0</v>
      </c>
      <c r="M58" s="167">
        <v>0</v>
      </c>
      <c r="N58" s="168">
        <v>0</v>
      </c>
      <c r="O58" s="168">
        <v>0</v>
      </c>
      <c r="P58" s="167">
        <v>0</v>
      </c>
      <c r="Q58" s="167">
        <v>317.92</v>
      </c>
      <c r="R58" s="167">
        <v>0</v>
      </c>
      <c r="S58" s="167">
        <v>0</v>
      </c>
      <c r="T58" s="167">
        <v>0</v>
      </c>
      <c r="U58" s="167">
        <v>317.92</v>
      </c>
      <c r="V58" s="167">
        <v>317.92</v>
      </c>
      <c r="W58" s="167">
        <v>0</v>
      </c>
      <c r="X58" s="167">
        <v>317.92</v>
      </c>
      <c r="Y58" s="167" t="s">
        <v>27</v>
      </c>
      <c r="Z58" s="166">
        <v>317.92</v>
      </c>
      <c r="AA58" s="165">
        <v>5525</v>
      </c>
    </row>
    <row r="59" spans="1:27" ht="15.75" hidden="1" customHeight="1" x14ac:dyDescent="0.2">
      <c r="A59" s="174" t="s">
        <v>905</v>
      </c>
      <c r="B59" s="173" t="s">
        <v>32</v>
      </c>
      <c r="C59" s="170" t="s">
        <v>110</v>
      </c>
      <c r="D59" s="172" t="s">
        <v>366</v>
      </c>
      <c r="E59" s="171" t="s">
        <v>367</v>
      </c>
      <c r="F59" s="170" t="s">
        <v>781</v>
      </c>
      <c r="G59" s="169" t="s">
        <v>369</v>
      </c>
      <c r="H59" s="169" t="s">
        <v>904</v>
      </c>
      <c r="I59" s="168">
        <v>0</v>
      </c>
      <c r="J59" s="168">
        <v>0</v>
      </c>
      <c r="K59" s="168">
        <v>0</v>
      </c>
      <c r="L59" s="168">
        <v>0</v>
      </c>
      <c r="M59" s="167">
        <v>0</v>
      </c>
      <c r="N59" s="168">
        <v>0</v>
      </c>
      <c r="O59" s="168">
        <v>0</v>
      </c>
      <c r="P59" s="167">
        <v>0</v>
      </c>
      <c r="Q59" s="167">
        <v>328.22</v>
      </c>
      <c r="R59" s="167">
        <v>0</v>
      </c>
      <c r="S59" s="167">
        <v>0</v>
      </c>
      <c r="T59" s="167">
        <v>0</v>
      </c>
      <c r="U59" s="167">
        <v>328.22</v>
      </c>
      <c r="V59" s="167">
        <v>328.22</v>
      </c>
      <c r="W59" s="167">
        <v>0</v>
      </c>
      <c r="X59" s="167">
        <v>328.22</v>
      </c>
      <c r="Y59" s="167" t="s">
        <v>27</v>
      </c>
      <c r="Z59" s="166">
        <v>328.22</v>
      </c>
      <c r="AA59" s="165">
        <v>5704</v>
      </c>
    </row>
    <row r="60" spans="1:27" ht="15.75" hidden="1" customHeight="1" x14ac:dyDescent="0.2">
      <c r="A60" s="174" t="s">
        <v>905</v>
      </c>
      <c r="B60" s="173" t="s">
        <v>32</v>
      </c>
      <c r="C60" s="170" t="s">
        <v>110</v>
      </c>
      <c r="D60" s="172" t="s">
        <v>341</v>
      </c>
      <c r="E60" s="171" t="s">
        <v>342</v>
      </c>
      <c r="F60" s="170" t="s">
        <v>781</v>
      </c>
      <c r="G60" s="169" t="s">
        <v>344</v>
      </c>
      <c r="H60" s="169" t="s">
        <v>904</v>
      </c>
      <c r="I60" s="168">
        <v>0</v>
      </c>
      <c r="J60" s="168">
        <v>0</v>
      </c>
      <c r="K60" s="168">
        <v>0</v>
      </c>
      <c r="L60" s="168">
        <v>0</v>
      </c>
      <c r="M60" s="167">
        <v>0</v>
      </c>
      <c r="N60" s="168">
        <v>0</v>
      </c>
      <c r="O60" s="168">
        <v>0</v>
      </c>
      <c r="P60" s="167">
        <v>0</v>
      </c>
      <c r="Q60" s="167">
        <v>376.08</v>
      </c>
      <c r="R60" s="167">
        <v>0</v>
      </c>
      <c r="S60" s="167">
        <v>0</v>
      </c>
      <c r="T60" s="167">
        <v>0</v>
      </c>
      <c r="U60" s="167">
        <v>376.08</v>
      </c>
      <c r="V60" s="167">
        <v>376.08</v>
      </c>
      <c r="W60" s="167">
        <v>0</v>
      </c>
      <c r="X60" s="167">
        <v>376.08</v>
      </c>
      <c r="Y60" s="167" t="s">
        <v>27</v>
      </c>
      <c r="Z60" s="166">
        <v>376.08</v>
      </c>
      <c r="AA60" s="165">
        <v>6535</v>
      </c>
    </row>
    <row r="61" spans="1:27" ht="15.75" hidden="1" customHeight="1" x14ac:dyDescent="0.2">
      <c r="A61" s="174" t="s">
        <v>905</v>
      </c>
      <c r="B61" s="173" t="s">
        <v>32</v>
      </c>
      <c r="C61" s="170" t="s">
        <v>110</v>
      </c>
      <c r="D61" s="172" t="s">
        <v>386</v>
      </c>
      <c r="E61" s="171" t="s">
        <v>387</v>
      </c>
      <c r="F61" s="170" t="s">
        <v>781</v>
      </c>
      <c r="G61" s="169" t="s">
        <v>389</v>
      </c>
      <c r="H61" s="169" t="s">
        <v>904</v>
      </c>
      <c r="I61" s="168">
        <v>0</v>
      </c>
      <c r="J61" s="168">
        <v>0</v>
      </c>
      <c r="K61" s="168">
        <v>0</v>
      </c>
      <c r="L61" s="168">
        <v>0</v>
      </c>
      <c r="M61" s="167">
        <v>0</v>
      </c>
      <c r="N61" s="168">
        <v>0</v>
      </c>
      <c r="O61" s="168">
        <v>0</v>
      </c>
      <c r="P61" s="167">
        <v>0</v>
      </c>
      <c r="Q61" s="167">
        <v>177.45</v>
      </c>
      <c r="R61" s="167">
        <v>0</v>
      </c>
      <c r="S61" s="167">
        <v>0</v>
      </c>
      <c r="T61" s="167">
        <v>0</v>
      </c>
      <c r="U61" s="167">
        <v>177.45</v>
      </c>
      <c r="V61" s="167">
        <v>177.45</v>
      </c>
      <c r="W61" s="167">
        <v>0</v>
      </c>
      <c r="X61" s="167">
        <v>177.45</v>
      </c>
      <c r="Y61" s="167" t="s">
        <v>27</v>
      </c>
      <c r="Z61" s="166">
        <v>177.45</v>
      </c>
      <c r="AA61" s="165">
        <v>3084</v>
      </c>
    </row>
    <row r="62" spans="1:27" ht="15.75" hidden="1" customHeight="1" x14ac:dyDescent="0.2">
      <c r="A62" s="174" t="s">
        <v>905</v>
      </c>
      <c r="B62" s="173" t="s">
        <v>32</v>
      </c>
      <c r="C62" s="170" t="s">
        <v>110</v>
      </c>
      <c r="D62" s="172" t="s">
        <v>885</v>
      </c>
      <c r="E62" s="171" t="s">
        <v>884</v>
      </c>
      <c r="F62" s="170" t="s">
        <v>781</v>
      </c>
      <c r="G62" s="169" t="s">
        <v>882</v>
      </c>
      <c r="H62" s="169" t="s">
        <v>904</v>
      </c>
      <c r="I62" s="168">
        <v>0</v>
      </c>
      <c r="J62" s="168">
        <v>0</v>
      </c>
      <c r="K62" s="168">
        <v>0</v>
      </c>
      <c r="L62" s="168">
        <v>0</v>
      </c>
      <c r="M62" s="167">
        <v>0</v>
      </c>
      <c r="N62" s="168">
        <v>0</v>
      </c>
      <c r="O62" s="168">
        <v>0</v>
      </c>
      <c r="P62" s="167">
        <v>0</v>
      </c>
      <c r="Q62" s="167">
        <v>159.97999999999999</v>
      </c>
      <c r="R62" s="167">
        <v>0</v>
      </c>
      <c r="S62" s="167">
        <v>0</v>
      </c>
      <c r="T62" s="167">
        <v>0</v>
      </c>
      <c r="U62" s="167">
        <v>159.97999999999999</v>
      </c>
      <c r="V62" s="167">
        <v>159.97999999999999</v>
      </c>
      <c r="W62" s="167">
        <v>0</v>
      </c>
      <c r="X62" s="167">
        <v>159.97999999999999</v>
      </c>
      <c r="Y62" s="167" t="s">
        <v>27</v>
      </c>
      <c r="Z62" s="166">
        <v>159.97999999999999</v>
      </c>
      <c r="AA62" s="165">
        <v>2780</v>
      </c>
    </row>
    <row r="63" spans="1:27" ht="15.75" hidden="1" customHeight="1" x14ac:dyDescent="0.2">
      <c r="A63" s="174" t="s">
        <v>905</v>
      </c>
      <c r="B63" s="173" t="s">
        <v>32</v>
      </c>
      <c r="C63" s="170" t="s">
        <v>110</v>
      </c>
      <c r="D63" s="172" t="s">
        <v>381</v>
      </c>
      <c r="E63" s="171" t="s">
        <v>382</v>
      </c>
      <c r="F63" s="170" t="s">
        <v>781</v>
      </c>
      <c r="G63" s="169" t="s">
        <v>384</v>
      </c>
      <c r="H63" s="169" t="s">
        <v>904</v>
      </c>
      <c r="I63" s="168">
        <v>0</v>
      </c>
      <c r="J63" s="168">
        <v>0</v>
      </c>
      <c r="K63" s="168">
        <v>0</v>
      </c>
      <c r="L63" s="168">
        <v>0</v>
      </c>
      <c r="M63" s="167">
        <v>0</v>
      </c>
      <c r="N63" s="168">
        <v>0</v>
      </c>
      <c r="O63" s="168">
        <v>0</v>
      </c>
      <c r="P63" s="167">
        <v>0</v>
      </c>
      <c r="Q63" s="167">
        <v>424.33</v>
      </c>
      <c r="R63" s="167">
        <v>0</v>
      </c>
      <c r="S63" s="167">
        <v>0</v>
      </c>
      <c r="T63" s="167">
        <v>0</v>
      </c>
      <c r="U63" s="167">
        <v>424.33</v>
      </c>
      <c r="V63" s="167">
        <v>424.33</v>
      </c>
      <c r="W63" s="167">
        <v>0</v>
      </c>
      <c r="X63" s="167">
        <v>424.33</v>
      </c>
      <c r="Y63" s="167" t="s">
        <v>27</v>
      </c>
      <c r="Z63" s="166">
        <v>424.33</v>
      </c>
      <c r="AA63" s="165">
        <v>7374</v>
      </c>
    </row>
    <row r="64" spans="1:27" ht="15.75" hidden="1" customHeight="1" x14ac:dyDescent="0.2">
      <c r="A64" s="174" t="s">
        <v>905</v>
      </c>
      <c r="B64" s="173" t="s">
        <v>32</v>
      </c>
      <c r="C64" s="170" t="s">
        <v>110</v>
      </c>
      <c r="D64" s="172" t="s">
        <v>411</v>
      </c>
      <c r="E64" s="171" t="s">
        <v>412</v>
      </c>
      <c r="F64" s="170" t="s">
        <v>781</v>
      </c>
      <c r="G64" s="169" t="s">
        <v>414</v>
      </c>
      <c r="H64" s="169" t="s">
        <v>904</v>
      </c>
      <c r="I64" s="168">
        <v>0</v>
      </c>
      <c r="J64" s="168">
        <v>0</v>
      </c>
      <c r="K64" s="168">
        <v>0</v>
      </c>
      <c r="L64" s="168">
        <v>0</v>
      </c>
      <c r="M64" s="167">
        <v>0</v>
      </c>
      <c r="N64" s="168">
        <v>0</v>
      </c>
      <c r="O64" s="168">
        <v>0</v>
      </c>
      <c r="P64" s="167">
        <v>0</v>
      </c>
      <c r="Q64" s="167">
        <v>584.07000000000005</v>
      </c>
      <c r="R64" s="167">
        <v>0</v>
      </c>
      <c r="S64" s="167">
        <v>0</v>
      </c>
      <c r="T64" s="167">
        <v>0</v>
      </c>
      <c r="U64" s="167">
        <v>584.07000000000005</v>
      </c>
      <c r="V64" s="167">
        <v>584.07000000000005</v>
      </c>
      <c r="W64" s="167">
        <v>0</v>
      </c>
      <c r="X64" s="167">
        <v>584.07000000000005</v>
      </c>
      <c r="Y64" s="167" t="s">
        <v>27</v>
      </c>
      <c r="Z64" s="166">
        <v>584.07000000000005</v>
      </c>
      <c r="AA64" s="165">
        <v>10150</v>
      </c>
    </row>
    <row r="65" spans="1:27" ht="15.75" hidden="1" customHeight="1" x14ac:dyDescent="0.2">
      <c r="A65" s="174" t="s">
        <v>905</v>
      </c>
      <c r="B65" s="173" t="s">
        <v>32</v>
      </c>
      <c r="C65" s="170" t="s">
        <v>110</v>
      </c>
      <c r="D65" s="172" t="s">
        <v>406</v>
      </c>
      <c r="E65" s="171" t="s">
        <v>407</v>
      </c>
      <c r="F65" s="170" t="s">
        <v>781</v>
      </c>
      <c r="G65" s="169" t="s">
        <v>409</v>
      </c>
      <c r="H65" s="169" t="s">
        <v>904</v>
      </c>
      <c r="I65" s="168">
        <v>0</v>
      </c>
      <c r="J65" s="168">
        <v>0</v>
      </c>
      <c r="K65" s="168">
        <v>0</v>
      </c>
      <c r="L65" s="168">
        <v>0</v>
      </c>
      <c r="M65" s="167">
        <v>0</v>
      </c>
      <c r="N65" s="168">
        <v>0</v>
      </c>
      <c r="O65" s="168">
        <v>0</v>
      </c>
      <c r="P65" s="167">
        <v>0</v>
      </c>
      <c r="Q65" s="167">
        <v>341.97</v>
      </c>
      <c r="R65" s="167">
        <v>0</v>
      </c>
      <c r="S65" s="167">
        <v>0</v>
      </c>
      <c r="T65" s="167">
        <v>0</v>
      </c>
      <c r="U65" s="167">
        <v>341.97</v>
      </c>
      <c r="V65" s="167">
        <v>341.97</v>
      </c>
      <c r="W65" s="167">
        <v>0</v>
      </c>
      <c r="X65" s="167">
        <v>341.97</v>
      </c>
      <c r="Y65" s="167" t="s">
        <v>27</v>
      </c>
      <c r="Z65" s="166">
        <v>341.97</v>
      </c>
      <c r="AA65" s="165">
        <v>5943</v>
      </c>
    </row>
    <row r="66" spans="1:27" ht="15.75" hidden="1" customHeight="1" x14ac:dyDescent="0.2">
      <c r="A66" s="174" t="s">
        <v>905</v>
      </c>
      <c r="B66" s="173" t="s">
        <v>32</v>
      </c>
      <c r="C66" s="170" t="s">
        <v>110</v>
      </c>
      <c r="D66" s="172" t="s">
        <v>416</v>
      </c>
      <c r="E66" s="171" t="s">
        <v>417</v>
      </c>
      <c r="F66" s="170" t="s">
        <v>781</v>
      </c>
      <c r="G66" s="169" t="s">
        <v>419</v>
      </c>
      <c r="H66" s="169" t="s">
        <v>904</v>
      </c>
      <c r="I66" s="168">
        <v>0</v>
      </c>
      <c r="J66" s="168">
        <v>0</v>
      </c>
      <c r="K66" s="168">
        <v>0</v>
      </c>
      <c r="L66" s="168">
        <v>0</v>
      </c>
      <c r="M66" s="167">
        <v>0</v>
      </c>
      <c r="N66" s="168">
        <v>0</v>
      </c>
      <c r="O66" s="168">
        <v>0</v>
      </c>
      <c r="P66" s="167">
        <v>0</v>
      </c>
      <c r="Q66" s="167">
        <v>577.64</v>
      </c>
      <c r="R66" s="167">
        <v>0</v>
      </c>
      <c r="S66" s="167">
        <v>0</v>
      </c>
      <c r="T66" s="167">
        <v>0</v>
      </c>
      <c r="U66" s="167">
        <v>577.64</v>
      </c>
      <c r="V66" s="167">
        <v>577.64</v>
      </c>
      <c r="W66" s="167">
        <v>0</v>
      </c>
      <c r="X66" s="167">
        <v>577.64</v>
      </c>
      <c r="Y66" s="167" t="s">
        <v>27</v>
      </c>
      <c r="Z66" s="166">
        <v>577.64</v>
      </c>
      <c r="AA66" s="165">
        <v>10038</v>
      </c>
    </row>
    <row r="67" spans="1:27" ht="15.75" hidden="1" customHeight="1" x14ac:dyDescent="0.2">
      <c r="A67" s="174" t="s">
        <v>905</v>
      </c>
      <c r="B67" s="173" t="s">
        <v>32</v>
      </c>
      <c r="C67" s="170" t="s">
        <v>110</v>
      </c>
      <c r="D67" s="172" t="s">
        <v>441</v>
      </c>
      <c r="E67" s="171" t="s">
        <v>442</v>
      </c>
      <c r="F67" s="170" t="s">
        <v>781</v>
      </c>
      <c r="G67" s="169" t="s">
        <v>444</v>
      </c>
      <c r="H67" s="169" t="s">
        <v>904</v>
      </c>
      <c r="I67" s="168">
        <v>0</v>
      </c>
      <c r="J67" s="168">
        <v>0</v>
      </c>
      <c r="K67" s="168">
        <v>0</v>
      </c>
      <c r="L67" s="168">
        <v>0</v>
      </c>
      <c r="M67" s="167">
        <v>0</v>
      </c>
      <c r="N67" s="168">
        <v>0</v>
      </c>
      <c r="O67" s="168">
        <v>0</v>
      </c>
      <c r="P67" s="167">
        <v>0</v>
      </c>
      <c r="Q67" s="167">
        <v>376.76</v>
      </c>
      <c r="R67" s="167">
        <v>0</v>
      </c>
      <c r="S67" s="167">
        <v>0</v>
      </c>
      <c r="T67" s="167">
        <v>0</v>
      </c>
      <c r="U67" s="167">
        <v>376.76</v>
      </c>
      <c r="V67" s="167">
        <v>376.76</v>
      </c>
      <c r="W67" s="167">
        <v>54.5</v>
      </c>
      <c r="X67" s="167">
        <v>322.26</v>
      </c>
      <c r="Y67" s="167" t="s">
        <v>27</v>
      </c>
      <c r="Z67" s="166">
        <v>322.26</v>
      </c>
      <c r="AA67" s="165">
        <v>5600</v>
      </c>
    </row>
    <row r="68" spans="1:27" ht="15.75" hidden="1" customHeight="1" x14ac:dyDescent="0.2">
      <c r="A68" s="174" t="s">
        <v>905</v>
      </c>
      <c r="B68" s="173" t="s">
        <v>32</v>
      </c>
      <c r="C68" s="170" t="s">
        <v>110</v>
      </c>
      <c r="D68" s="172" t="s">
        <v>436</v>
      </c>
      <c r="E68" s="171" t="s">
        <v>437</v>
      </c>
      <c r="F68" s="170" t="s">
        <v>781</v>
      </c>
      <c r="G68" s="169" t="s">
        <v>439</v>
      </c>
      <c r="H68" s="169" t="s">
        <v>904</v>
      </c>
      <c r="I68" s="168">
        <v>0</v>
      </c>
      <c r="J68" s="168">
        <v>0</v>
      </c>
      <c r="K68" s="168">
        <v>0</v>
      </c>
      <c r="L68" s="168">
        <v>0</v>
      </c>
      <c r="M68" s="167">
        <v>0</v>
      </c>
      <c r="N68" s="168">
        <v>0</v>
      </c>
      <c r="O68" s="168">
        <v>0</v>
      </c>
      <c r="P68" s="167">
        <v>0</v>
      </c>
      <c r="Q68" s="167">
        <v>286.52</v>
      </c>
      <c r="R68" s="167">
        <v>0</v>
      </c>
      <c r="S68" s="167">
        <v>0</v>
      </c>
      <c r="T68" s="167">
        <v>0</v>
      </c>
      <c r="U68" s="167">
        <v>286.52</v>
      </c>
      <c r="V68" s="167">
        <v>286.52</v>
      </c>
      <c r="W68" s="167">
        <v>0</v>
      </c>
      <c r="X68" s="167">
        <v>286.52</v>
      </c>
      <c r="Y68" s="167" t="s">
        <v>27</v>
      </c>
      <c r="Z68" s="166">
        <v>286.52</v>
      </c>
      <c r="AA68" s="165">
        <v>4979</v>
      </c>
    </row>
    <row r="69" spans="1:27" ht="15.75" hidden="1" customHeight="1" x14ac:dyDescent="0.2">
      <c r="A69" s="174" t="s">
        <v>905</v>
      </c>
      <c r="B69" s="173" t="s">
        <v>32</v>
      </c>
      <c r="C69" s="170" t="s">
        <v>110</v>
      </c>
      <c r="D69" s="172" t="s">
        <v>456</v>
      </c>
      <c r="E69" s="171" t="s">
        <v>457</v>
      </c>
      <c r="F69" s="170" t="s">
        <v>781</v>
      </c>
      <c r="G69" s="169" t="s">
        <v>459</v>
      </c>
      <c r="H69" s="169" t="s">
        <v>904</v>
      </c>
      <c r="I69" s="168">
        <v>0</v>
      </c>
      <c r="J69" s="168">
        <v>0</v>
      </c>
      <c r="K69" s="168">
        <v>0</v>
      </c>
      <c r="L69" s="168">
        <v>0</v>
      </c>
      <c r="M69" s="167">
        <v>0</v>
      </c>
      <c r="N69" s="168">
        <v>0</v>
      </c>
      <c r="O69" s="168">
        <v>0</v>
      </c>
      <c r="P69" s="167">
        <v>0</v>
      </c>
      <c r="Q69" s="167">
        <v>1309.8900000000001</v>
      </c>
      <c r="R69" s="167">
        <v>0</v>
      </c>
      <c r="S69" s="167">
        <v>0</v>
      </c>
      <c r="T69" s="167">
        <v>0</v>
      </c>
      <c r="U69" s="167">
        <v>1309.8900000000001</v>
      </c>
      <c r="V69" s="167">
        <v>1309.8900000000001</v>
      </c>
      <c r="W69" s="167">
        <v>0</v>
      </c>
      <c r="X69" s="167">
        <v>1309.8900000000001</v>
      </c>
      <c r="Y69" s="167" t="s">
        <v>27</v>
      </c>
      <c r="Z69" s="166">
        <v>1309.8900000000001</v>
      </c>
      <c r="AA69" s="165">
        <v>22763</v>
      </c>
    </row>
    <row r="70" spans="1:27" ht="15.75" hidden="1" customHeight="1" x14ac:dyDescent="0.2">
      <c r="A70" s="174" t="s">
        <v>905</v>
      </c>
      <c r="B70" s="173" t="s">
        <v>32</v>
      </c>
      <c r="C70" s="170" t="s">
        <v>110</v>
      </c>
      <c r="D70" s="172" t="s">
        <v>466</v>
      </c>
      <c r="E70" s="171" t="s">
        <v>467</v>
      </c>
      <c r="F70" s="170" t="s">
        <v>781</v>
      </c>
      <c r="G70" s="169" t="s">
        <v>469</v>
      </c>
      <c r="H70" s="169" t="s">
        <v>904</v>
      </c>
      <c r="I70" s="168">
        <v>0</v>
      </c>
      <c r="J70" s="168">
        <v>0</v>
      </c>
      <c r="K70" s="168">
        <v>0</v>
      </c>
      <c r="L70" s="168">
        <v>0</v>
      </c>
      <c r="M70" s="167">
        <v>0</v>
      </c>
      <c r="N70" s="168">
        <v>0</v>
      </c>
      <c r="O70" s="168">
        <v>0</v>
      </c>
      <c r="P70" s="167">
        <v>0</v>
      </c>
      <c r="Q70" s="167">
        <v>392.46</v>
      </c>
      <c r="R70" s="167">
        <v>0</v>
      </c>
      <c r="S70" s="167">
        <v>0</v>
      </c>
      <c r="T70" s="167">
        <v>0</v>
      </c>
      <c r="U70" s="167">
        <v>392.46</v>
      </c>
      <c r="V70" s="167">
        <v>392.46</v>
      </c>
      <c r="W70" s="167">
        <v>0</v>
      </c>
      <c r="X70" s="167">
        <v>392.46</v>
      </c>
      <c r="Y70" s="167" t="s">
        <v>27</v>
      </c>
      <c r="Z70" s="166">
        <v>392.46</v>
      </c>
      <c r="AA70" s="165">
        <v>6820</v>
      </c>
    </row>
    <row r="71" spans="1:27" ht="15.75" hidden="1" customHeight="1" x14ac:dyDescent="0.2">
      <c r="A71" s="174" t="s">
        <v>905</v>
      </c>
      <c r="B71" s="173" t="s">
        <v>32</v>
      </c>
      <c r="C71" s="170" t="s">
        <v>110</v>
      </c>
      <c r="D71" s="172" t="s">
        <v>471</v>
      </c>
      <c r="E71" s="171" t="s">
        <v>472</v>
      </c>
      <c r="F71" s="170" t="s">
        <v>781</v>
      </c>
      <c r="G71" s="169" t="s">
        <v>474</v>
      </c>
      <c r="H71" s="169" t="s">
        <v>904</v>
      </c>
      <c r="I71" s="168">
        <v>0</v>
      </c>
      <c r="J71" s="168">
        <v>0</v>
      </c>
      <c r="K71" s="168">
        <v>0</v>
      </c>
      <c r="L71" s="168">
        <v>0</v>
      </c>
      <c r="M71" s="167">
        <v>0</v>
      </c>
      <c r="N71" s="168">
        <v>0</v>
      </c>
      <c r="O71" s="168">
        <v>0</v>
      </c>
      <c r="P71" s="167">
        <v>0</v>
      </c>
      <c r="Q71" s="167">
        <v>176.2</v>
      </c>
      <c r="R71" s="167">
        <v>0</v>
      </c>
      <c r="S71" s="167">
        <v>0</v>
      </c>
      <c r="T71" s="167">
        <v>0</v>
      </c>
      <c r="U71" s="167">
        <v>176.2</v>
      </c>
      <c r="V71" s="167">
        <v>176.2</v>
      </c>
      <c r="W71" s="167">
        <v>0</v>
      </c>
      <c r="X71" s="167">
        <v>176.2</v>
      </c>
      <c r="Y71" s="167" t="s">
        <v>27</v>
      </c>
      <c r="Z71" s="166">
        <v>176.2</v>
      </c>
      <c r="AA71" s="165">
        <v>3062</v>
      </c>
    </row>
    <row r="72" spans="1:27" ht="15.75" hidden="1" customHeight="1" x14ac:dyDescent="0.2">
      <c r="A72" s="174" t="s">
        <v>905</v>
      </c>
      <c r="B72" s="173" t="s">
        <v>32</v>
      </c>
      <c r="C72" s="170" t="s">
        <v>110</v>
      </c>
      <c r="D72" s="172" t="s">
        <v>486</v>
      </c>
      <c r="E72" s="171" t="s">
        <v>487</v>
      </c>
      <c r="F72" s="170" t="s">
        <v>781</v>
      </c>
      <c r="G72" s="169" t="s">
        <v>489</v>
      </c>
      <c r="H72" s="169" t="s">
        <v>904</v>
      </c>
      <c r="I72" s="168">
        <v>0</v>
      </c>
      <c r="J72" s="168">
        <v>0</v>
      </c>
      <c r="K72" s="168">
        <v>0</v>
      </c>
      <c r="L72" s="168">
        <v>0</v>
      </c>
      <c r="M72" s="167">
        <v>0</v>
      </c>
      <c r="N72" s="168">
        <v>0</v>
      </c>
      <c r="O72" s="168">
        <v>0</v>
      </c>
      <c r="P72" s="167">
        <v>0</v>
      </c>
      <c r="Q72" s="167">
        <v>256.43</v>
      </c>
      <c r="R72" s="167">
        <v>0</v>
      </c>
      <c r="S72" s="167">
        <v>0</v>
      </c>
      <c r="T72" s="167">
        <v>0</v>
      </c>
      <c r="U72" s="167">
        <v>256.43</v>
      </c>
      <c r="V72" s="167">
        <v>256.43</v>
      </c>
      <c r="W72" s="167">
        <v>0</v>
      </c>
      <c r="X72" s="167">
        <v>256.43</v>
      </c>
      <c r="Y72" s="167" t="s">
        <v>27</v>
      </c>
      <c r="Z72" s="166">
        <v>256.43</v>
      </c>
      <c r="AA72" s="165">
        <v>4456</v>
      </c>
    </row>
    <row r="73" spans="1:27" ht="15.75" hidden="1" customHeight="1" x14ac:dyDescent="0.2">
      <c r="A73" s="174" t="s">
        <v>905</v>
      </c>
      <c r="B73" s="173" t="s">
        <v>32</v>
      </c>
      <c r="C73" s="170" t="s">
        <v>110</v>
      </c>
      <c r="D73" s="172" t="s">
        <v>505</v>
      </c>
      <c r="E73" s="171" t="s">
        <v>506</v>
      </c>
      <c r="F73" s="170" t="s">
        <v>781</v>
      </c>
      <c r="G73" s="169" t="s">
        <v>508</v>
      </c>
      <c r="H73" s="169" t="s">
        <v>904</v>
      </c>
      <c r="I73" s="168">
        <v>0</v>
      </c>
      <c r="J73" s="168">
        <v>0</v>
      </c>
      <c r="K73" s="168">
        <v>0</v>
      </c>
      <c r="L73" s="168">
        <v>0</v>
      </c>
      <c r="M73" s="167">
        <v>0</v>
      </c>
      <c r="N73" s="168">
        <v>0</v>
      </c>
      <c r="O73" s="168">
        <v>0</v>
      </c>
      <c r="P73" s="167">
        <v>0</v>
      </c>
      <c r="Q73" s="167">
        <v>113.67</v>
      </c>
      <c r="R73" s="167">
        <v>0</v>
      </c>
      <c r="S73" s="167">
        <v>0</v>
      </c>
      <c r="T73" s="167">
        <v>0</v>
      </c>
      <c r="U73" s="167">
        <v>113.67</v>
      </c>
      <c r="V73" s="167">
        <v>113.67</v>
      </c>
      <c r="W73" s="167">
        <v>0</v>
      </c>
      <c r="X73" s="167">
        <v>113.67</v>
      </c>
      <c r="Y73" s="167" t="s">
        <v>27</v>
      </c>
      <c r="Z73" s="166">
        <v>113.67</v>
      </c>
      <c r="AA73" s="165">
        <v>1975</v>
      </c>
    </row>
    <row r="74" spans="1:27" ht="15.75" hidden="1" customHeight="1" x14ac:dyDescent="0.2">
      <c r="A74" s="174" t="s">
        <v>905</v>
      </c>
      <c r="B74" s="173" t="s">
        <v>32</v>
      </c>
      <c r="C74" s="170" t="s">
        <v>110</v>
      </c>
      <c r="D74" s="172" t="s">
        <v>525</v>
      </c>
      <c r="E74" s="171" t="s">
        <v>526</v>
      </c>
      <c r="F74" s="170" t="s">
        <v>781</v>
      </c>
      <c r="G74" s="169" t="s">
        <v>528</v>
      </c>
      <c r="H74" s="169" t="s">
        <v>904</v>
      </c>
      <c r="I74" s="168">
        <v>0</v>
      </c>
      <c r="J74" s="168">
        <v>0</v>
      </c>
      <c r="K74" s="168">
        <v>0</v>
      </c>
      <c r="L74" s="168">
        <v>0</v>
      </c>
      <c r="M74" s="167">
        <v>0</v>
      </c>
      <c r="N74" s="168">
        <v>0</v>
      </c>
      <c r="O74" s="168">
        <v>0</v>
      </c>
      <c r="P74" s="167">
        <v>0</v>
      </c>
      <c r="Q74" s="167">
        <v>309.33</v>
      </c>
      <c r="R74" s="167">
        <v>0</v>
      </c>
      <c r="S74" s="167">
        <v>0</v>
      </c>
      <c r="T74" s="167">
        <v>0</v>
      </c>
      <c r="U74" s="167">
        <v>309.33</v>
      </c>
      <c r="V74" s="167">
        <v>309.33</v>
      </c>
      <c r="W74" s="167">
        <v>0</v>
      </c>
      <c r="X74" s="167">
        <v>309.33</v>
      </c>
      <c r="Y74" s="167" t="s">
        <v>27</v>
      </c>
      <c r="Z74" s="166">
        <v>309.33</v>
      </c>
      <c r="AA74" s="165">
        <v>5376</v>
      </c>
    </row>
    <row r="75" spans="1:27" ht="15.75" hidden="1" customHeight="1" x14ac:dyDescent="0.2">
      <c r="A75" s="174" t="s">
        <v>905</v>
      </c>
      <c r="B75" s="173" t="s">
        <v>32</v>
      </c>
      <c r="C75" s="170" t="s">
        <v>110</v>
      </c>
      <c r="D75" s="172" t="s">
        <v>496</v>
      </c>
      <c r="E75" s="171" t="s">
        <v>497</v>
      </c>
      <c r="F75" s="170" t="s">
        <v>781</v>
      </c>
      <c r="G75" s="169" t="s">
        <v>816</v>
      </c>
      <c r="H75" s="169" t="s">
        <v>904</v>
      </c>
      <c r="I75" s="168">
        <v>0</v>
      </c>
      <c r="J75" s="168">
        <v>0</v>
      </c>
      <c r="K75" s="168">
        <v>0</v>
      </c>
      <c r="L75" s="168">
        <v>0</v>
      </c>
      <c r="M75" s="167">
        <v>0</v>
      </c>
      <c r="N75" s="168">
        <v>0</v>
      </c>
      <c r="O75" s="168">
        <v>0</v>
      </c>
      <c r="P75" s="167">
        <v>0</v>
      </c>
      <c r="Q75" s="167">
        <v>387.25</v>
      </c>
      <c r="R75" s="167">
        <v>0</v>
      </c>
      <c r="S75" s="167">
        <v>0</v>
      </c>
      <c r="T75" s="167">
        <v>0</v>
      </c>
      <c r="U75" s="167">
        <v>387.25</v>
      </c>
      <c r="V75" s="167">
        <v>387.25</v>
      </c>
      <c r="W75" s="167">
        <v>0</v>
      </c>
      <c r="X75" s="167">
        <v>387.25</v>
      </c>
      <c r="Y75" s="167" t="s">
        <v>27</v>
      </c>
      <c r="Z75" s="166">
        <v>387.25</v>
      </c>
      <c r="AA75" s="165">
        <v>6730</v>
      </c>
    </row>
    <row r="76" spans="1:27" ht="15.75" hidden="1" customHeight="1" x14ac:dyDescent="0.2">
      <c r="A76" s="174" t="s">
        <v>905</v>
      </c>
      <c r="B76" s="173" t="s">
        <v>32</v>
      </c>
      <c r="C76" s="170" t="s">
        <v>110</v>
      </c>
      <c r="D76" s="172" t="s">
        <v>879</v>
      </c>
      <c r="E76" s="171" t="s">
        <v>878</v>
      </c>
      <c r="F76" s="170" t="s">
        <v>781</v>
      </c>
      <c r="G76" s="169" t="s">
        <v>876</v>
      </c>
      <c r="H76" s="169" t="s">
        <v>904</v>
      </c>
      <c r="I76" s="168">
        <v>0</v>
      </c>
      <c r="J76" s="168">
        <v>0</v>
      </c>
      <c r="K76" s="168">
        <v>0</v>
      </c>
      <c r="L76" s="168">
        <v>0</v>
      </c>
      <c r="M76" s="167">
        <v>0</v>
      </c>
      <c r="N76" s="168">
        <v>0</v>
      </c>
      <c r="O76" s="168">
        <v>0</v>
      </c>
      <c r="P76" s="167">
        <v>0</v>
      </c>
      <c r="Q76" s="167">
        <v>60.9</v>
      </c>
      <c r="R76" s="167">
        <v>0</v>
      </c>
      <c r="S76" s="167">
        <v>0</v>
      </c>
      <c r="T76" s="167">
        <v>0</v>
      </c>
      <c r="U76" s="167">
        <v>60.9</v>
      </c>
      <c r="V76" s="167">
        <v>60.9</v>
      </c>
      <c r="W76" s="167">
        <v>0</v>
      </c>
      <c r="X76" s="167">
        <v>60.9</v>
      </c>
      <c r="Y76" s="167" t="s">
        <v>27</v>
      </c>
      <c r="Z76" s="166">
        <v>60.9</v>
      </c>
      <c r="AA76" s="165">
        <v>1058</v>
      </c>
    </row>
    <row r="77" spans="1:27" ht="15.75" hidden="1" customHeight="1" x14ac:dyDescent="0.2">
      <c r="A77" s="174" t="s">
        <v>905</v>
      </c>
      <c r="B77" s="173" t="s">
        <v>32</v>
      </c>
      <c r="C77" s="170" t="s">
        <v>110</v>
      </c>
      <c r="D77" s="172" t="s">
        <v>565</v>
      </c>
      <c r="E77" s="171" t="s">
        <v>566</v>
      </c>
      <c r="F77" s="170" t="s">
        <v>781</v>
      </c>
      <c r="G77" s="169" t="s">
        <v>568</v>
      </c>
      <c r="H77" s="169" t="s">
        <v>904</v>
      </c>
      <c r="I77" s="168">
        <v>0</v>
      </c>
      <c r="J77" s="168">
        <v>0</v>
      </c>
      <c r="K77" s="168">
        <v>0</v>
      </c>
      <c r="L77" s="168">
        <v>0</v>
      </c>
      <c r="M77" s="167">
        <v>0</v>
      </c>
      <c r="N77" s="168">
        <v>0</v>
      </c>
      <c r="O77" s="168">
        <v>0</v>
      </c>
      <c r="P77" s="167">
        <v>0</v>
      </c>
      <c r="Q77" s="167">
        <v>136.09</v>
      </c>
      <c r="R77" s="167">
        <v>0</v>
      </c>
      <c r="S77" s="167">
        <v>0</v>
      </c>
      <c r="T77" s="167">
        <v>0</v>
      </c>
      <c r="U77" s="167">
        <v>136.09</v>
      </c>
      <c r="V77" s="167">
        <v>136.09</v>
      </c>
      <c r="W77" s="167">
        <v>0</v>
      </c>
      <c r="X77" s="167">
        <v>136.09</v>
      </c>
      <c r="Y77" s="167" t="s">
        <v>27</v>
      </c>
      <c r="Z77" s="166">
        <v>136.09</v>
      </c>
      <c r="AA77" s="165">
        <v>2365</v>
      </c>
    </row>
    <row r="78" spans="1:27" ht="15.75" hidden="1" customHeight="1" x14ac:dyDescent="0.2">
      <c r="A78" s="174" t="s">
        <v>905</v>
      </c>
      <c r="B78" s="173" t="s">
        <v>32</v>
      </c>
      <c r="C78" s="170" t="s">
        <v>110</v>
      </c>
      <c r="D78" s="172" t="s">
        <v>560</v>
      </c>
      <c r="E78" s="171" t="s">
        <v>561</v>
      </c>
      <c r="F78" s="170" t="s">
        <v>781</v>
      </c>
      <c r="G78" s="169" t="s">
        <v>563</v>
      </c>
      <c r="H78" s="169" t="s">
        <v>904</v>
      </c>
      <c r="I78" s="168">
        <v>0</v>
      </c>
      <c r="J78" s="168">
        <v>0</v>
      </c>
      <c r="K78" s="168">
        <v>0</v>
      </c>
      <c r="L78" s="168">
        <v>0</v>
      </c>
      <c r="M78" s="167">
        <v>0</v>
      </c>
      <c r="N78" s="168">
        <v>0</v>
      </c>
      <c r="O78" s="168">
        <v>0</v>
      </c>
      <c r="P78" s="167">
        <v>0</v>
      </c>
      <c r="Q78" s="167">
        <v>311.83999999999997</v>
      </c>
      <c r="R78" s="167">
        <v>0</v>
      </c>
      <c r="S78" s="167">
        <v>0</v>
      </c>
      <c r="T78" s="167">
        <v>0</v>
      </c>
      <c r="U78" s="167">
        <v>311.83999999999997</v>
      </c>
      <c r="V78" s="167">
        <v>311.83999999999997</v>
      </c>
      <c r="W78" s="167">
        <v>0</v>
      </c>
      <c r="X78" s="167">
        <v>311.83999999999997</v>
      </c>
      <c r="Y78" s="167" t="s">
        <v>27</v>
      </c>
      <c r="Z78" s="166">
        <v>311.83999999999997</v>
      </c>
      <c r="AA78" s="165">
        <v>5419</v>
      </c>
    </row>
    <row r="79" spans="1:27" ht="15.75" hidden="1" customHeight="1" x14ac:dyDescent="0.2">
      <c r="A79" s="174" t="s">
        <v>905</v>
      </c>
      <c r="B79" s="173" t="s">
        <v>32</v>
      </c>
      <c r="C79" s="170" t="s">
        <v>110</v>
      </c>
      <c r="D79" s="172" t="s">
        <v>570</v>
      </c>
      <c r="E79" s="171" t="s">
        <v>571</v>
      </c>
      <c r="F79" s="170" t="s">
        <v>781</v>
      </c>
      <c r="G79" s="169" t="s">
        <v>573</v>
      </c>
      <c r="H79" s="169" t="s">
        <v>904</v>
      </c>
      <c r="I79" s="168">
        <v>0</v>
      </c>
      <c r="J79" s="168">
        <v>0</v>
      </c>
      <c r="K79" s="168">
        <v>0</v>
      </c>
      <c r="L79" s="168">
        <v>0</v>
      </c>
      <c r="M79" s="167">
        <v>0</v>
      </c>
      <c r="N79" s="168">
        <v>0</v>
      </c>
      <c r="O79" s="168">
        <v>0</v>
      </c>
      <c r="P79" s="167">
        <v>0</v>
      </c>
      <c r="Q79" s="167">
        <v>403.78</v>
      </c>
      <c r="R79" s="167">
        <v>0</v>
      </c>
      <c r="S79" s="167">
        <v>0</v>
      </c>
      <c r="T79" s="167">
        <v>0</v>
      </c>
      <c r="U79" s="167">
        <v>403.78</v>
      </c>
      <c r="V79" s="167">
        <v>403.78</v>
      </c>
      <c r="W79" s="167">
        <v>0</v>
      </c>
      <c r="X79" s="167">
        <v>403.78</v>
      </c>
      <c r="Y79" s="167" t="s">
        <v>27</v>
      </c>
      <c r="Z79" s="166">
        <v>403.78</v>
      </c>
      <c r="AA79" s="165">
        <v>7017</v>
      </c>
    </row>
    <row r="80" spans="1:27" ht="15.75" hidden="1" customHeight="1" x14ac:dyDescent="0.2">
      <c r="A80" s="174" t="s">
        <v>905</v>
      </c>
      <c r="B80" s="173" t="s">
        <v>32</v>
      </c>
      <c r="C80" s="170" t="s">
        <v>110</v>
      </c>
      <c r="D80" s="172" t="s">
        <v>431</v>
      </c>
      <c r="E80" s="171" t="s">
        <v>432</v>
      </c>
      <c r="F80" s="170" t="s">
        <v>781</v>
      </c>
      <c r="G80" s="169" t="s">
        <v>434</v>
      </c>
      <c r="H80" s="169" t="s">
        <v>904</v>
      </c>
      <c r="I80" s="168">
        <v>0</v>
      </c>
      <c r="J80" s="168">
        <v>0</v>
      </c>
      <c r="K80" s="168">
        <v>0</v>
      </c>
      <c r="L80" s="168">
        <v>0</v>
      </c>
      <c r="M80" s="167">
        <v>0</v>
      </c>
      <c r="N80" s="168">
        <v>0</v>
      </c>
      <c r="O80" s="168">
        <v>0</v>
      </c>
      <c r="P80" s="167">
        <v>0</v>
      </c>
      <c r="Q80" s="167">
        <v>578.70000000000005</v>
      </c>
      <c r="R80" s="167">
        <v>0</v>
      </c>
      <c r="S80" s="167">
        <v>0</v>
      </c>
      <c r="T80" s="167">
        <v>0</v>
      </c>
      <c r="U80" s="167">
        <v>578.70000000000005</v>
      </c>
      <c r="V80" s="167">
        <v>578.70000000000005</v>
      </c>
      <c r="W80" s="167">
        <v>0</v>
      </c>
      <c r="X80" s="167">
        <v>578.70000000000005</v>
      </c>
      <c r="Y80" s="167" t="s">
        <v>27</v>
      </c>
      <c r="Z80" s="166">
        <v>578.70000000000005</v>
      </c>
      <c r="AA80" s="165">
        <v>10057</v>
      </c>
    </row>
    <row r="81" spans="1:27" ht="15.75" hidden="1" customHeight="1" x14ac:dyDescent="0.2">
      <c r="A81" s="174" t="s">
        <v>905</v>
      </c>
      <c r="B81" s="173" t="s">
        <v>32</v>
      </c>
      <c r="C81" s="170" t="s">
        <v>110</v>
      </c>
      <c r="D81" s="172" t="s">
        <v>491</v>
      </c>
      <c r="E81" s="171" t="s">
        <v>492</v>
      </c>
      <c r="F81" s="170" t="s">
        <v>781</v>
      </c>
      <c r="G81" s="169" t="s">
        <v>494</v>
      </c>
      <c r="H81" s="169" t="s">
        <v>904</v>
      </c>
      <c r="I81" s="168">
        <v>0</v>
      </c>
      <c r="J81" s="168">
        <v>0</v>
      </c>
      <c r="K81" s="168">
        <v>0</v>
      </c>
      <c r="L81" s="168">
        <v>0</v>
      </c>
      <c r="M81" s="167">
        <v>0</v>
      </c>
      <c r="N81" s="168">
        <v>0</v>
      </c>
      <c r="O81" s="168">
        <v>0</v>
      </c>
      <c r="P81" s="167">
        <v>0</v>
      </c>
      <c r="Q81" s="167">
        <v>445.38</v>
      </c>
      <c r="R81" s="167">
        <v>0</v>
      </c>
      <c r="S81" s="167">
        <v>0</v>
      </c>
      <c r="T81" s="167">
        <v>0</v>
      </c>
      <c r="U81" s="167">
        <v>445.38</v>
      </c>
      <c r="V81" s="167">
        <v>445.38</v>
      </c>
      <c r="W81" s="167">
        <v>0</v>
      </c>
      <c r="X81" s="167">
        <v>445.38</v>
      </c>
      <c r="Y81" s="167" t="s">
        <v>27</v>
      </c>
      <c r="Z81" s="166">
        <v>445.38</v>
      </c>
      <c r="AA81" s="165">
        <v>7740</v>
      </c>
    </row>
    <row r="82" spans="1:27" ht="15.75" hidden="1" customHeight="1" x14ac:dyDescent="0.2">
      <c r="A82" s="174" t="s">
        <v>905</v>
      </c>
      <c r="B82" s="173" t="s">
        <v>32</v>
      </c>
      <c r="C82" s="170" t="s">
        <v>110</v>
      </c>
      <c r="D82" s="172" t="s">
        <v>231</v>
      </c>
      <c r="E82" s="171" t="s">
        <v>232</v>
      </c>
      <c r="F82" s="170" t="s">
        <v>781</v>
      </c>
      <c r="G82" s="169" t="s">
        <v>234</v>
      </c>
      <c r="H82" s="169" t="s">
        <v>904</v>
      </c>
      <c r="I82" s="168">
        <v>0</v>
      </c>
      <c r="J82" s="168">
        <v>0</v>
      </c>
      <c r="K82" s="168">
        <v>0</v>
      </c>
      <c r="L82" s="168">
        <v>0</v>
      </c>
      <c r="M82" s="167">
        <v>0</v>
      </c>
      <c r="N82" s="168">
        <v>0</v>
      </c>
      <c r="O82" s="168">
        <v>0</v>
      </c>
      <c r="P82" s="167">
        <v>0</v>
      </c>
      <c r="Q82" s="167">
        <v>813.82</v>
      </c>
      <c r="R82" s="167">
        <v>0</v>
      </c>
      <c r="S82" s="167">
        <v>0</v>
      </c>
      <c r="T82" s="167">
        <v>0</v>
      </c>
      <c r="U82" s="167">
        <v>813.82</v>
      </c>
      <c r="V82" s="167">
        <v>813.82</v>
      </c>
      <c r="W82" s="167">
        <v>0</v>
      </c>
      <c r="X82" s="167">
        <v>813.82</v>
      </c>
      <c r="Y82" s="167" t="s">
        <v>27</v>
      </c>
      <c r="Z82" s="166">
        <v>813.82</v>
      </c>
      <c r="AA82" s="165">
        <v>14143</v>
      </c>
    </row>
    <row r="83" spans="1:27" ht="15.75" hidden="1" customHeight="1" x14ac:dyDescent="0.2">
      <c r="A83" s="174" t="s">
        <v>905</v>
      </c>
      <c r="B83" s="173" t="s">
        <v>32</v>
      </c>
      <c r="C83" s="170" t="s">
        <v>110</v>
      </c>
      <c r="D83" s="172" t="s">
        <v>261</v>
      </c>
      <c r="E83" s="171" t="s">
        <v>262</v>
      </c>
      <c r="F83" s="170" t="s">
        <v>781</v>
      </c>
      <c r="G83" s="169" t="s">
        <v>264</v>
      </c>
      <c r="H83" s="169" t="s">
        <v>904</v>
      </c>
      <c r="I83" s="168">
        <v>0</v>
      </c>
      <c r="J83" s="168">
        <v>0</v>
      </c>
      <c r="K83" s="168">
        <v>0</v>
      </c>
      <c r="L83" s="168">
        <v>0</v>
      </c>
      <c r="M83" s="167">
        <v>0</v>
      </c>
      <c r="N83" s="168">
        <v>0</v>
      </c>
      <c r="O83" s="168">
        <v>0</v>
      </c>
      <c r="P83" s="167">
        <v>0</v>
      </c>
      <c r="Q83" s="167">
        <v>475.17</v>
      </c>
      <c r="R83" s="167">
        <v>0</v>
      </c>
      <c r="S83" s="167">
        <v>0</v>
      </c>
      <c r="T83" s="167">
        <v>0</v>
      </c>
      <c r="U83" s="167">
        <v>475.17</v>
      </c>
      <c r="V83" s="167">
        <v>475.17</v>
      </c>
      <c r="W83" s="167">
        <v>0</v>
      </c>
      <c r="X83" s="167">
        <v>475.17</v>
      </c>
      <c r="Y83" s="167" t="s">
        <v>27</v>
      </c>
      <c r="Z83" s="166">
        <v>475.17</v>
      </c>
      <c r="AA83" s="165">
        <v>8257</v>
      </c>
    </row>
    <row r="84" spans="1:27" ht="15.75" hidden="1" customHeight="1" x14ac:dyDescent="0.2">
      <c r="A84" s="174" t="s">
        <v>905</v>
      </c>
      <c r="B84" s="173" t="s">
        <v>32</v>
      </c>
      <c r="C84" s="170" t="s">
        <v>110</v>
      </c>
      <c r="D84" s="172" t="s">
        <v>166</v>
      </c>
      <c r="E84" s="171" t="s">
        <v>167</v>
      </c>
      <c r="F84" s="170" t="s">
        <v>781</v>
      </c>
      <c r="G84" s="169" t="s">
        <v>169</v>
      </c>
      <c r="H84" s="169" t="s">
        <v>904</v>
      </c>
      <c r="I84" s="168">
        <v>0</v>
      </c>
      <c r="J84" s="168">
        <v>0</v>
      </c>
      <c r="K84" s="168">
        <v>0</v>
      </c>
      <c r="L84" s="168">
        <v>0</v>
      </c>
      <c r="M84" s="167">
        <v>0</v>
      </c>
      <c r="N84" s="168">
        <v>0</v>
      </c>
      <c r="O84" s="168">
        <v>0</v>
      </c>
      <c r="P84" s="167">
        <v>0</v>
      </c>
      <c r="Q84" s="167">
        <v>614.95000000000005</v>
      </c>
      <c r="R84" s="167">
        <v>0</v>
      </c>
      <c r="S84" s="167">
        <v>0</v>
      </c>
      <c r="T84" s="167">
        <v>0</v>
      </c>
      <c r="U84" s="167">
        <v>614.95000000000005</v>
      </c>
      <c r="V84" s="167">
        <v>614.95000000000005</v>
      </c>
      <c r="W84" s="167">
        <v>0</v>
      </c>
      <c r="X84" s="167">
        <v>614.95000000000005</v>
      </c>
      <c r="Y84" s="167" t="s">
        <v>27</v>
      </c>
      <c r="Z84" s="166">
        <v>614.95000000000005</v>
      </c>
      <c r="AA84" s="165">
        <v>10687</v>
      </c>
    </row>
    <row r="85" spans="1:27" ht="15.75" hidden="1" customHeight="1" x14ac:dyDescent="0.2">
      <c r="A85" s="174" t="s">
        <v>905</v>
      </c>
      <c r="B85" s="173" t="s">
        <v>32</v>
      </c>
      <c r="C85" s="170" t="s">
        <v>110</v>
      </c>
      <c r="D85" s="172" t="s">
        <v>376</v>
      </c>
      <c r="E85" s="171" t="s">
        <v>377</v>
      </c>
      <c r="F85" s="170" t="s">
        <v>781</v>
      </c>
      <c r="G85" s="169" t="s">
        <v>379</v>
      </c>
      <c r="H85" s="169" t="s">
        <v>904</v>
      </c>
      <c r="I85" s="168">
        <v>0</v>
      </c>
      <c r="J85" s="168">
        <v>0</v>
      </c>
      <c r="K85" s="168">
        <v>0</v>
      </c>
      <c r="L85" s="168">
        <v>0</v>
      </c>
      <c r="M85" s="167">
        <v>0</v>
      </c>
      <c r="N85" s="168">
        <v>0</v>
      </c>
      <c r="O85" s="168">
        <v>0</v>
      </c>
      <c r="P85" s="167">
        <v>0</v>
      </c>
      <c r="Q85" s="167">
        <v>612.78</v>
      </c>
      <c r="R85" s="167">
        <v>0</v>
      </c>
      <c r="S85" s="167">
        <v>0</v>
      </c>
      <c r="T85" s="167">
        <v>0</v>
      </c>
      <c r="U85" s="167">
        <v>612.78</v>
      </c>
      <c r="V85" s="167">
        <v>612.78</v>
      </c>
      <c r="W85" s="167">
        <v>0</v>
      </c>
      <c r="X85" s="167">
        <v>612.78</v>
      </c>
      <c r="Y85" s="167" t="s">
        <v>27</v>
      </c>
      <c r="Z85" s="166">
        <v>612.78</v>
      </c>
      <c r="AA85" s="165">
        <v>10649</v>
      </c>
    </row>
    <row r="86" spans="1:27" ht="15.75" hidden="1" customHeight="1" x14ac:dyDescent="0.2">
      <c r="A86" s="174" t="s">
        <v>905</v>
      </c>
      <c r="B86" s="173" t="s">
        <v>32</v>
      </c>
      <c r="C86" s="170" t="s">
        <v>110</v>
      </c>
      <c r="D86" s="172" t="s">
        <v>171</v>
      </c>
      <c r="E86" s="171" t="s">
        <v>172</v>
      </c>
      <c r="F86" s="170" t="s">
        <v>781</v>
      </c>
      <c r="G86" s="169" t="s">
        <v>174</v>
      </c>
      <c r="H86" s="169" t="s">
        <v>904</v>
      </c>
      <c r="I86" s="168">
        <v>0</v>
      </c>
      <c r="J86" s="168">
        <v>0</v>
      </c>
      <c r="K86" s="168">
        <v>0</v>
      </c>
      <c r="L86" s="168">
        <v>0</v>
      </c>
      <c r="M86" s="167">
        <v>0</v>
      </c>
      <c r="N86" s="168">
        <v>0</v>
      </c>
      <c r="O86" s="168">
        <v>0</v>
      </c>
      <c r="P86" s="167">
        <v>0</v>
      </c>
      <c r="Q86" s="167">
        <v>412.27</v>
      </c>
      <c r="R86" s="167">
        <v>0</v>
      </c>
      <c r="S86" s="167">
        <v>0</v>
      </c>
      <c r="T86" s="167">
        <v>0</v>
      </c>
      <c r="U86" s="167">
        <v>412.27</v>
      </c>
      <c r="V86" s="167">
        <v>412.27</v>
      </c>
      <c r="W86" s="167">
        <v>0</v>
      </c>
      <c r="X86" s="167">
        <v>412.27</v>
      </c>
      <c r="Y86" s="167" t="s">
        <v>27</v>
      </c>
      <c r="Z86" s="166">
        <v>412.27</v>
      </c>
      <c r="AA86" s="165">
        <v>7164</v>
      </c>
    </row>
    <row r="87" spans="1:27" ht="15.75" hidden="1" customHeight="1" x14ac:dyDescent="0.2">
      <c r="A87" s="174" t="s">
        <v>905</v>
      </c>
      <c r="B87" s="173" t="s">
        <v>32</v>
      </c>
      <c r="C87" s="170" t="s">
        <v>110</v>
      </c>
      <c r="D87" s="172" t="s">
        <v>391</v>
      </c>
      <c r="E87" s="171" t="s">
        <v>392</v>
      </c>
      <c r="F87" s="170" t="s">
        <v>781</v>
      </c>
      <c r="G87" s="169" t="s">
        <v>394</v>
      </c>
      <c r="H87" s="169" t="s">
        <v>904</v>
      </c>
      <c r="I87" s="168">
        <v>0</v>
      </c>
      <c r="J87" s="168">
        <v>0</v>
      </c>
      <c r="K87" s="168">
        <v>0</v>
      </c>
      <c r="L87" s="168">
        <v>0</v>
      </c>
      <c r="M87" s="167">
        <v>0</v>
      </c>
      <c r="N87" s="168">
        <v>0</v>
      </c>
      <c r="O87" s="168">
        <v>0</v>
      </c>
      <c r="P87" s="167">
        <v>0</v>
      </c>
      <c r="Q87" s="167">
        <v>294.83</v>
      </c>
      <c r="R87" s="167">
        <v>0</v>
      </c>
      <c r="S87" s="167">
        <v>0</v>
      </c>
      <c r="T87" s="167">
        <v>0</v>
      </c>
      <c r="U87" s="167">
        <v>294.83</v>
      </c>
      <c r="V87" s="167">
        <v>294.83</v>
      </c>
      <c r="W87" s="167">
        <v>0</v>
      </c>
      <c r="X87" s="167">
        <v>294.83</v>
      </c>
      <c r="Y87" s="167" t="s">
        <v>27</v>
      </c>
      <c r="Z87" s="166">
        <v>294.83</v>
      </c>
      <c r="AA87" s="165">
        <v>5124</v>
      </c>
    </row>
    <row r="88" spans="1:27" ht="15.75" hidden="1" customHeight="1" x14ac:dyDescent="0.2">
      <c r="A88" s="174" t="s">
        <v>905</v>
      </c>
      <c r="B88" s="173" t="s">
        <v>32</v>
      </c>
      <c r="C88" s="170" t="s">
        <v>110</v>
      </c>
      <c r="D88" s="172" t="s">
        <v>176</v>
      </c>
      <c r="E88" s="171" t="s">
        <v>177</v>
      </c>
      <c r="F88" s="170" t="s">
        <v>781</v>
      </c>
      <c r="G88" s="169" t="s">
        <v>179</v>
      </c>
      <c r="H88" s="169" t="s">
        <v>904</v>
      </c>
      <c r="I88" s="168">
        <v>0</v>
      </c>
      <c r="J88" s="168">
        <v>0</v>
      </c>
      <c r="K88" s="168">
        <v>0</v>
      </c>
      <c r="L88" s="168">
        <v>0</v>
      </c>
      <c r="M88" s="167">
        <v>0</v>
      </c>
      <c r="N88" s="168">
        <v>0</v>
      </c>
      <c r="O88" s="168">
        <v>0</v>
      </c>
      <c r="P88" s="167">
        <v>0</v>
      </c>
      <c r="Q88" s="167">
        <v>1854.47</v>
      </c>
      <c r="R88" s="167">
        <v>0</v>
      </c>
      <c r="S88" s="167">
        <v>0</v>
      </c>
      <c r="T88" s="167">
        <v>0</v>
      </c>
      <c r="U88" s="167">
        <v>1854.47</v>
      </c>
      <c r="V88" s="167">
        <v>1854.47</v>
      </c>
      <c r="W88" s="167">
        <v>0</v>
      </c>
      <c r="X88" s="167">
        <v>1854.47</v>
      </c>
      <c r="Y88" s="167" t="s">
        <v>27</v>
      </c>
      <c r="Z88" s="166">
        <v>1854.47</v>
      </c>
      <c r="AA88" s="165">
        <v>32227</v>
      </c>
    </row>
    <row r="89" spans="1:27" ht="15.75" hidden="1" customHeight="1" x14ac:dyDescent="0.2">
      <c r="A89" s="174" t="s">
        <v>905</v>
      </c>
      <c r="B89" s="173" t="s">
        <v>32</v>
      </c>
      <c r="C89" s="170" t="s">
        <v>110</v>
      </c>
      <c r="D89" s="172" t="s">
        <v>201</v>
      </c>
      <c r="E89" s="171" t="s">
        <v>202</v>
      </c>
      <c r="F89" s="170" t="s">
        <v>781</v>
      </c>
      <c r="G89" s="169" t="s">
        <v>204</v>
      </c>
      <c r="H89" s="169" t="s">
        <v>904</v>
      </c>
      <c r="I89" s="168">
        <v>0</v>
      </c>
      <c r="J89" s="168">
        <v>0</v>
      </c>
      <c r="K89" s="168">
        <v>0</v>
      </c>
      <c r="L89" s="168">
        <v>0</v>
      </c>
      <c r="M89" s="167">
        <v>0</v>
      </c>
      <c r="N89" s="168">
        <v>0</v>
      </c>
      <c r="O89" s="168">
        <v>0</v>
      </c>
      <c r="P89" s="167">
        <v>0</v>
      </c>
      <c r="Q89" s="167">
        <v>148.97</v>
      </c>
      <c r="R89" s="167">
        <v>0</v>
      </c>
      <c r="S89" s="167">
        <v>0</v>
      </c>
      <c r="T89" s="167">
        <v>0</v>
      </c>
      <c r="U89" s="167">
        <v>148.97</v>
      </c>
      <c r="V89" s="167">
        <v>148.97</v>
      </c>
      <c r="W89" s="167">
        <v>0</v>
      </c>
      <c r="X89" s="167">
        <v>148.97</v>
      </c>
      <c r="Y89" s="167" t="s">
        <v>27</v>
      </c>
      <c r="Z89" s="166">
        <v>148.97</v>
      </c>
      <c r="AA89" s="165">
        <v>2589</v>
      </c>
    </row>
    <row r="90" spans="1:27" ht="15.75" hidden="1" customHeight="1" x14ac:dyDescent="0.2">
      <c r="A90" s="174" t="s">
        <v>905</v>
      </c>
      <c r="B90" s="173" t="s">
        <v>32</v>
      </c>
      <c r="C90" s="170" t="s">
        <v>110</v>
      </c>
      <c r="D90" s="172" t="s">
        <v>196</v>
      </c>
      <c r="E90" s="171" t="s">
        <v>197</v>
      </c>
      <c r="F90" s="170" t="s">
        <v>781</v>
      </c>
      <c r="G90" s="169" t="s">
        <v>199</v>
      </c>
      <c r="H90" s="169" t="s">
        <v>904</v>
      </c>
      <c r="I90" s="168">
        <v>0</v>
      </c>
      <c r="J90" s="168">
        <v>0</v>
      </c>
      <c r="K90" s="168">
        <v>0</v>
      </c>
      <c r="L90" s="168">
        <v>0</v>
      </c>
      <c r="M90" s="167">
        <v>0</v>
      </c>
      <c r="N90" s="168">
        <v>0</v>
      </c>
      <c r="O90" s="168">
        <v>0</v>
      </c>
      <c r="P90" s="167">
        <v>0</v>
      </c>
      <c r="Q90" s="167">
        <v>232.63</v>
      </c>
      <c r="R90" s="167">
        <v>0</v>
      </c>
      <c r="S90" s="167">
        <v>0</v>
      </c>
      <c r="T90" s="167">
        <v>0</v>
      </c>
      <c r="U90" s="167">
        <v>232.63</v>
      </c>
      <c r="V90" s="167">
        <v>232.63</v>
      </c>
      <c r="W90" s="167">
        <v>0</v>
      </c>
      <c r="X90" s="167">
        <v>232.63</v>
      </c>
      <c r="Y90" s="167" t="s">
        <v>27</v>
      </c>
      <c r="Z90" s="166">
        <v>232.63</v>
      </c>
      <c r="AA90" s="165">
        <v>4043</v>
      </c>
    </row>
    <row r="91" spans="1:27" ht="15.75" hidden="1" customHeight="1" x14ac:dyDescent="0.2">
      <c r="A91" s="174" t="s">
        <v>905</v>
      </c>
      <c r="B91" s="173" t="s">
        <v>32</v>
      </c>
      <c r="C91" s="170" t="s">
        <v>110</v>
      </c>
      <c r="D91" s="172" t="s">
        <v>251</v>
      </c>
      <c r="E91" s="171" t="s">
        <v>252</v>
      </c>
      <c r="F91" s="170" t="s">
        <v>781</v>
      </c>
      <c r="G91" s="169" t="s">
        <v>254</v>
      </c>
      <c r="H91" s="169" t="s">
        <v>904</v>
      </c>
      <c r="I91" s="168">
        <v>0</v>
      </c>
      <c r="J91" s="168">
        <v>0</v>
      </c>
      <c r="K91" s="168">
        <v>0</v>
      </c>
      <c r="L91" s="168">
        <v>0</v>
      </c>
      <c r="M91" s="167">
        <v>0</v>
      </c>
      <c r="N91" s="168">
        <v>0</v>
      </c>
      <c r="O91" s="168">
        <v>0</v>
      </c>
      <c r="P91" s="167">
        <v>0</v>
      </c>
      <c r="Q91" s="167">
        <v>109.75</v>
      </c>
      <c r="R91" s="167">
        <v>0</v>
      </c>
      <c r="S91" s="167">
        <v>0</v>
      </c>
      <c r="T91" s="167">
        <v>0</v>
      </c>
      <c r="U91" s="167">
        <v>109.75</v>
      </c>
      <c r="V91" s="167">
        <v>109.75</v>
      </c>
      <c r="W91" s="167">
        <v>0</v>
      </c>
      <c r="X91" s="167">
        <v>109.75</v>
      </c>
      <c r="Y91" s="167" t="s">
        <v>27</v>
      </c>
      <c r="Z91" s="166">
        <v>109.75</v>
      </c>
      <c r="AA91" s="165">
        <v>1907</v>
      </c>
    </row>
    <row r="92" spans="1:27" ht="15.75" hidden="1" customHeight="1" x14ac:dyDescent="0.2">
      <c r="A92" s="174" t="s">
        <v>905</v>
      </c>
      <c r="B92" s="173" t="s">
        <v>32</v>
      </c>
      <c r="C92" s="170" t="s">
        <v>110</v>
      </c>
      <c r="D92" s="172" t="s">
        <v>266</v>
      </c>
      <c r="E92" s="171" t="s">
        <v>267</v>
      </c>
      <c r="F92" s="170" t="s">
        <v>781</v>
      </c>
      <c r="G92" s="169" t="s">
        <v>269</v>
      </c>
      <c r="H92" s="169" t="s">
        <v>904</v>
      </c>
      <c r="I92" s="168">
        <v>0</v>
      </c>
      <c r="J92" s="168">
        <v>0</v>
      </c>
      <c r="K92" s="168">
        <v>0</v>
      </c>
      <c r="L92" s="168">
        <v>0</v>
      </c>
      <c r="M92" s="167">
        <v>0</v>
      </c>
      <c r="N92" s="168">
        <v>0</v>
      </c>
      <c r="O92" s="168">
        <v>0</v>
      </c>
      <c r="P92" s="167">
        <v>0</v>
      </c>
      <c r="Q92" s="167">
        <v>353.39</v>
      </c>
      <c r="R92" s="167">
        <v>0</v>
      </c>
      <c r="S92" s="167">
        <v>0</v>
      </c>
      <c r="T92" s="167">
        <v>0</v>
      </c>
      <c r="U92" s="167">
        <v>353.39</v>
      </c>
      <c r="V92" s="167">
        <v>353.39</v>
      </c>
      <c r="W92" s="167">
        <v>0</v>
      </c>
      <c r="X92" s="167">
        <v>353.39</v>
      </c>
      <c r="Y92" s="167" t="s">
        <v>27</v>
      </c>
      <c r="Z92" s="166">
        <v>353.39</v>
      </c>
      <c r="AA92" s="165">
        <v>6141</v>
      </c>
    </row>
    <row r="93" spans="1:27" ht="15.75" hidden="1" customHeight="1" x14ac:dyDescent="0.2">
      <c r="A93" s="174" t="s">
        <v>905</v>
      </c>
      <c r="B93" s="173" t="s">
        <v>32</v>
      </c>
      <c r="C93" s="170" t="s">
        <v>110</v>
      </c>
      <c r="D93" s="172" t="s">
        <v>276</v>
      </c>
      <c r="E93" s="171" t="s">
        <v>277</v>
      </c>
      <c r="F93" s="170" t="s">
        <v>781</v>
      </c>
      <c r="G93" s="169" t="s">
        <v>279</v>
      </c>
      <c r="H93" s="169" t="s">
        <v>904</v>
      </c>
      <c r="I93" s="168">
        <v>0</v>
      </c>
      <c r="J93" s="168">
        <v>0</v>
      </c>
      <c r="K93" s="168">
        <v>0</v>
      </c>
      <c r="L93" s="168">
        <v>0</v>
      </c>
      <c r="M93" s="167">
        <v>0</v>
      </c>
      <c r="N93" s="168">
        <v>0</v>
      </c>
      <c r="O93" s="168">
        <v>0</v>
      </c>
      <c r="P93" s="167">
        <v>0</v>
      </c>
      <c r="Q93" s="167">
        <v>613.1</v>
      </c>
      <c r="R93" s="167">
        <v>0</v>
      </c>
      <c r="S93" s="167">
        <v>0</v>
      </c>
      <c r="T93" s="167">
        <v>0</v>
      </c>
      <c r="U93" s="167">
        <v>613.1</v>
      </c>
      <c r="V93" s="167">
        <v>613.1</v>
      </c>
      <c r="W93" s="167">
        <v>0</v>
      </c>
      <c r="X93" s="167">
        <v>613.1</v>
      </c>
      <c r="Y93" s="167" t="s">
        <v>27</v>
      </c>
      <c r="Z93" s="166">
        <v>613.1</v>
      </c>
      <c r="AA93" s="165">
        <v>10654</v>
      </c>
    </row>
    <row r="94" spans="1:27" ht="15.75" hidden="1" customHeight="1" x14ac:dyDescent="0.2">
      <c r="A94" s="174" t="s">
        <v>905</v>
      </c>
      <c r="B94" s="173" t="s">
        <v>32</v>
      </c>
      <c r="C94" s="170" t="s">
        <v>110</v>
      </c>
      <c r="D94" s="172" t="s">
        <v>291</v>
      </c>
      <c r="E94" s="171" t="s">
        <v>292</v>
      </c>
      <c r="F94" s="170" t="s">
        <v>781</v>
      </c>
      <c r="G94" s="169" t="s">
        <v>294</v>
      </c>
      <c r="H94" s="169" t="s">
        <v>904</v>
      </c>
      <c r="I94" s="168">
        <v>0</v>
      </c>
      <c r="J94" s="168">
        <v>0</v>
      </c>
      <c r="K94" s="168">
        <v>0</v>
      </c>
      <c r="L94" s="168">
        <v>0</v>
      </c>
      <c r="M94" s="167">
        <v>0</v>
      </c>
      <c r="N94" s="168">
        <v>0</v>
      </c>
      <c r="O94" s="168">
        <v>0</v>
      </c>
      <c r="P94" s="167">
        <v>0</v>
      </c>
      <c r="Q94" s="167">
        <v>273.82</v>
      </c>
      <c r="R94" s="167">
        <v>0</v>
      </c>
      <c r="S94" s="167">
        <v>0</v>
      </c>
      <c r="T94" s="167">
        <v>0</v>
      </c>
      <c r="U94" s="167">
        <v>273.82</v>
      </c>
      <c r="V94" s="167">
        <v>273.82</v>
      </c>
      <c r="W94" s="167">
        <v>0</v>
      </c>
      <c r="X94" s="167">
        <v>273.82</v>
      </c>
      <c r="Y94" s="167" t="s">
        <v>27</v>
      </c>
      <c r="Z94" s="166">
        <v>273.82</v>
      </c>
      <c r="AA94" s="165">
        <v>4758</v>
      </c>
    </row>
    <row r="95" spans="1:27" ht="15.75" hidden="1" customHeight="1" x14ac:dyDescent="0.2">
      <c r="A95" s="174" t="s">
        <v>905</v>
      </c>
      <c r="B95" s="173" t="s">
        <v>32</v>
      </c>
      <c r="C95" s="170" t="s">
        <v>110</v>
      </c>
      <c r="D95" s="172" t="s">
        <v>306</v>
      </c>
      <c r="E95" s="171" t="s">
        <v>307</v>
      </c>
      <c r="F95" s="170" t="s">
        <v>781</v>
      </c>
      <c r="G95" s="169" t="s">
        <v>309</v>
      </c>
      <c r="H95" s="169" t="s">
        <v>904</v>
      </c>
      <c r="I95" s="168">
        <v>0</v>
      </c>
      <c r="J95" s="168">
        <v>0</v>
      </c>
      <c r="K95" s="168">
        <v>0</v>
      </c>
      <c r="L95" s="168">
        <v>0</v>
      </c>
      <c r="M95" s="167">
        <v>0</v>
      </c>
      <c r="N95" s="168">
        <v>0</v>
      </c>
      <c r="O95" s="168">
        <v>0</v>
      </c>
      <c r="P95" s="167">
        <v>0</v>
      </c>
      <c r="Q95" s="167">
        <v>792.7</v>
      </c>
      <c r="R95" s="167">
        <v>0</v>
      </c>
      <c r="S95" s="167">
        <v>0</v>
      </c>
      <c r="T95" s="167">
        <v>0</v>
      </c>
      <c r="U95" s="167">
        <v>792.7</v>
      </c>
      <c r="V95" s="167">
        <v>792.7</v>
      </c>
      <c r="W95" s="167">
        <v>0</v>
      </c>
      <c r="X95" s="167">
        <v>792.7</v>
      </c>
      <c r="Y95" s="167" t="s">
        <v>27</v>
      </c>
      <c r="Z95" s="166">
        <v>792.7</v>
      </c>
      <c r="AA95" s="165">
        <v>13775</v>
      </c>
    </row>
    <row r="96" spans="1:27" ht="15.75" customHeight="1" x14ac:dyDescent="0.2">
      <c r="A96" s="174" t="s">
        <v>905</v>
      </c>
      <c r="B96" s="173" t="s">
        <v>32</v>
      </c>
      <c r="C96" s="170" t="s">
        <v>113</v>
      </c>
      <c r="D96" s="172" t="s">
        <v>26</v>
      </c>
      <c r="E96" s="171" t="s">
        <v>27</v>
      </c>
      <c r="F96" s="170" t="s">
        <v>27</v>
      </c>
      <c r="G96" s="169" t="s">
        <v>114</v>
      </c>
      <c r="H96" s="169" t="s">
        <v>909</v>
      </c>
      <c r="I96" s="168">
        <v>12754.34</v>
      </c>
      <c r="J96" s="168">
        <v>0</v>
      </c>
      <c r="K96" s="168">
        <v>0</v>
      </c>
      <c r="L96" s="168">
        <v>0</v>
      </c>
      <c r="M96" s="167">
        <v>12754.34</v>
      </c>
      <c r="N96" s="168">
        <v>0</v>
      </c>
      <c r="O96" s="168">
        <v>0</v>
      </c>
      <c r="P96" s="167">
        <v>0</v>
      </c>
      <c r="Q96" s="167">
        <v>0</v>
      </c>
      <c r="R96" s="167">
        <v>0</v>
      </c>
      <c r="S96" s="167">
        <v>0</v>
      </c>
      <c r="T96" s="167">
        <v>0</v>
      </c>
      <c r="U96" s="167">
        <v>0</v>
      </c>
      <c r="V96" s="167">
        <v>12754.34</v>
      </c>
      <c r="W96" s="167">
        <v>0</v>
      </c>
      <c r="X96" s="167">
        <v>12754.34</v>
      </c>
      <c r="Y96" s="167" t="s">
        <v>27</v>
      </c>
      <c r="Z96" s="166">
        <v>12754.34</v>
      </c>
      <c r="AA96" s="165">
        <v>221644</v>
      </c>
    </row>
    <row r="97" spans="1:27" ht="15.75" customHeight="1" x14ac:dyDescent="0.2">
      <c r="A97" s="174" t="s">
        <v>905</v>
      </c>
      <c r="B97" s="173" t="s">
        <v>32</v>
      </c>
      <c r="C97" s="170" t="s">
        <v>116</v>
      </c>
      <c r="D97" s="172" t="s">
        <v>26</v>
      </c>
      <c r="E97" s="171" t="s">
        <v>27</v>
      </c>
      <c r="F97" s="170" t="s">
        <v>27</v>
      </c>
      <c r="G97" s="169" t="s">
        <v>117</v>
      </c>
      <c r="H97" s="169" t="s">
        <v>906</v>
      </c>
      <c r="I97" s="168">
        <v>568.89</v>
      </c>
      <c r="J97" s="168">
        <v>0</v>
      </c>
      <c r="K97" s="168">
        <v>0</v>
      </c>
      <c r="L97" s="168">
        <v>0</v>
      </c>
      <c r="M97" s="167">
        <v>568.89</v>
      </c>
      <c r="N97" s="168">
        <v>0</v>
      </c>
      <c r="O97" s="168">
        <v>0</v>
      </c>
      <c r="P97" s="167">
        <v>0</v>
      </c>
      <c r="Q97" s="167">
        <v>0</v>
      </c>
      <c r="R97" s="167">
        <v>0</v>
      </c>
      <c r="S97" s="167">
        <v>0</v>
      </c>
      <c r="T97" s="167">
        <v>0</v>
      </c>
      <c r="U97" s="167">
        <v>0</v>
      </c>
      <c r="V97" s="167">
        <v>568.89</v>
      </c>
      <c r="W97" s="167">
        <v>0</v>
      </c>
      <c r="X97" s="167">
        <v>568.89</v>
      </c>
      <c r="Y97" s="167" t="s">
        <v>27</v>
      </c>
      <c r="Z97" s="166">
        <v>568.89</v>
      </c>
      <c r="AA97" s="165">
        <v>9886</v>
      </c>
    </row>
    <row r="98" spans="1:27" ht="15.75" customHeight="1" x14ac:dyDescent="0.2">
      <c r="A98" s="174" t="s">
        <v>905</v>
      </c>
      <c r="B98" s="173" t="s">
        <v>32</v>
      </c>
      <c r="C98" s="170" t="s">
        <v>119</v>
      </c>
      <c r="D98" s="172" t="s">
        <v>26</v>
      </c>
      <c r="E98" s="171" t="s">
        <v>27</v>
      </c>
      <c r="F98" s="170" t="s">
        <v>27</v>
      </c>
      <c r="G98" s="169" t="s">
        <v>120</v>
      </c>
      <c r="H98" s="169" t="s">
        <v>906</v>
      </c>
      <c r="I98" s="168">
        <v>6594.67</v>
      </c>
      <c r="J98" s="168">
        <v>0</v>
      </c>
      <c r="K98" s="168">
        <v>0</v>
      </c>
      <c r="L98" s="168">
        <v>0</v>
      </c>
      <c r="M98" s="167">
        <v>6594.67</v>
      </c>
      <c r="N98" s="168">
        <v>0</v>
      </c>
      <c r="O98" s="168">
        <v>0</v>
      </c>
      <c r="P98" s="167">
        <v>0</v>
      </c>
      <c r="Q98" s="167">
        <v>0</v>
      </c>
      <c r="R98" s="167">
        <v>0</v>
      </c>
      <c r="S98" s="167">
        <v>0</v>
      </c>
      <c r="T98" s="167">
        <v>0</v>
      </c>
      <c r="U98" s="167">
        <v>0</v>
      </c>
      <c r="V98" s="167">
        <v>6594.67</v>
      </c>
      <c r="W98" s="167">
        <v>0</v>
      </c>
      <c r="X98" s="167">
        <v>6594.67</v>
      </c>
      <c r="Y98" s="167" t="s">
        <v>27</v>
      </c>
      <c r="Z98" s="166">
        <v>6594.67</v>
      </c>
      <c r="AA98" s="165">
        <v>114602</v>
      </c>
    </row>
    <row r="99" spans="1:27" ht="15.75" customHeight="1" x14ac:dyDescent="0.2">
      <c r="A99" s="174" t="s">
        <v>905</v>
      </c>
      <c r="B99" s="173" t="s">
        <v>32</v>
      </c>
      <c r="C99" s="170" t="s">
        <v>122</v>
      </c>
      <c r="D99" s="172" t="s">
        <v>26</v>
      </c>
      <c r="E99" s="171" t="s">
        <v>27</v>
      </c>
      <c r="F99" s="170" t="s">
        <v>27</v>
      </c>
      <c r="G99" s="169" t="s">
        <v>123</v>
      </c>
      <c r="H99" s="169" t="s">
        <v>906</v>
      </c>
      <c r="I99" s="168">
        <v>4348.2</v>
      </c>
      <c r="J99" s="168">
        <v>0</v>
      </c>
      <c r="K99" s="168">
        <v>0</v>
      </c>
      <c r="L99" s="168">
        <v>0</v>
      </c>
      <c r="M99" s="167">
        <v>4348.2</v>
      </c>
      <c r="N99" s="168">
        <v>0</v>
      </c>
      <c r="O99" s="168">
        <v>0</v>
      </c>
      <c r="P99" s="167">
        <v>0</v>
      </c>
      <c r="Q99" s="167">
        <v>0</v>
      </c>
      <c r="R99" s="167">
        <v>0</v>
      </c>
      <c r="S99" s="167">
        <v>0</v>
      </c>
      <c r="T99" s="167">
        <v>0</v>
      </c>
      <c r="U99" s="167">
        <v>0</v>
      </c>
      <c r="V99" s="167">
        <v>4348.2</v>
      </c>
      <c r="W99" s="167">
        <v>0</v>
      </c>
      <c r="X99" s="167">
        <v>4348.2</v>
      </c>
      <c r="Y99" s="167" t="s">
        <v>27</v>
      </c>
      <c r="Z99" s="166">
        <v>4348.2</v>
      </c>
      <c r="AA99" s="165">
        <v>75563</v>
      </c>
    </row>
    <row r="100" spans="1:27" ht="15.75" customHeight="1" x14ac:dyDescent="0.2">
      <c r="A100" s="174" t="s">
        <v>905</v>
      </c>
      <c r="B100" s="173" t="s">
        <v>32</v>
      </c>
      <c r="C100" s="170" t="s">
        <v>125</v>
      </c>
      <c r="D100" s="172" t="s">
        <v>26</v>
      </c>
      <c r="E100" s="171" t="s">
        <v>27</v>
      </c>
      <c r="F100" s="170" t="s">
        <v>27</v>
      </c>
      <c r="G100" s="169" t="s">
        <v>126</v>
      </c>
      <c r="H100" s="169" t="s">
        <v>906</v>
      </c>
      <c r="I100" s="168">
        <v>2890.93</v>
      </c>
      <c r="J100" s="168">
        <v>0</v>
      </c>
      <c r="K100" s="168">
        <v>0</v>
      </c>
      <c r="L100" s="168">
        <v>0</v>
      </c>
      <c r="M100" s="167">
        <v>2890.93</v>
      </c>
      <c r="N100" s="168">
        <v>0</v>
      </c>
      <c r="O100" s="168">
        <v>0</v>
      </c>
      <c r="P100" s="167">
        <v>0</v>
      </c>
      <c r="Q100" s="167">
        <v>0</v>
      </c>
      <c r="R100" s="167">
        <v>0</v>
      </c>
      <c r="S100" s="167">
        <v>0</v>
      </c>
      <c r="T100" s="167">
        <v>0</v>
      </c>
      <c r="U100" s="167">
        <v>0</v>
      </c>
      <c r="V100" s="167">
        <v>2890.93</v>
      </c>
      <c r="W100" s="167">
        <v>0</v>
      </c>
      <c r="X100" s="167">
        <v>2890.93</v>
      </c>
      <c r="Y100" s="167" t="s">
        <v>27</v>
      </c>
      <c r="Z100" s="166">
        <v>2890.93</v>
      </c>
      <c r="AA100" s="165">
        <v>50238</v>
      </c>
    </row>
    <row r="101" spans="1:27" ht="15.75" customHeight="1" x14ac:dyDescent="0.2">
      <c r="A101" s="174" t="s">
        <v>905</v>
      </c>
      <c r="B101" s="173" t="s">
        <v>32</v>
      </c>
      <c r="C101" s="170" t="s">
        <v>128</v>
      </c>
      <c r="D101" s="172" t="s">
        <v>26</v>
      </c>
      <c r="E101" s="171" t="s">
        <v>27</v>
      </c>
      <c r="F101" s="170" t="s">
        <v>27</v>
      </c>
      <c r="G101" s="169" t="s">
        <v>129</v>
      </c>
      <c r="H101" s="169" t="s">
        <v>906</v>
      </c>
      <c r="I101" s="168">
        <v>4883.68</v>
      </c>
      <c r="J101" s="168">
        <v>0</v>
      </c>
      <c r="K101" s="168">
        <v>0</v>
      </c>
      <c r="L101" s="168">
        <v>0</v>
      </c>
      <c r="M101" s="167">
        <v>4883.68</v>
      </c>
      <c r="N101" s="168">
        <v>0</v>
      </c>
      <c r="O101" s="168">
        <v>0</v>
      </c>
      <c r="P101" s="167">
        <v>0</v>
      </c>
      <c r="Q101" s="167">
        <v>0</v>
      </c>
      <c r="R101" s="167">
        <v>0</v>
      </c>
      <c r="S101" s="167">
        <v>0</v>
      </c>
      <c r="T101" s="167">
        <v>0</v>
      </c>
      <c r="U101" s="167">
        <v>0</v>
      </c>
      <c r="V101" s="167">
        <v>4883.68</v>
      </c>
      <c r="W101" s="167">
        <v>0</v>
      </c>
      <c r="X101" s="167">
        <v>4883.68</v>
      </c>
      <c r="Y101" s="167" t="s">
        <v>27</v>
      </c>
      <c r="Z101" s="166">
        <v>4883.68</v>
      </c>
      <c r="AA101" s="165">
        <v>84868</v>
      </c>
    </row>
    <row r="102" spans="1:27" ht="15.75" hidden="1" customHeight="1" x14ac:dyDescent="0.2">
      <c r="A102" s="174" t="s">
        <v>905</v>
      </c>
      <c r="B102" s="173" t="s">
        <v>32</v>
      </c>
      <c r="C102" s="170" t="s">
        <v>128</v>
      </c>
      <c r="D102" s="172" t="s">
        <v>813</v>
      </c>
      <c r="E102" s="171" t="s">
        <v>812</v>
      </c>
      <c r="F102" s="170" t="s">
        <v>780</v>
      </c>
      <c r="G102" s="169" t="s">
        <v>811</v>
      </c>
      <c r="H102" s="169" t="s">
        <v>906</v>
      </c>
      <c r="I102" s="168">
        <v>0</v>
      </c>
      <c r="J102" s="168">
        <v>0</v>
      </c>
      <c r="K102" s="168">
        <v>0</v>
      </c>
      <c r="L102" s="168">
        <v>0</v>
      </c>
      <c r="M102" s="167">
        <v>0</v>
      </c>
      <c r="N102" s="168">
        <v>0</v>
      </c>
      <c r="O102" s="168">
        <v>0</v>
      </c>
      <c r="P102" s="167">
        <v>0</v>
      </c>
      <c r="Q102" s="167">
        <v>840.08</v>
      </c>
      <c r="R102" s="167">
        <v>0</v>
      </c>
      <c r="S102" s="167">
        <v>0</v>
      </c>
      <c r="T102" s="167">
        <v>0</v>
      </c>
      <c r="U102" s="167">
        <v>840.08</v>
      </c>
      <c r="V102" s="167">
        <v>840.08</v>
      </c>
      <c r="W102" s="167">
        <v>0</v>
      </c>
      <c r="X102" s="167">
        <v>840.08</v>
      </c>
      <c r="Y102" s="167" t="s">
        <v>27</v>
      </c>
      <c r="Z102" s="166">
        <v>840.08</v>
      </c>
      <c r="AA102" s="165">
        <v>14599</v>
      </c>
    </row>
    <row r="103" spans="1:27" ht="15.75" hidden="1" customHeight="1" x14ac:dyDescent="0.2">
      <c r="A103" s="174" t="s">
        <v>905</v>
      </c>
      <c r="B103" s="173" t="s">
        <v>32</v>
      </c>
      <c r="C103" s="170" t="s">
        <v>128</v>
      </c>
      <c r="D103" s="172" t="s">
        <v>810</v>
      </c>
      <c r="E103" s="171" t="s">
        <v>809</v>
      </c>
      <c r="F103" s="170" t="s">
        <v>780</v>
      </c>
      <c r="G103" s="169" t="s">
        <v>808</v>
      </c>
      <c r="H103" s="169" t="s">
        <v>906</v>
      </c>
      <c r="I103" s="168">
        <v>0</v>
      </c>
      <c r="J103" s="168">
        <v>0</v>
      </c>
      <c r="K103" s="168">
        <v>0</v>
      </c>
      <c r="L103" s="168">
        <v>0</v>
      </c>
      <c r="M103" s="167">
        <v>0</v>
      </c>
      <c r="N103" s="168">
        <v>0</v>
      </c>
      <c r="O103" s="168">
        <v>0</v>
      </c>
      <c r="P103" s="167">
        <v>0</v>
      </c>
      <c r="Q103" s="167">
        <v>1085.06</v>
      </c>
      <c r="R103" s="167">
        <v>0</v>
      </c>
      <c r="S103" s="167">
        <v>0</v>
      </c>
      <c r="T103" s="167">
        <v>0</v>
      </c>
      <c r="U103" s="167">
        <v>1085.06</v>
      </c>
      <c r="V103" s="167">
        <v>1085.06</v>
      </c>
      <c r="W103" s="167">
        <v>0</v>
      </c>
      <c r="X103" s="167">
        <v>1085.06</v>
      </c>
      <c r="Y103" s="167" t="s">
        <v>27</v>
      </c>
      <c r="Z103" s="166">
        <v>1085.06</v>
      </c>
      <c r="AA103" s="165">
        <v>18856</v>
      </c>
    </row>
    <row r="104" spans="1:27" ht="15.75" customHeight="1" x14ac:dyDescent="0.2">
      <c r="A104" s="174" t="s">
        <v>905</v>
      </c>
      <c r="B104" s="173" t="s">
        <v>32</v>
      </c>
      <c r="C104" s="170" t="s">
        <v>131</v>
      </c>
      <c r="D104" s="172" t="s">
        <v>26</v>
      </c>
      <c r="E104" s="171" t="s">
        <v>27</v>
      </c>
      <c r="F104" s="170" t="s">
        <v>27</v>
      </c>
      <c r="G104" s="169" t="s">
        <v>132</v>
      </c>
      <c r="H104" s="169" t="s">
        <v>906</v>
      </c>
      <c r="I104" s="168">
        <v>42.72</v>
      </c>
      <c r="J104" s="168">
        <v>0</v>
      </c>
      <c r="K104" s="168">
        <v>0</v>
      </c>
      <c r="L104" s="168">
        <v>0</v>
      </c>
      <c r="M104" s="167">
        <v>42.72</v>
      </c>
      <c r="N104" s="168">
        <v>0</v>
      </c>
      <c r="O104" s="168">
        <v>0</v>
      </c>
      <c r="P104" s="167">
        <v>0</v>
      </c>
      <c r="Q104" s="167">
        <v>0</v>
      </c>
      <c r="R104" s="167">
        <v>0</v>
      </c>
      <c r="S104" s="167">
        <v>0</v>
      </c>
      <c r="T104" s="167">
        <v>0</v>
      </c>
      <c r="U104" s="167">
        <v>0</v>
      </c>
      <c r="V104" s="167">
        <v>42.72</v>
      </c>
      <c r="W104" s="167">
        <v>0</v>
      </c>
      <c r="X104" s="167">
        <v>42.72</v>
      </c>
      <c r="Y104" s="167" t="s">
        <v>27</v>
      </c>
      <c r="Z104" s="166">
        <v>42.72</v>
      </c>
      <c r="AA104" s="165">
        <v>742</v>
      </c>
    </row>
    <row r="105" spans="1:27" ht="15.75" customHeight="1" x14ac:dyDescent="0.2">
      <c r="A105" s="174" t="s">
        <v>905</v>
      </c>
      <c r="B105" s="173" t="s">
        <v>32</v>
      </c>
      <c r="C105" s="170" t="s">
        <v>134</v>
      </c>
      <c r="D105" s="172" t="s">
        <v>26</v>
      </c>
      <c r="E105" s="171" t="s">
        <v>27</v>
      </c>
      <c r="F105" s="170" t="s">
        <v>27</v>
      </c>
      <c r="G105" s="169" t="s">
        <v>135</v>
      </c>
      <c r="H105" s="169" t="s">
        <v>909</v>
      </c>
      <c r="I105" s="168">
        <v>37065.759999999995</v>
      </c>
      <c r="J105" s="168">
        <v>0</v>
      </c>
      <c r="K105" s="168">
        <v>0</v>
      </c>
      <c r="L105" s="168">
        <v>0</v>
      </c>
      <c r="M105" s="167">
        <v>37065.759999999995</v>
      </c>
      <c r="N105" s="168">
        <v>0</v>
      </c>
      <c r="O105" s="168">
        <v>0</v>
      </c>
      <c r="P105" s="167">
        <v>0</v>
      </c>
      <c r="Q105" s="167">
        <v>0</v>
      </c>
      <c r="R105" s="167">
        <v>0</v>
      </c>
      <c r="S105" s="167">
        <v>0</v>
      </c>
      <c r="T105" s="167">
        <v>0</v>
      </c>
      <c r="U105" s="167">
        <v>0</v>
      </c>
      <c r="V105" s="167">
        <v>37065.759999999995</v>
      </c>
      <c r="W105" s="167">
        <v>0</v>
      </c>
      <c r="X105" s="167">
        <v>37065.759999999995</v>
      </c>
      <c r="Y105" s="167" t="s">
        <v>27</v>
      </c>
      <c r="Z105" s="166">
        <v>37065.759999999995</v>
      </c>
      <c r="AA105" s="165">
        <v>644126</v>
      </c>
    </row>
    <row r="106" spans="1:27" ht="15.75" hidden="1" customHeight="1" x14ac:dyDescent="0.2">
      <c r="A106" s="174" t="s">
        <v>905</v>
      </c>
      <c r="B106" s="173" t="s">
        <v>32</v>
      </c>
      <c r="C106" s="170" t="s">
        <v>134</v>
      </c>
      <c r="D106" s="172" t="s">
        <v>520</v>
      </c>
      <c r="E106" s="171" t="s">
        <v>521</v>
      </c>
      <c r="F106" s="170" t="s">
        <v>781</v>
      </c>
      <c r="G106" s="169" t="s">
        <v>523</v>
      </c>
      <c r="H106" s="169" t="s">
        <v>909</v>
      </c>
      <c r="I106" s="168">
        <v>0</v>
      </c>
      <c r="J106" s="168">
        <v>0</v>
      </c>
      <c r="K106" s="168">
        <v>0</v>
      </c>
      <c r="L106" s="168">
        <v>0</v>
      </c>
      <c r="M106" s="167">
        <v>0</v>
      </c>
      <c r="N106" s="168">
        <v>0</v>
      </c>
      <c r="O106" s="168">
        <v>0</v>
      </c>
      <c r="P106" s="167">
        <v>0</v>
      </c>
      <c r="Q106" s="167">
        <v>1112.57</v>
      </c>
      <c r="R106" s="167">
        <v>0</v>
      </c>
      <c r="S106" s="167">
        <v>0</v>
      </c>
      <c r="T106" s="167">
        <v>0</v>
      </c>
      <c r="U106" s="167">
        <v>1112.57</v>
      </c>
      <c r="V106" s="167">
        <v>1112.57</v>
      </c>
      <c r="W106" s="167">
        <v>0</v>
      </c>
      <c r="X106" s="167">
        <v>1112.57</v>
      </c>
      <c r="Y106" s="167" t="s">
        <v>27</v>
      </c>
      <c r="Z106" s="166">
        <v>1112.57</v>
      </c>
      <c r="AA106" s="165">
        <v>19334</v>
      </c>
    </row>
    <row r="107" spans="1:27" ht="15.75" hidden="1" customHeight="1" x14ac:dyDescent="0.2">
      <c r="A107" s="174" t="s">
        <v>905</v>
      </c>
      <c r="B107" s="173" t="s">
        <v>32</v>
      </c>
      <c r="C107" s="170" t="s">
        <v>134</v>
      </c>
      <c r="D107" s="172" t="s">
        <v>271</v>
      </c>
      <c r="E107" s="171" t="s">
        <v>272</v>
      </c>
      <c r="F107" s="170" t="s">
        <v>781</v>
      </c>
      <c r="G107" s="169" t="s">
        <v>274</v>
      </c>
      <c r="H107" s="169" t="s">
        <v>909</v>
      </c>
      <c r="I107" s="168">
        <v>0</v>
      </c>
      <c r="J107" s="168">
        <v>0</v>
      </c>
      <c r="K107" s="168">
        <v>0</v>
      </c>
      <c r="L107" s="168">
        <v>0</v>
      </c>
      <c r="M107" s="167">
        <v>0</v>
      </c>
      <c r="N107" s="168">
        <v>0</v>
      </c>
      <c r="O107" s="168">
        <v>0</v>
      </c>
      <c r="P107" s="167">
        <v>0</v>
      </c>
      <c r="Q107" s="167">
        <v>156.88999999999999</v>
      </c>
      <c r="R107" s="167">
        <v>0</v>
      </c>
      <c r="S107" s="167">
        <v>0</v>
      </c>
      <c r="T107" s="167">
        <v>0</v>
      </c>
      <c r="U107" s="167">
        <v>156.88999999999999</v>
      </c>
      <c r="V107" s="167">
        <v>156.88999999999999</v>
      </c>
      <c r="W107" s="167">
        <v>0</v>
      </c>
      <c r="X107" s="167">
        <v>156.88999999999999</v>
      </c>
      <c r="Y107" s="167" t="s">
        <v>27</v>
      </c>
      <c r="Z107" s="166">
        <v>156.88999999999999</v>
      </c>
      <c r="AA107" s="165">
        <v>2726</v>
      </c>
    </row>
    <row r="108" spans="1:27" ht="15.75" customHeight="1" x14ac:dyDescent="0.2">
      <c r="A108" s="174" t="s">
        <v>905</v>
      </c>
      <c r="B108" s="173" t="s">
        <v>32</v>
      </c>
      <c r="C108" s="170" t="s">
        <v>137</v>
      </c>
      <c r="D108" s="172" t="s">
        <v>26</v>
      </c>
      <c r="E108" s="171" t="s">
        <v>27</v>
      </c>
      <c r="F108" s="170" t="s">
        <v>27</v>
      </c>
      <c r="G108" s="169" t="s">
        <v>138</v>
      </c>
      <c r="H108" s="169" t="s">
        <v>906</v>
      </c>
      <c r="I108" s="168">
        <v>197.63</v>
      </c>
      <c r="J108" s="168">
        <v>0</v>
      </c>
      <c r="K108" s="168">
        <v>0</v>
      </c>
      <c r="L108" s="168">
        <v>0</v>
      </c>
      <c r="M108" s="167">
        <v>197.63</v>
      </c>
      <c r="N108" s="168">
        <v>0</v>
      </c>
      <c r="O108" s="168">
        <v>0</v>
      </c>
      <c r="P108" s="167">
        <v>0</v>
      </c>
      <c r="Q108" s="167">
        <v>0</v>
      </c>
      <c r="R108" s="167">
        <v>0</v>
      </c>
      <c r="S108" s="167">
        <v>0</v>
      </c>
      <c r="T108" s="167">
        <v>0</v>
      </c>
      <c r="U108" s="167">
        <v>0</v>
      </c>
      <c r="V108" s="167">
        <v>197.63</v>
      </c>
      <c r="W108" s="167">
        <v>0</v>
      </c>
      <c r="X108" s="167">
        <v>197.63</v>
      </c>
      <c r="Y108" s="167" t="s">
        <v>27</v>
      </c>
      <c r="Z108" s="166">
        <v>197.63</v>
      </c>
      <c r="AA108" s="165">
        <v>3434</v>
      </c>
    </row>
    <row r="109" spans="1:27" ht="15.75" customHeight="1" x14ac:dyDescent="0.2">
      <c r="A109" s="174" t="s">
        <v>905</v>
      </c>
      <c r="B109" s="173" t="s">
        <v>32</v>
      </c>
      <c r="C109" s="170" t="s">
        <v>140</v>
      </c>
      <c r="D109" s="172" t="s">
        <v>26</v>
      </c>
      <c r="E109" s="171" t="s">
        <v>27</v>
      </c>
      <c r="F109" s="170" t="s">
        <v>27</v>
      </c>
      <c r="G109" s="169" t="s">
        <v>141</v>
      </c>
      <c r="H109" s="169" t="s">
        <v>904</v>
      </c>
      <c r="I109" s="168">
        <v>19726.59</v>
      </c>
      <c r="J109" s="168">
        <v>0</v>
      </c>
      <c r="K109" s="168">
        <v>0</v>
      </c>
      <c r="L109" s="168">
        <v>0</v>
      </c>
      <c r="M109" s="167">
        <v>19726.59</v>
      </c>
      <c r="N109" s="168">
        <v>0</v>
      </c>
      <c r="O109" s="168">
        <v>0</v>
      </c>
      <c r="P109" s="167">
        <v>0</v>
      </c>
      <c r="Q109" s="167">
        <v>0</v>
      </c>
      <c r="R109" s="167">
        <v>0</v>
      </c>
      <c r="S109" s="167">
        <v>0</v>
      </c>
      <c r="T109" s="167">
        <v>0</v>
      </c>
      <c r="U109" s="167">
        <v>0</v>
      </c>
      <c r="V109" s="167">
        <v>19726.59</v>
      </c>
      <c r="W109" s="167">
        <v>0</v>
      </c>
      <c r="X109" s="167">
        <v>19726.59</v>
      </c>
      <c r="Y109" s="167" t="s">
        <v>27</v>
      </c>
      <c r="Z109" s="166">
        <v>19726.59</v>
      </c>
      <c r="AA109" s="165">
        <v>342807</v>
      </c>
    </row>
    <row r="110" spans="1:27" ht="15.75" hidden="1" customHeight="1" x14ac:dyDescent="0.2">
      <c r="A110" s="174" t="s">
        <v>905</v>
      </c>
      <c r="B110" s="173" t="s">
        <v>32</v>
      </c>
      <c r="C110" s="170" t="s">
        <v>140</v>
      </c>
      <c r="D110" s="172" t="s">
        <v>351</v>
      </c>
      <c r="E110" s="171" t="s">
        <v>352</v>
      </c>
      <c r="F110" s="170" t="s">
        <v>781</v>
      </c>
      <c r="G110" s="169" t="s">
        <v>354</v>
      </c>
      <c r="H110" s="169" t="s">
        <v>904</v>
      </c>
      <c r="I110" s="168">
        <v>0</v>
      </c>
      <c r="J110" s="168">
        <v>0</v>
      </c>
      <c r="K110" s="168">
        <v>0</v>
      </c>
      <c r="L110" s="168">
        <v>0</v>
      </c>
      <c r="M110" s="167">
        <v>0</v>
      </c>
      <c r="N110" s="168">
        <v>0</v>
      </c>
      <c r="O110" s="168">
        <v>0</v>
      </c>
      <c r="P110" s="167">
        <v>0</v>
      </c>
      <c r="Q110" s="167">
        <v>1147.3800000000001</v>
      </c>
      <c r="R110" s="167">
        <v>0</v>
      </c>
      <c r="S110" s="167">
        <v>0</v>
      </c>
      <c r="T110" s="167">
        <v>0</v>
      </c>
      <c r="U110" s="167">
        <v>1147.3800000000001</v>
      </c>
      <c r="V110" s="167">
        <v>1147.3800000000001</v>
      </c>
      <c r="W110" s="167">
        <v>372.08</v>
      </c>
      <c r="X110" s="167">
        <v>775.30000000000018</v>
      </c>
      <c r="Y110" s="167" t="s">
        <v>27</v>
      </c>
      <c r="Z110" s="166">
        <v>775.30000000000018</v>
      </c>
      <c r="AA110" s="165">
        <v>13473</v>
      </c>
    </row>
    <row r="111" spans="1:27" ht="15.75" hidden="1" customHeight="1" x14ac:dyDescent="0.2">
      <c r="A111" s="174" t="s">
        <v>905</v>
      </c>
      <c r="B111" s="173" t="s">
        <v>32</v>
      </c>
      <c r="C111" s="170" t="s">
        <v>140</v>
      </c>
      <c r="D111" s="172" t="s">
        <v>421</v>
      </c>
      <c r="E111" s="171" t="s">
        <v>422</v>
      </c>
      <c r="F111" s="170" t="s">
        <v>781</v>
      </c>
      <c r="G111" s="169" t="s">
        <v>424</v>
      </c>
      <c r="H111" s="169" t="s">
        <v>904</v>
      </c>
      <c r="I111" s="168">
        <v>0</v>
      </c>
      <c r="J111" s="168">
        <v>0</v>
      </c>
      <c r="K111" s="168">
        <v>0</v>
      </c>
      <c r="L111" s="168">
        <v>0</v>
      </c>
      <c r="M111" s="167">
        <v>0</v>
      </c>
      <c r="N111" s="168">
        <v>0</v>
      </c>
      <c r="O111" s="168">
        <v>0</v>
      </c>
      <c r="P111" s="167">
        <v>0</v>
      </c>
      <c r="Q111" s="167">
        <v>182.62</v>
      </c>
      <c r="R111" s="167">
        <v>0</v>
      </c>
      <c r="S111" s="167">
        <v>0</v>
      </c>
      <c r="T111" s="167">
        <v>0</v>
      </c>
      <c r="U111" s="167">
        <v>182.62</v>
      </c>
      <c r="V111" s="167">
        <v>182.62</v>
      </c>
      <c r="W111" s="167">
        <v>0</v>
      </c>
      <c r="X111" s="167">
        <v>182.62</v>
      </c>
      <c r="Y111" s="167" t="s">
        <v>27</v>
      </c>
      <c r="Z111" s="166">
        <v>182.62</v>
      </c>
      <c r="AA111" s="165">
        <v>3174</v>
      </c>
    </row>
    <row r="112" spans="1:27" ht="15.75" hidden="1" customHeight="1" x14ac:dyDescent="0.2">
      <c r="A112" s="174" t="s">
        <v>905</v>
      </c>
      <c r="B112" s="173" t="s">
        <v>32</v>
      </c>
      <c r="C112" s="170" t="s">
        <v>140</v>
      </c>
      <c r="D112" s="172" t="s">
        <v>540</v>
      </c>
      <c r="E112" s="171" t="s">
        <v>541</v>
      </c>
      <c r="F112" s="170" t="s">
        <v>781</v>
      </c>
      <c r="G112" s="169" t="s">
        <v>543</v>
      </c>
      <c r="H112" s="169" t="s">
        <v>904</v>
      </c>
      <c r="I112" s="168">
        <v>0</v>
      </c>
      <c r="J112" s="168">
        <v>0</v>
      </c>
      <c r="K112" s="168">
        <v>0</v>
      </c>
      <c r="L112" s="168">
        <v>0</v>
      </c>
      <c r="M112" s="167">
        <v>0</v>
      </c>
      <c r="N112" s="168">
        <v>0</v>
      </c>
      <c r="O112" s="168">
        <v>0</v>
      </c>
      <c r="P112" s="167">
        <v>0</v>
      </c>
      <c r="Q112" s="167">
        <v>591.26</v>
      </c>
      <c r="R112" s="167">
        <v>0</v>
      </c>
      <c r="S112" s="167">
        <v>0</v>
      </c>
      <c r="T112" s="167">
        <v>0</v>
      </c>
      <c r="U112" s="167">
        <v>591.26</v>
      </c>
      <c r="V112" s="167">
        <v>591.26</v>
      </c>
      <c r="W112" s="167">
        <v>0.44</v>
      </c>
      <c r="X112" s="167">
        <v>590.81999999999994</v>
      </c>
      <c r="Y112" s="167" t="s">
        <v>27</v>
      </c>
      <c r="Z112" s="166">
        <v>590.81999999999994</v>
      </c>
      <c r="AA112" s="165">
        <v>10267</v>
      </c>
    </row>
    <row r="113" spans="1:27" ht="15.75" hidden="1" customHeight="1" x14ac:dyDescent="0.2">
      <c r="A113" s="174" t="s">
        <v>905</v>
      </c>
      <c r="B113" s="173" t="s">
        <v>32</v>
      </c>
      <c r="C113" s="170" t="s">
        <v>140</v>
      </c>
      <c r="D113" s="172" t="s">
        <v>181</v>
      </c>
      <c r="E113" s="171" t="s">
        <v>182</v>
      </c>
      <c r="F113" s="170" t="s">
        <v>781</v>
      </c>
      <c r="G113" s="169" t="s">
        <v>184</v>
      </c>
      <c r="H113" s="169" t="s">
        <v>904</v>
      </c>
      <c r="I113" s="168">
        <v>0</v>
      </c>
      <c r="J113" s="168">
        <v>0</v>
      </c>
      <c r="K113" s="168">
        <v>0</v>
      </c>
      <c r="L113" s="168">
        <v>0</v>
      </c>
      <c r="M113" s="167">
        <v>0</v>
      </c>
      <c r="N113" s="168">
        <v>0</v>
      </c>
      <c r="O113" s="168">
        <v>0</v>
      </c>
      <c r="P113" s="167">
        <v>0</v>
      </c>
      <c r="Q113" s="167">
        <v>1371.84</v>
      </c>
      <c r="R113" s="167">
        <v>0</v>
      </c>
      <c r="S113" s="167">
        <v>0</v>
      </c>
      <c r="T113" s="167">
        <v>0</v>
      </c>
      <c r="U113" s="167">
        <v>1371.84</v>
      </c>
      <c r="V113" s="167">
        <v>1371.84</v>
      </c>
      <c r="W113" s="167">
        <v>0</v>
      </c>
      <c r="X113" s="167">
        <v>1371.84</v>
      </c>
      <c r="Y113" s="167" t="s">
        <v>27</v>
      </c>
      <c r="Z113" s="166">
        <v>1371.84</v>
      </c>
      <c r="AA113" s="165">
        <v>23840</v>
      </c>
    </row>
    <row r="114" spans="1:27" ht="15.75" customHeight="1" x14ac:dyDescent="0.2">
      <c r="A114" s="174" t="s">
        <v>905</v>
      </c>
      <c r="B114" s="173" t="s">
        <v>32</v>
      </c>
      <c r="C114" s="170" t="s">
        <v>143</v>
      </c>
      <c r="D114" s="172" t="s">
        <v>26</v>
      </c>
      <c r="E114" s="171" t="s">
        <v>27</v>
      </c>
      <c r="F114" s="170" t="s">
        <v>27</v>
      </c>
      <c r="G114" s="169" t="s">
        <v>144</v>
      </c>
      <c r="H114" s="169" t="s">
        <v>904</v>
      </c>
      <c r="I114" s="168">
        <v>11077.82</v>
      </c>
      <c r="J114" s="168">
        <v>0</v>
      </c>
      <c r="K114" s="168">
        <v>0</v>
      </c>
      <c r="L114" s="168">
        <v>0</v>
      </c>
      <c r="M114" s="167">
        <v>11077.82</v>
      </c>
      <c r="N114" s="168">
        <v>0</v>
      </c>
      <c r="O114" s="168">
        <v>0</v>
      </c>
      <c r="P114" s="167">
        <v>0</v>
      </c>
      <c r="Q114" s="167">
        <v>0</v>
      </c>
      <c r="R114" s="167">
        <v>0</v>
      </c>
      <c r="S114" s="167">
        <v>0</v>
      </c>
      <c r="T114" s="167">
        <v>0</v>
      </c>
      <c r="U114" s="167">
        <v>0</v>
      </c>
      <c r="V114" s="167">
        <v>11077.82</v>
      </c>
      <c r="W114" s="167">
        <v>0</v>
      </c>
      <c r="X114" s="167">
        <v>11077.82</v>
      </c>
      <c r="Y114" s="167" t="s">
        <v>27</v>
      </c>
      <c r="Z114" s="166">
        <v>11077.82</v>
      </c>
      <c r="AA114" s="165">
        <v>192510</v>
      </c>
    </row>
    <row r="115" spans="1:27" ht="15.75" customHeight="1" x14ac:dyDescent="0.2">
      <c r="A115" s="174" t="s">
        <v>905</v>
      </c>
      <c r="B115" s="173" t="s">
        <v>32</v>
      </c>
      <c r="C115" s="170" t="s">
        <v>146</v>
      </c>
      <c r="D115" s="172" t="s">
        <v>26</v>
      </c>
      <c r="E115" s="171" t="s">
        <v>27</v>
      </c>
      <c r="F115" s="170" t="s">
        <v>27</v>
      </c>
      <c r="G115" s="169" t="s">
        <v>147</v>
      </c>
      <c r="H115" s="169" t="s">
        <v>904</v>
      </c>
      <c r="I115" s="168">
        <v>16675.23</v>
      </c>
      <c r="J115" s="168">
        <v>0</v>
      </c>
      <c r="K115" s="168">
        <v>0</v>
      </c>
      <c r="L115" s="168">
        <v>0</v>
      </c>
      <c r="M115" s="167">
        <v>16675.23</v>
      </c>
      <c r="N115" s="168">
        <v>0</v>
      </c>
      <c r="O115" s="168">
        <v>0</v>
      </c>
      <c r="P115" s="167">
        <v>0</v>
      </c>
      <c r="Q115" s="167">
        <v>0</v>
      </c>
      <c r="R115" s="167">
        <v>0</v>
      </c>
      <c r="S115" s="167">
        <v>0</v>
      </c>
      <c r="T115" s="167">
        <v>0</v>
      </c>
      <c r="U115" s="167">
        <v>0</v>
      </c>
      <c r="V115" s="167">
        <v>16675.23</v>
      </c>
      <c r="W115" s="167">
        <v>0</v>
      </c>
      <c r="X115" s="167">
        <v>16675.23</v>
      </c>
      <c r="Y115" s="167" t="s">
        <v>27</v>
      </c>
      <c r="Z115" s="166">
        <v>16675.23</v>
      </c>
      <c r="AA115" s="165">
        <v>289781</v>
      </c>
    </row>
    <row r="116" spans="1:27" ht="15.75" customHeight="1" x14ac:dyDescent="0.2">
      <c r="A116" s="174" t="s">
        <v>905</v>
      </c>
      <c r="B116" s="173" t="s">
        <v>32</v>
      </c>
      <c r="C116" s="170" t="s">
        <v>149</v>
      </c>
      <c r="D116" s="172" t="s">
        <v>26</v>
      </c>
      <c r="E116" s="171" t="s">
        <v>27</v>
      </c>
      <c r="F116" s="170" t="s">
        <v>27</v>
      </c>
      <c r="G116" s="169" t="s">
        <v>150</v>
      </c>
      <c r="H116" s="169" t="s">
        <v>904</v>
      </c>
      <c r="I116" s="168">
        <v>20174.02</v>
      </c>
      <c r="J116" s="168">
        <v>0</v>
      </c>
      <c r="K116" s="168">
        <v>0</v>
      </c>
      <c r="L116" s="168">
        <v>0</v>
      </c>
      <c r="M116" s="167">
        <v>20174.02</v>
      </c>
      <c r="N116" s="168">
        <v>0</v>
      </c>
      <c r="O116" s="168">
        <v>0</v>
      </c>
      <c r="P116" s="167">
        <v>0</v>
      </c>
      <c r="Q116" s="167">
        <v>0</v>
      </c>
      <c r="R116" s="167">
        <v>0</v>
      </c>
      <c r="S116" s="167">
        <v>0</v>
      </c>
      <c r="T116" s="167">
        <v>0</v>
      </c>
      <c r="U116" s="167">
        <v>0</v>
      </c>
      <c r="V116" s="167">
        <v>20174.02</v>
      </c>
      <c r="W116" s="167">
        <v>0</v>
      </c>
      <c r="X116" s="167">
        <v>20174.02</v>
      </c>
      <c r="Y116" s="167" t="s">
        <v>27</v>
      </c>
      <c r="Z116" s="166">
        <v>20174.02</v>
      </c>
      <c r="AA116" s="165">
        <v>350583</v>
      </c>
    </row>
    <row r="117" spans="1:27" ht="15.75" customHeight="1" x14ac:dyDescent="0.2">
      <c r="A117" s="174" t="s">
        <v>905</v>
      </c>
      <c r="B117" s="173" t="s">
        <v>32</v>
      </c>
      <c r="C117" s="170" t="s">
        <v>152</v>
      </c>
      <c r="D117" s="172" t="s">
        <v>26</v>
      </c>
      <c r="E117" s="171" t="s">
        <v>27</v>
      </c>
      <c r="F117" s="170" t="s">
        <v>27</v>
      </c>
      <c r="G117" s="169" t="s">
        <v>153</v>
      </c>
      <c r="H117" s="169" t="s">
        <v>904</v>
      </c>
      <c r="I117" s="168">
        <v>129.27000000000001</v>
      </c>
      <c r="J117" s="168">
        <v>53.09</v>
      </c>
      <c r="K117" s="168">
        <v>0</v>
      </c>
      <c r="L117" s="168">
        <v>0</v>
      </c>
      <c r="M117" s="167">
        <v>182.36</v>
      </c>
      <c r="N117" s="168">
        <v>0</v>
      </c>
      <c r="O117" s="168">
        <v>0</v>
      </c>
      <c r="P117" s="167">
        <v>0</v>
      </c>
      <c r="Q117" s="167">
        <v>0</v>
      </c>
      <c r="R117" s="167">
        <v>0</v>
      </c>
      <c r="S117" s="167">
        <v>0</v>
      </c>
      <c r="T117" s="167">
        <v>0</v>
      </c>
      <c r="U117" s="167">
        <v>0</v>
      </c>
      <c r="V117" s="167">
        <v>182.36</v>
      </c>
      <c r="W117" s="167">
        <v>0</v>
      </c>
      <c r="X117" s="167">
        <v>182.36</v>
      </c>
      <c r="Y117" s="167" t="s">
        <v>27</v>
      </c>
      <c r="Z117" s="166">
        <v>182.36</v>
      </c>
      <c r="AA117" s="165">
        <v>3169</v>
      </c>
    </row>
    <row r="118" spans="1:27" ht="15.75" hidden="1" customHeight="1" x14ac:dyDescent="0.2">
      <c r="A118" s="174" t="s">
        <v>905</v>
      </c>
      <c r="B118" s="173" t="s">
        <v>32</v>
      </c>
      <c r="C118" s="170" t="s">
        <v>152</v>
      </c>
      <c r="D118" s="172" t="s">
        <v>476</v>
      </c>
      <c r="E118" s="171" t="s">
        <v>477</v>
      </c>
      <c r="F118" s="170" t="s">
        <v>781</v>
      </c>
      <c r="G118" s="169" t="s">
        <v>479</v>
      </c>
      <c r="H118" s="169" t="s">
        <v>904</v>
      </c>
      <c r="I118" s="168">
        <v>0</v>
      </c>
      <c r="J118" s="168">
        <v>0</v>
      </c>
      <c r="K118" s="168">
        <v>0</v>
      </c>
      <c r="L118" s="168">
        <v>0</v>
      </c>
      <c r="M118" s="167">
        <v>0</v>
      </c>
      <c r="N118" s="168">
        <v>0</v>
      </c>
      <c r="O118" s="168">
        <v>0</v>
      </c>
      <c r="P118" s="167">
        <v>0</v>
      </c>
      <c r="Q118" s="167">
        <v>48.72</v>
      </c>
      <c r="R118" s="167">
        <v>0</v>
      </c>
      <c r="S118" s="167">
        <v>0</v>
      </c>
      <c r="T118" s="167">
        <v>0</v>
      </c>
      <c r="U118" s="167">
        <v>48.72</v>
      </c>
      <c r="V118" s="167">
        <v>48.72</v>
      </c>
      <c r="W118" s="167">
        <v>0</v>
      </c>
      <c r="X118" s="167">
        <v>48.72</v>
      </c>
      <c r="Y118" s="167" t="s">
        <v>27</v>
      </c>
      <c r="Z118" s="166">
        <v>48.72</v>
      </c>
      <c r="AA118" s="165">
        <v>847</v>
      </c>
    </row>
    <row r="119" spans="1:27" ht="15.75" hidden="1" customHeight="1" x14ac:dyDescent="0.2">
      <c r="A119" s="174" t="s">
        <v>905</v>
      </c>
      <c r="B119" s="173" t="s">
        <v>32</v>
      </c>
      <c r="C119" s="170" t="s">
        <v>152</v>
      </c>
      <c r="D119" s="172" t="s">
        <v>446</v>
      </c>
      <c r="E119" s="171" t="s">
        <v>447</v>
      </c>
      <c r="F119" s="170" t="s">
        <v>781</v>
      </c>
      <c r="G119" s="169" t="s">
        <v>449</v>
      </c>
      <c r="H119" s="169" t="s">
        <v>904</v>
      </c>
      <c r="I119" s="168">
        <v>0</v>
      </c>
      <c r="J119" s="168">
        <v>0</v>
      </c>
      <c r="K119" s="168">
        <v>0</v>
      </c>
      <c r="L119" s="168">
        <v>0</v>
      </c>
      <c r="M119" s="167">
        <v>0</v>
      </c>
      <c r="N119" s="168">
        <v>0</v>
      </c>
      <c r="O119" s="168">
        <v>0</v>
      </c>
      <c r="P119" s="167">
        <v>0</v>
      </c>
      <c r="Q119" s="167">
        <v>57.03</v>
      </c>
      <c r="R119" s="167">
        <v>0</v>
      </c>
      <c r="S119" s="167">
        <v>0</v>
      </c>
      <c r="T119" s="167">
        <v>0</v>
      </c>
      <c r="U119" s="167">
        <v>57.03</v>
      </c>
      <c r="V119" s="167">
        <v>57.03</v>
      </c>
      <c r="W119" s="167">
        <v>0</v>
      </c>
      <c r="X119" s="167">
        <v>57.03</v>
      </c>
      <c r="Y119" s="167" t="s">
        <v>27</v>
      </c>
      <c r="Z119" s="166">
        <v>57.03</v>
      </c>
      <c r="AA119" s="165">
        <v>991</v>
      </c>
    </row>
    <row r="120" spans="1:27" ht="15.75" customHeight="1" x14ac:dyDescent="0.2">
      <c r="A120" s="174" t="s">
        <v>905</v>
      </c>
      <c r="B120" s="173" t="s">
        <v>32</v>
      </c>
      <c r="C120" s="170" t="s">
        <v>155</v>
      </c>
      <c r="D120" s="172" t="s">
        <v>26</v>
      </c>
      <c r="E120" s="171" t="s">
        <v>27</v>
      </c>
      <c r="F120" s="170" t="s">
        <v>27</v>
      </c>
      <c r="G120" s="169" t="s">
        <v>156</v>
      </c>
      <c r="H120" s="169" t="s">
        <v>904</v>
      </c>
      <c r="I120" s="168">
        <v>3779.13</v>
      </c>
      <c r="J120" s="168">
        <v>0</v>
      </c>
      <c r="K120" s="168">
        <v>0</v>
      </c>
      <c r="L120" s="168">
        <v>0</v>
      </c>
      <c r="M120" s="167">
        <v>3779.13</v>
      </c>
      <c r="N120" s="168">
        <v>0</v>
      </c>
      <c r="O120" s="168">
        <v>0</v>
      </c>
      <c r="P120" s="167">
        <v>0</v>
      </c>
      <c r="Q120" s="167">
        <v>0</v>
      </c>
      <c r="R120" s="167">
        <v>0</v>
      </c>
      <c r="S120" s="167">
        <v>0</v>
      </c>
      <c r="T120" s="167">
        <v>0</v>
      </c>
      <c r="U120" s="167">
        <v>0</v>
      </c>
      <c r="V120" s="167">
        <v>3779.13</v>
      </c>
      <c r="W120" s="167">
        <v>0</v>
      </c>
      <c r="X120" s="167">
        <v>3779.13</v>
      </c>
      <c r="Y120" s="167" t="s">
        <v>27</v>
      </c>
      <c r="Z120" s="166">
        <v>3779.13</v>
      </c>
      <c r="AA120" s="165">
        <v>65673</v>
      </c>
    </row>
    <row r="121" spans="1:27" ht="15.75" hidden="1" customHeight="1" x14ac:dyDescent="0.2">
      <c r="A121" s="174" t="s">
        <v>905</v>
      </c>
      <c r="B121" s="173" t="s">
        <v>32</v>
      </c>
      <c r="C121" s="170" t="s">
        <v>396</v>
      </c>
      <c r="D121" s="172" t="s">
        <v>805</v>
      </c>
      <c r="E121" s="171" t="s">
        <v>397</v>
      </c>
      <c r="F121" s="170" t="s">
        <v>781</v>
      </c>
      <c r="G121" s="169" t="s">
        <v>804</v>
      </c>
      <c r="H121" s="175" t="s">
        <v>908</v>
      </c>
      <c r="I121" s="168">
        <v>0</v>
      </c>
      <c r="J121" s="168">
        <v>0</v>
      </c>
      <c r="K121" s="168">
        <v>0</v>
      </c>
      <c r="L121" s="168">
        <v>0</v>
      </c>
      <c r="M121" s="167">
        <v>0</v>
      </c>
      <c r="N121" s="168">
        <v>0</v>
      </c>
      <c r="O121" s="168">
        <v>0</v>
      </c>
      <c r="P121" s="167">
        <v>0</v>
      </c>
      <c r="Q121" s="167">
        <v>541.73</v>
      </c>
      <c r="R121" s="167">
        <v>0</v>
      </c>
      <c r="S121" s="167">
        <v>0</v>
      </c>
      <c r="T121" s="167">
        <v>0</v>
      </c>
      <c r="U121" s="167">
        <v>541.73</v>
      </c>
      <c r="V121" s="167">
        <v>541.73</v>
      </c>
      <c r="W121" s="167">
        <v>0</v>
      </c>
      <c r="X121" s="167">
        <v>541.73</v>
      </c>
      <c r="Y121" s="167" t="s">
        <v>27</v>
      </c>
      <c r="Z121" s="166">
        <v>541.73</v>
      </c>
      <c r="AA121" s="165">
        <v>9414</v>
      </c>
    </row>
    <row r="122" spans="1:27" ht="15.75" hidden="1" customHeight="1" x14ac:dyDescent="0.2">
      <c r="A122" s="174" t="s">
        <v>905</v>
      </c>
      <c r="B122" s="173" t="s">
        <v>32</v>
      </c>
      <c r="C122" s="170" t="s">
        <v>396</v>
      </c>
      <c r="D122" s="172" t="s">
        <v>803</v>
      </c>
      <c r="E122" s="171" t="s">
        <v>397</v>
      </c>
      <c r="F122" s="170" t="s">
        <v>781</v>
      </c>
      <c r="G122" s="169" t="s">
        <v>802</v>
      </c>
      <c r="H122" s="175" t="s">
        <v>908</v>
      </c>
      <c r="I122" s="168">
        <v>0</v>
      </c>
      <c r="J122" s="168">
        <v>0</v>
      </c>
      <c r="K122" s="168">
        <v>0</v>
      </c>
      <c r="L122" s="168">
        <v>0</v>
      </c>
      <c r="M122" s="167">
        <v>0</v>
      </c>
      <c r="N122" s="168">
        <v>0</v>
      </c>
      <c r="O122" s="168">
        <v>0</v>
      </c>
      <c r="P122" s="167">
        <v>0</v>
      </c>
      <c r="Q122" s="167">
        <v>386.58</v>
      </c>
      <c r="R122" s="167">
        <v>0</v>
      </c>
      <c r="S122" s="167">
        <v>0</v>
      </c>
      <c r="T122" s="167">
        <v>0</v>
      </c>
      <c r="U122" s="167">
        <v>386.58</v>
      </c>
      <c r="V122" s="167">
        <v>386.58</v>
      </c>
      <c r="W122" s="167">
        <v>0.15</v>
      </c>
      <c r="X122" s="167">
        <v>386.43</v>
      </c>
      <c r="Y122" s="167" t="s">
        <v>27</v>
      </c>
      <c r="Z122" s="166">
        <v>386.43</v>
      </c>
      <c r="AA122" s="165">
        <v>6715</v>
      </c>
    </row>
    <row r="123" spans="1:27" ht="15.75" hidden="1" customHeight="1" x14ac:dyDescent="0.2">
      <c r="A123" s="174" t="s">
        <v>905</v>
      </c>
      <c r="B123" s="173" t="s">
        <v>32</v>
      </c>
      <c r="C123" s="170" t="s">
        <v>396</v>
      </c>
      <c r="D123" s="172" t="s">
        <v>801</v>
      </c>
      <c r="E123" s="171" t="s">
        <v>397</v>
      </c>
      <c r="F123" s="170" t="s">
        <v>781</v>
      </c>
      <c r="G123" s="169" t="s">
        <v>800</v>
      </c>
      <c r="H123" s="175" t="s">
        <v>908</v>
      </c>
      <c r="I123" s="168">
        <v>0</v>
      </c>
      <c r="J123" s="168">
        <v>0</v>
      </c>
      <c r="K123" s="168">
        <v>0</v>
      </c>
      <c r="L123" s="168">
        <v>0</v>
      </c>
      <c r="M123" s="167">
        <v>0</v>
      </c>
      <c r="N123" s="168">
        <v>0</v>
      </c>
      <c r="O123" s="168">
        <v>0</v>
      </c>
      <c r="P123" s="167">
        <v>0</v>
      </c>
      <c r="Q123" s="167">
        <v>322.02</v>
      </c>
      <c r="R123" s="167">
        <v>0</v>
      </c>
      <c r="S123" s="167">
        <v>0</v>
      </c>
      <c r="T123" s="167">
        <v>0</v>
      </c>
      <c r="U123" s="167">
        <v>322.02</v>
      </c>
      <c r="V123" s="167">
        <v>322.02</v>
      </c>
      <c r="W123" s="167">
        <v>0.52</v>
      </c>
      <c r="X123" s="167">
        <v>321.5</v>
      </c>
      <c r="Y123" s="167" t="s">
        <v>27</v>
      </c>
      <c r="Z123" s="166">
        <v>321.5</v>
      </c>
      <c r="AA123" s="165">
        <v>5587</v>
      </c>
    </row>
    <row r="124" spans="1:27" ht="15.75" hidden="1" customHeight="1" x14ac:dyDescent="0.2">
      <c r="A124" s="174" t="s">
        <v>905</v>
      </c>
      <c r="B124" s="173" t="s">
        <v>32</v>
      </c>
      <c r="C124" s="170" t="s">
        <v>396</v>
      </c>
      <c r="D124" s="172" t="s">
        <v>799</v>
      </c>
      <c r="E124" s="171" t="s">
        <v>397</v>
      </c>
      <c r="F124" s="170" t="s">
        <v>781</v>
      </c>
      <c r="G124" s="169" t="s">
        <v>798</v>
      </c>
      <c r="H124" s="175" t="s">
        <v>908</v>
      </c>
      <c r="I124" s="168">
        <v>0</v>
      </c>
      <c r="J124" s="168">
        <v>0</v>
      </c>
      <c r="K124" s="168">
        <v>0</v>
      </c>
      <c r="L124" s="168">
        <v>0</v>
      </c>
      <c r="M124" s="167">
        <v>0</v>
      </c>
      <c r="N124" s="168">
        <v>0</v>
      </c>
      <c r="O124" s="168">
        <v>0</v>
      </c>
      <c r="P124" s="167">
        <v>0</v>
      </c>
      <c r="Q124" s="167">
        <v>328.98</v>
      </c>
      <c r="R124" s="167">
        <v>0</v>
      </c>
      <c r="S124" s="167">
        <v>0</v>
      </c>
      <c r="T124" s="167">
        <v>0</v>
      </c>
      <c r="U124" s="167">
        <v>328.98</v>
      </c>
      <c r="V124" s="167">
        <v>328.98</v>
      </c>
      <c r="W124" s="167">
        <v>0</v>
      </c>
      <c r="X124" s="167">
        <v>328.98</v>
      </c>
      <c r="Y124" s="167" t="s">
        <v>27</v>
      </c>
      <c r="Z124" s="166">
        <v>328.98</v>
      </c>
      <c r="AA124" s="165">
        <v>5717</v>
      </c>
    </row>
    <row r="125" spans="1:27" ht="15.75" hidden="1" customHeight="1" x14ac:dyDescent="0.2">
      <c r="A125" s="174" t="s">
        <v>905</v>
      </c>
      <c r="B125" s="173" t="s">
        <v>32</v>
      </c>
      <c r="C125" s="170" t="s">
        <v>396</v>
      </c>
      <c r="D125" s="172" t="s">
        <v>797</v>
      </c>
      <c r="E125" s="171" t="s">
        <v>397</v>
      </c>
      <c r="F125" s="170" t="s">
        <v>781</v>
      </c>
      <c r="G125" s="169" t="s">
        <v>796</v>
      </c>
      <c r="H125" s="175" t="s">
        <v>908</v>
      </c>
      <c r="I125" s="168">
        <v>0</v>
      </c>
      <c r="J125" s="168">
        <v>0</v>
      </c>
      <c r="K125" s="168">
        <v>0</v>
      </c>
      <c r="L125" s="168">
        <v>0</v>
      </c>
      <c r="M125" s="167">
        <v>0</v>
      </c>
      <c r="N125" s="168">
        <v>0</v>
      </c>
      <c r="O125" s="168">
        <v>0</v>
      </c>
      <c r="P125" s="167">
        <v>0</v>
      </c>
      <c r="Q125" s="167">
        <v>413.53</v>
      </c>
      <c r="R125" s="167">
        <v>0</v>
      </c>
      <c r="S125" s="167">
        <v>0</v>
      </c>
      <c r="T125" s="167">
        <v>0</v>
      </c>
      <c r="U125" s="167">
        <v>413.53</v>
      </c>
      <c r="V125" s="167">
        <v>413.53</v>
      </c>
      <c r="W125" s="167">
        <v>0.23</v>
      </c>
      <c r="X125" s="167">
        <v>413.29999999999995</v>
      </c>
      <c r="Y125" s="167" t="s">
        <v>27</v>
      </c>
      <c r="Z125" s="166">
        <v>413.29999999999995</v>
      </c>
      <c r="AA125" s="165">
        <v>7182</v>
      </c>
    </row>
    <row r="126" spans="1:27" ht="15.75" hidden="1" customHeight="1" x14ac:dyDescent="0.2">
      <c r="A126" s="174" t="s">
        <v>905</v>
      </c>
      <c r="B126" s="173" t="s">
        <v>32</v>
      </c>
      <c r="C126" s="170" t="s">
        <v>396</v>
      </c>
      <c r="D126" s="172" t="s">
        <v>795</v>
      </c>
      <c r="E126" s="171" t="s">
        <v>397</v>
      </c>
      <c r="F126" s="170" t="s">
        <v>781</v>
      </c>
      <c r="G126" s="169" t="s">
        <v>794</v>
      </c>
      <c r="H126" s="175" t="s">
        <v>908</v>
      </c>
      <c r="I126" s="168">
        <v>0</v>
      </c>
      <c r="J126" s="168">
        <v>0</v>
      </c>
      <c r="K126" s="168">
        <v>0</v>
      </c>
      <c r="L126" s="168">
        <v>0</v>
      </c>
      <c r="M126" s="167">
        <v>0</v>
      </c>
      <c r="N126" s="168">
        <v>0</v>
      </c>
      <c r="O126" s="168">
        <v>0</v>
      </c>
      <c r="P126" s="167">
        <v>0</v>
      </c>
      <c r="Q126" s="167">
        <v>407.28</v>
      </c>
      <c r="R126" s="167">
        <v>0</v>
      </c>
      <c r="S126" s="167">
        <v>0</v>
      </c>
      <c r="T126" s="167">
        <v>0</v>
      </c>
      <c r="U126" s="167">
        <v>407.28</v>
      </c>
      <c r="V126" s="167">
        <v>407.28</v>
      </c>
      <c r="W126" s="167">
        <v>0</v>
      </c>
      <c r="X126" s="167">
        <v>407.28</v>
      </c>
      <c r="Y126" s="167" t="s">
        <v>27</v>
      </c>
      <c r="Z126" s="166">
        <v>407.28</v>
      </c>
      <c r="AA126" s="165">
        <v>7078</v>
      </c>
    </row>
    <row r="127" spans="1:27" ht="15.75" hidden="1" customHeight="1" x14ac:dyDescent="0.2">
      <c r="A127" s="174" t="s">
        <v>905</v>
      </c>
      <c r="B127" s="173" t="s">
        <v>32</v>
      </c>
      <c r="C127" s="170" t="s">
        <v>396</v>
      </c>
      <c r="D127" s="172" t="s">
        <v>793</v>
      </c>
      <c r="E127" s="171" t="s">
        <v>397</v>
      </c>
      <c r="F127" s="170" t="s">
        <v>781</v>
      </c>
      <c r="G127" s="169" t="s">
        <v>792</v>
      </c>
      <c r="H127" s="175" t="s">
        <v>908</v>
      </c>
      <c r="I127" s="168">
        <v>0</v>
      </c>
      <c r="J127" s="168">
        <v>0</v>
      </c>
      <c r="K127" s="168">
        <v>0</v>
      </c>
      <c r="L127" s="168">
        <v>0</v>
      </c>
      <c r="M127" s="167">
        <v>0</v>
      </c>
      <c r="N127" s="168">
        <v>0</v>
      </c>
      <c r="O127" s="168">
        <v>0</v>
      </c>
      <c r="P127" s="167">
        <v>0</v>
      </c>
      <c r="Q127" s="167">
        <v>218.12</v>
      </c>
      <c r="R127" s="167">
        <v>0</v>
      </c>
      <c r="S127" s="167">
        <v>0</v>
      </c>
      <c r="T127" s="167">
        <v>0</v>
      </c>
      <c r="U127" s="167">
        <v>218.12</v>
      </c>
      <c r="V127" s="167">
        <v>218.12</v>
      </c>
      <c r="W127" s="167">
        <v>0.5</v>
      </c>
      <c r="X127" s="167">
        <v>217.62</v>
      </c>
      <c r="Y127" s="167" t="s">
        <v>27</v>
      </c>
      <c r="Z127" s="166">
        <v>217.62</v>
      </c>
      <c r="AA127" s="165">
        <v>3782</v>
      </c>
    </row>
    <row r="128" spans="1:27" ht="15.75" hidden="1" customHeight="1" x14ac:dyDescent="0.2">
      <c r="A128" s="174" t="s">
        <v>905</v>
      </c>
      <c r="B128" s="173" t="s">
        <v>32</v>
      </c>
      <c r="C128" s="170" t="s">
        <v>396</v>
      </c>
      <c r="D128" s="172" t="s">
        <v>791</v>
      </c>
      <c r="E128" s="171" t="s">
        <v>397</v>
      </c>
      <c r="F128" s="170" t="s">
        <v>781</v>
      </c>
      <c r="G128" s="169" t="s">
        <v>790</v>
      </c>
      <c r="H128" s="175" t="s">
        <v>908</v>
      </c>
      <c r="I128" s="168">
        <v>0</v>
      </c>
      <c r="J128" s="168">
        <v>0</v>
      </c>
      <c r="K128" s="168">
        <v>0</v>
      </c>
      <c r="L128" s="168">
        <v>0</v>
      </c>
      <c r="M128" s="167">
        <v>0</v>
      </c>
      <c r="N128" s="168">
        <v>0</v>
      </c>
      <c r="O128" s="168">
        <v>0</v>
      </c>
      <c r="P128" s="167">
        <v>0</v>
      </c>
      <c r="Q128" s="167">
        <v>110.97</v>
      </c>
      <c r="R128" s="167">
        <v>0</v>
      </c>
      <c r="S128" s="167">
        <v>0</v>
      </c>
      <c r="T128" s="167">
        <v>0</v>
      </c>
      <c r="U128" s="167">
        <v>110.97</v>
      </c>
      <c r="V128" s="167">
        <v>110.97</v>
      </c>
      <c r="W128" s="167">
        <v>0</v>
      </c>
      <c r="X128" s="167">
        <v>110.97</v>
      </c>
      <c r="Y128" s="167" t="s">
        <v>27</v>
      </c>
      <c r="Z128" s="166">
        <v>110.97</v>
      </c>
      <c r="AA128" s="165">
        <v>1928</v>
      </c>
    </row>
    <row r="129" spans="1:28" ht="15.75" hidden="1" customHeight="1" x14ac:dyDescent="0.2">
      <c r="A129" s="174" t="s">
        <v>905</v>
      </c>
      <c r="B129" s="173" t="s">
        <v>32</v>
      </c>
      <c r="C129" s="170" t="s">
        <v>396</v>
      </c>
      <c r="D129" s="172" t="s">
        <v>789</v>
      </c>
      <c r="E129" s="171" t="s">
        <v>397</v>
      </c>
      <c r="F129" s="170" t="s">
        <v>781</v>
      </c>
      <c r="G129" s="169" t="s">
        <v>788</v>
      </c>
      <c r="H129" s="175" t="s">
        <v>908</v>
      </c>
      <c r="I129" s="168">
        <v>0</v>
      </c>
      <c r="J129" s="168">
        <v>0</v>
      </c>
      <c r="K129" s="168">
        <v>0</v>
      </c>
      <c r="L129" s="168">
        <v>0</v>
      </c>
      <c r="M129" s="167">
        <v>0</v>
      </c>
      <c r="N129" s="168">
        <v>0</v>
      </c>
      <c r="O129" s="168">
        <v>0</v>
      </c>
      <c r="P129" s="167">
        <v>0</v>
      </c>
      <c r="Q129" s="167">
        <v>200.54</v>
      </c>
      <c r="R129" s="167">
        <v>0</v>
      </c>
      <c r="S129" s="167">
        <v>0</v>
      </c>
      <c r="T129" s="167">
        <v>0</v>
      </c>
      <c r="U129" s="167">
        <v>200.54</v>
      </c>
      <c r="V129" s="167">
        <v>200.54</v>
      </c>
      <c r="W129" s="167">
        <v>0</v>
      </c>
      <c r="X129" s="167">
        <v>200.54</v>
      </c>
      <c r="Y129" s="167" t="s">
        <v>27</v>
      </c>
      <c r="Z129" s="166">
        <v>200.54</v>
      </c>
      <c r="AA129" s="165">
        <v>3485</v>
      </c>
    </row>
    <row r="130" spans="1:28" ht="15.75" customHeight="1" x14ac:dyDescent="0.2">
      <c r="A130" s="174" t="s">
        <v>905</v>
      </c>
      <c r="B130" s="173" t="s">
        <v>32</v>
      </c>
      <c r="C130" s="170" t="s">
        <v>158</v>
      </c>
      <c r="D130" s="172" t="s">
        <v>26</v>
      </c>
      <c r="E130" s="171" t="s">
        <v>27</v>
      </c>
      <c r="F130" s="170" t="s">
        <v>27</v>
      </c>
      <c r="G130" s="169" t="s">
        <v>159</v>
      </c>
      <c r="H130" s="169" t="s">
        <v>904</v>
      </c>
      <c r="I130" s="168">
        <v>2331.4100000000003</v>
      </c>
      <c r="J130" s="168">
        <v>0</v>
      </c>
      <c r="K130" s="168">
        <v>0</v>
      </c>
      <c r="L130" s="168">
        <v>0</v>
      </c>
      <c r="M130" s="167">
        <v>2331.4100000000003</v>
      </c>
      <c r="N130" s="168">
        <v>0</v>
      </c>
      <c r="O130" s="168">
        <v>0</v>
      </c>
      <c r="P130" s="167">
        <v>0</v>
      </c>
      <c r="Q130" s="167">
        <v>0</v>
      </c>
      <c r="R130" s="167">
        <v>0</v>
      </c>
      <c r="S130" s="167">
        <v>0</v>
      </c>
      <c r="T130" s="167">
        <v>0</v>
      </c>
      <c r="U130" s="167">
        <v>0</v>
      </c>
      <c r="V130" s="167">
        <v>2331.4100000000003</v>
      </c>
      <c r="W130" s="167">
        <v>0</v>
      </c>
      <c r="X130" s="167">
        <v>2331.4100000000003</v>
      </c>
      <c r="Y130" s="167" t="s">
        <v>27</v>
      </c>
      <c r="Z130" s="166">
        <v>2331.4100000000003</v>
      </c>
      <c r="AA130" s="165">
        <v>40515</v>
      </c>
    </row>
    <row r="131" spans="1:28" ht="15.75" hidden="1" customHeight="1" x14ac:dyDescent="0.2">
      <c r="A131" s="174" t="s">
        <v>905</v>
      </c>
      <c r="B131" s="173" t="s">
        <v>32</v>
      </c>
      <c r="C131" s="170" t="s">
        <v>158</v>
      </c>
      <c r="D131" s="172" t="s">
        <v>787</v>
      </c>
      <c r="E131" s="171" t="s">
        <v>786</v>
      </c>
      <c r="F131" s="170" t="s">
        <v>780</v>
      </c>
      <c r="G131" s="169" t="s">
        <v>785</v>
      </c>
      <c r="H131" s="169" t="s">
        <v>906</v>
      </c>
      <c r="I131" s="168">
        <v>0</v>
      </c>
      <c r="J131" s="168">
        <v>0</v>
      </c>
      <c r="K131" s="168">
        <v>0</v>
      </c>
      <c r="L131" s="168">
        <v>0</v>
      </c>
      <c r="M131" s="167">
        <v>0</v>
      </c>
      <c r="N131" s="168">
        <v>0</v>
      </c>
      <c r="O131" s="168">
        <v>0</v>
      </c>
      <c r="P131" s="167">
        <v>0</v>
      </c>
      <c r="Q131" s="167">
        <v>92.03</v>
      </c>
      <c r="R131" s="167">
        <v>0</v>
      </c>
      <c r="S131" s="167">
        <v>0</v>
      </c>
      <c r="T131" s="167">
        <v>0</v>
      </c>
      <c r="U131" s="167">
        <v>92.03</v>
      </c>
      <c r="V131" s="167">
        <v>92.03</v>
      </c>
      <c r="W131" s="167">
        <v>0</v>
      </c>
      <c r="X131" s="167">
        <v>92.03</v>
      </c>
      <c r="Y131" s="167" t="s">
        <v>27</v>
      </c>
      <c r="Z131" s="166">
        <v>92.03</v>
      </c>
      <c r="AA131" s="165">
        <v>1599</v>
      </c>
    </row>
    <row r="132" spans="1:28" ht="15.75" hidden="1" customHeight="1" x14ac:dyDescent="0.2">
      <c r="A132" s="174" t="s">
        <v>905</v>
      </c>
      <c r="B132" s="173" t="s">
        <v>32</v>
      </c>
      <c r="C132" s="170" t="s">
        <v>675</v>
      </c>
      <c r="D132" s="172" t="s">
        <v>676</v>
      </c>
      <c r="E132" s="171" t="s">
        <v>677</v>
      </c>
      <c r="F132" s="170" t="s">
        <v>781</v>
      </c>
      <c r="G132" s="169" t="s">
        <v>679</v>
      </c>
      <c r="H132" s="169" t="s">
        <v>904</v>
      </c>
      <c r="I132" s="168">
        <v>0</v>
      </c>
      <c r="J132" s="168">
        <v>0</v>
      </c>
      <c r="K132" s="168">
        <v>0</v>
      </c>
      <c r="L132" s="168">
        <v>0</v>
      </c>
      <c r="M132" s="167">
        <v>0</v>
      </c>
      <c r="N132" s="168">
        <v>0</v>
      </c>
      <c r="O132" s="168">
        <v>0</v>
      </c>
      <c r="P132" s="167">
        <v>0</v>
      </c>
      <c r="Q132" s="167">
        <v>199.54</v>
      </c>
      <c r="R132" s="167">
        <v>0</v>
      </c>
      <c r="S132" s="167">
        <v>0</v>
      </c>
      <c r="T132" s="167">
        <v>0</v>
      </c>
      <c r="U132" s="167">
        <v>199.54</v>
      </c>
      <c r="V132" s="167">
        <v>199.54</v>
      </c>
      <c r="W132" s="167">
        <v>58.949999999999996</v>
      </c>
      <c r="X132" s="167">
        <v>140.59</v>
      </c>
      <c r="Y132" s="167" t="s">
        <v>27</v>
      </c>
      <c r="Z132" s="166">
        <v>140.59</v>
      </c>
      <c r="AA132" s="165">
        <v>2443</v>
      </c>
    </row>
    <row r="133" spans="1:28" ht="15.75" hidden="1" customHeight="1" x14ac:dyDescent="0.2">
      <c r="A133" s="174" t="s">
        <v>905</v>
      </c>
      <c r="B133" s="173" t="s">
        <v>32</v>
      </c>
      <c r="C133" s="170" t="s">
        <v>669</v>
      </c>
      <c r="D133" s="172" t="s">
        <v>670</v>
      </c>
      <c r="E133" s="171" t="s">
        <v>671</v>
      </c>
      <c r="F133" s="170" t="s">
        <v>781</v>
      </c>
      <c r="G133" s="169" t="s">
        <v>907</v>
      </c>
      <c r="H133" s="169" t="s">
        <v>906</v>
      </c>
      <c r="I133" s="168">
        <v>0</v>
      </c>
      <c r="J133" s="168">
        <v>0</v>
      </c>
      <c r="K133" s="168">
        <v>0</v>
      </c>
      <c r="L133" s="168">
        <v>0</v>
      </c>
      <c r="M133" s="167">
        <v>0</v>
      </c>
      <c r="N133" s="168">
        <v>0</v>
      </c>
      <c r="O133" s="168">
        <v>0</v>
      </c>
      <c r="P133" s="167">
        <v>0</v>
      </c>
      <c r="Q133" s="167">
        <v>381.99</v>
      </c>
      <c r="R133" s="167">
        <v>0</v>
      </c>
      <c r="S133" s="167">
        <v>0</v>
      </c>
      <c r="T133" s="167">
        <v>0</v>
      </c>
      <c r="U133" s="167">
        <v>381.99</v>
      </c>
      <c r="V133" s="167">
        <v>381.99</v>
      </c>
      <c r="W133" s="167">
        <v>4.2699999999999996</v>
      </c>
      <c r="X133" s="167">
        <v>377.72</v>
      </c>
      <c r="Y133" s="167" t="s">
        <v>27</v>
      </c>
      <c r="Z133" s="166">
        <v>377.72</v>
      </c>
      <c r="AA133" s="165">
        <v>6564</v>
      </c>
    </row>
    <row r="134" spans="1:28" ht="15.75" hidden="1" customHeight="1" x14ac:dyDescent="0.2">
      <c r="A134" s="174" t="s">
        <v>905</v>
      </c>
      <c r="B134" s="173" t="s">
        <v>32</v>
      </c>
      <c r="C134" s="170" t="s">
        <v>663</v>
      </c>
      <c r="D134" s="172" t="s">
        <v>664</v>
      </c>
      <c r="E134" s="171" t="s">
        <v>665</v>
      </c>
      <c r="F134" s="170" t="s">
        <v>781</v>
      </c>
      <c r="G134" s="169" t="s">
        <v>667</v>
      </c>
      <c r="H134" s="169" t="s">
        <v>904</v>
      </c>
      <c r="I134" s="168">
        <v>0</v>
      </c>
      <c r="J134" s="168">
        <v>0</v>
      </c>
      <c r="K134" s="168">
        <v>0</v>
      </c>
      <c r="L134" s="168">
        <v>0</v>
      </c>
      <c r="M134" s="167">
        <v>0</v>
      </c>
      <c r="N134" s="168">
        <v>0</v>
      </c>
      <c r="O134" s="168">
        <v>0</v>
      </c>
      <c r="P134" s="167">
        <v>0</v>
      </c>
      <c r="Q134" s="167">
        <v>152.44999999999999</v>
      </c>
      <c r="R134" s="167">
        <v>0</v>
      </c>
      <c r="S134" s="167">
        <v>0</v>
      </c>
      <c r="T134" s="167">
        <v>0</v>
      </c>
      <c r="U134" s="167">
        <v>152.44999999999999</v>
      </c>
      <c r="V134" s="167">
        <v>152.44999999999999</v>
      </c>
      <c r="W134" s="167">
        <v>1.1000000000000001</v>
      </c>
      <c r="X134" s="167">
        <v>151.35</v>
      </c>
      <c r="Y134" s="167" t="s">
        <v>27</v>
      </c>
      <c r="Z134" s="166">
        <v>151.35</v>
      </c>
      <c r="AA134" s="165">
        <v>2630</v>
      </c>
    </row>
    <row r="135" spans="1:28" ht="15.75" x14ac:dyDescent="0.25">
      <c r="A135" s="164" t="s">
        <v>764</v>
      </c>
      <c r="B135" s="164"/>
      <c r="C135" s="164"/>
      <c r="D135" s="164"/>
      <c r="E135" s="164"/>
      <c r="F135" s="164"/>
      <c r="G135" s="163"/>
      <c r="H135" s="163"/>
      <c r="I135" s="163">
        <f>SUBTOTAL(109,Table3[
School District Funded ADA
A.1])</f>
        <v>407487.4</v>
      </c>
      <c r="J135" s="163">
        <f>SUBTOTAL(109,Table3[
School District NSS Funded ADA
A.2])</f>
        <v>269.21000000000004</v>
      </c>
      <c r="K135" s="163">
        <f>SUBTOTAL(109,Table3[
School District Basic Aid Choice
A.3])</f>
        <v>58.11</v>
      </c>
      <c r="L135" s="163">
        <f>SUBTOTAL(109,Table3[
School District Basic Aid COVPT
A.4])</f>
        <v>0</v>
      </c>
      <c r="M135" s="161">
        <f>SUBTOTAL(109,Table3[Total School District ADA
(Sum A.1:A.4)
A.5 ])</f>
        <v>407814.72000000003</v>
      </c>
      <c r="N135" s="163">
        <f>SUBTOTAL(109,Table3[Attendance COE
B.1])</f>
        <v>1205.7</v>
      </c>
      <c r="O135" s="163">
        <f>SUBTOTAL(109,Table3[Attendance DFCP
B.2])</f>
        <v>447.64</v>
      </c>
      <c r="P135" s="161">
        <f>SUBTOTAL(109,Table3[Total COE ADA
(B.1 + B.2) 
B.3])</f>
        <v>1653.3400000000001</v>
      </c>
      <c r="Q135" s="161">
        <f>SUBTOTAL(109,Table3[Attendance Charter School
C.1])</f>
        <v>0</v>
      </c>
      <c r="R135" s="161">
        <f>SUBTOTAL(109,Table3[Attendance Charter Funded County Program
C.2])</f>
        <v>0</v>
      </c>
      <c r="S135" s="161">
        <f>SUBTOTAL(109,Table3[Attendance COE Charter
C.3])</f>
        <v>0</v>
      </c>
      <c r="T135" s="161">
        <f>SUBTOTAL(109,Table3[All Charter District
C.4])</f>
        <v>0</v>
      </c>
      <c r="U135" s="161">
        <f>SUBTOTAL(109,Table3[Total Charter School Funded ADA 
(Sum C.1:C.4)
C.5])</f>
        <v>0</v>
      </c>
      <c r="V135" s="161">
        <f>SUBTOTAL(109,Table3[Total Funded ADA (A.5 + B.3 + C.5)
D.1])</f>
        <v>409468.06000000006</v>
      </c>
      <c r="W135" s="161">
        <f>SUBTOTAL(109,Table3[Charter School Nonclassroom Based ADA 
D.2])</f>
        <v>0</v>
      </c>
      <c r="X135" s="161">
        <f>SUBTOTAL(109,Table3[Total Funded ADA less Charter School Nonclassroom Based ADA
D.3 ])</f>
        <v>409468.06000000006</v>
      </c>
      <c r="Y135" s="162">
        <f>SUBTOTAL(109,Table3[2019-20 Fall 1 CALPADS Enrollment for State Special Schools
E.1])</f>
        <v>0</v>
      </c>
      <c r="Z135" s="161">
        <f>SUBTOTAL(109,Table3[ADA to Include State Special School ADA Equivalent
E.2])</f>
        <v>409468.06000000006</v>
      </c>
      <c r="AA135" s="160">
        <f>SUBTOTAL(109,Table3[SB 117 Allocation (greater of  $17.3779235 x E.2, or $250)])</f>
        <v>7115707</v>
      </c>
      <c r="AB135" s="159"/>
    </row>
    <row r="136" spans="1:28" ht="15.75" x14ac:dyDescent="0.25">
      <c r="A136" s="158" t="s">
        <v>903</v>
      </c>
      <c r="B136" s="157"/>
    </row>
    <row r="137" spans="1:28" x14ac:dyDescent="0.2">
      <c r="A137" s="150" t="s">
        <v>765</v>
      </c>
      <c r="B137" s="155"/>
      <c r="P137" s="156"/>
      <c r="Q137" s="156"/>
      <c r="R137" s="156"/>
      <c r="S137" s="156"/>
      <c r="T137" s="156"/>
    </row>
    <row r="138" spans="1:28" x14ac:dyDescent="0.2">
      <c r="A138" s="150" t="s">
        <v>902</v>
      </c>
      <c r="B138" s="155"/>
    </row>
    <row r="139" spans="1:28" x14ac:dyDescent="0.2">
      <c r="A139" s="154" t="s">
        <v>901</v>
      </c>
      <c r="B139" s="153"/>
    </row>
  </sheetData>
  <hyperlinks>
    <hyperlink ref="A3" r:id="rId1" xr:uid="{92B2227D-92B7-48C4-B9E5-017A83BBD4B7}"/>
  </hyperlinks>
  <printOptions horizontalCentered="1"/>
  <pageMargins left="0.5" right="0.5" top="0.5" bottom="0.5" header="0.25" footer="0.25"/>
  <pageSetup paperSize="5" scale="51" fitToWidth="0" pageOrder="overThenDown" orientation="landscape" horizontalDpi="1200" verticalDpi="1200" r:id="rId2"/>
  <headerFooter>
    <oddFooter>Page &amp;P of &amp;N</oddFooter>
  </headerFooter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EBC9B-162B-45A2-A3FF-8ABE6BC0BE06}">
  <sheetPr>
    <pageSetUpPr fitToPage="1"/>
  </sheetPr>
  <dimension ref="A1:V187"/>
  <sheetViews>
    <sheetView zoomScaleNormal="100" workbookViewId="0">
      <pane ySplit="6" topLeftCell="A31" activePane="bottomLeft" state="frozen"/>
      <selection pane="bottomLeft" activeCell="A185" sqref="A185"/>
    </sheetView>
  </sheetViews>
  <sheetFormatPr defaultColWidth="9.21875" defaultRowHeight="15.75" x14ac:dyDescent="0.25"/>
  <cols>
    <col min="1" max="2" width="13.77734375" style="214" customWidth="1"/>
    <col min="3" max="3" width="13.44140625" style="214" customWidth="1"/>
    <col min="4" max="4" width="16.6640625" style="214" customWidth="1"/>
    <col min="5" max="5" width="8.33203125" style="214" customWidth="1"/>
    <col min="6" max="6" width="17" style="214" customWidth="1"/>
    <col min="7" max="7" width="29.88671875" style="212" customWidth="1"/>
    <col min="8" max="8" width="14" style="212" customWidth="1"/>
    <col min="9" max="9" width="14.109375" style="213" customWidth="1"/>
    <col min="10" max="10" width="16.21875" style="212" customWidth="1"/>
    <col min="11" max="11" width="18.44140625" style="212" customWidth="1"/>
    <col min="12" max="12" width="17.44140625" style="212" customWidth="1"/>
    <col min="13" max="13" width="17.5546875" style="212" customWidth="1"/>
    <col min="14" max="14" width="17.6640625" style="212" customWidth="1"/>
    <col min="15" max="15" width="15.6640625" style="212" customWidth="1"/>
    <col min="16" max="16" width="19.44140625" style="212" customWidth="1"/>
    <col min="17" max="17" width="19.109375" style="212" customWidth="1"/>
    <col min="18" max="18" width="16.6640625" style="212" customWidth="1"/>
    <col min="19" max="19" width="14.109375" style="212" customWidth="1"/>
    <col min="20" max="20" width="14.6640625" style="212" customWidth="1"/>
    <col min="21" max="21" width="14.21875" style="212" customWidth="1"/>
    <col min="22" max="22" width="15.77734375" style="212" customWidth="1"/>
    <col min="23" max="16384" width="9.21875" style="212"/>
  </cols>
  <sheetData>
    <row r="1" spans="1:22" s="260" customFormat="1" x14ac:dyDescent="0.2">
      <c r="A1" s="274" t="s">
        <v>977</v>
      </c>
      <c r="B1" s="268"/>
      <c r="C1" s="268"/>
      <c r="D1" s="268"/>
      <c r="E1" s="268"/>
      <c r="F1" s="268"/>
      <c r="I1" s="267"/>
      <c r="J1" s="273"/>
      <c r="K1" s="273"/>
      <c r="Q1" s="273"/>
      <c r="R1" s="273"/>
      <c r="S1" s="273"/>
      <c r="T1" s="273"/>
      <c r="U1" s="273"/>
    </row>
    <row r="2" spans="1:22" s="260" customFormat="1" x14ac:dyDescent="0.2">
      <c r="A2" s="260" t="s">
        <v>976</v>
      </c>
      <c r="B2" s="268"/>
      <c r="C2" s="289">
        <v>1</v>
      </c>
      <c r="D2" s="289">
        <f>+C2+1</f>
        <v>2</v>
      </c>
      <c r="E2" s="289">
        <f t="shared" ref="E2:V2" si="0">+D2+1</f>
        <v>3</v>
      </c>
      <c r="F2" s="289">
        <f t="shared" si="0"/>
        <v>4</v>
      </c>
      <c r="G2" s="289">
        <f t="shared" si="0"/>
        <v>5</v>
      </c>
      <c r="H2" s="289">
        <f t="shared" si="0"/>
        <v>6</v>
      </c>
      <c r="I2" s="289">
        <f t="shared" si="0"/>
        <v>7</v>
      </c>
      <c r="J2" s="289">
        <f t="shared" si="0"/>
        <v>8</v>
      </c>
      <c r="K2" s="289">
        <f t="shared" si="0"/>
        <v>9</v>
      </c>
      <c r="L2" s="289">
        <f t="shared" si="0"/>
        <v>10</v>
      </c>
      <c r="M2" s="289">
        <f t="shared" si="0"/>
        <v>11</v>
      </c>
      <c r="N2" s="289">
        <f t="shared" si="0"/>
        <v>12</v>
      </c>
      <c r="O2" s="289">
        <f t="shared" si="0"/>
        <v>13</v>
      </c>
      <c r="P2" s="289">
        <f t="shared" si="0"/>
        <v>14</v>
      </c>
      <c r="Q2" s="289">
        <f t="shared" si="0"/>
        <v>15</v>
      </c>
      <c r="R2" s="289">
        <f t="shared" si="0"/>
        <v>16</v>
      </c>
      <c r="S2" s="289">
        <f t="shared" si="0"/>
        <v>17</v>
      </c>
      <c r="T2" s="289">
        <f t="shared" si="0"/>
        <v>18</v>
      </c>
      <c r="U2" s="289">
        <f t="shared" si="0"/>
        <v>19</v>
      </c>
      <c r="V2" s="289">
        <f t="shared" si="0"/>
        <v>20</v>
      </c>
    </row>
    <row r="3" spans="1:22" s="260" customFormat="1" x14ac:dyDescent="0.2">
      <c r="A3" s="269" t="s">
        <v>975</v>
      </c>
      <c r="B3" s="268"/>
      <c r="C3" s="268"/>
      <c r="D3" s="268"/>
      <c r="E3" s="268"/>
      <c r="F3" s="268"/>
      <c r="I3" s="267"/>
      <c r="J3" s="271"/>
      <c r="K3" s="272"/>
      <c r="L3" s="261"/>
      <c r="M3" s="261"/>
      <c r="N3" s="261"/>
      <c r="O3" s="261"/>
      <c r="P3" s="261"/>
      <c r="Q3" s="271"/>
      <c r="R3" s="270"/>
      <c r="S3" s="270"/>
      <c r="T3" s="270"/>
      <c r="U3" s="270"/>
      <c r="V3" s="261"/>
    </row>
    <row r="4" spans="1:22" s="260" customFormat="1" x14ac:dyDescent="0.2">
      <c r="A4" s="269" t="s">
        <v>974</v>
      </c>
      <c r="B4" s="268"/>
      <c r="C4" s="268"/>
      <c r="D4" s="268"/>
      <c r="E4" s="268"/>
      <c r="F4" s="268"/>
      <c r="I4" s="267"/>
      <c r="J4" s="271"/>
      <c r="K4" s="272"/>
      <c r="L4" s="261"/>
      <c r="M4" s="261"/>
      <c r="N4" s="261"/>
      <c r="O4" s="261"/>
      <c r="P4" s="261"/>
      <c r="Q4" s="271"/>
      <c r="R4" s="270"/>
      <c r="S4" s="270"/>
      <c r="T4" s="270"/>
      <c r="U4" s="270"/>
      <c r="V4" s="261"/>
    </row>
    <row r="5" spans="1:22" s="260" customFormat="1" x14ac:dyDescent="0.2">
      <c r="A5" s="269" t="s">
        <v>973</v>
      </c>
      <c r="B5" s="268"/>
      <c r="C5" s="268"/>
      <c r="D5" s="268"/>
      <c r="E5" s="268"/>
      <c r="F5" s="268"/>
      <c r="I5" s="267"/>
      <c r="J5" s="266"/>
      <c r="K5" s="266"/>
      <c r="L5" s="261"/>
      <c r="M5" s="261"/>
      <c r="N5" s="265"/>
      <c r="O5" s="261"/>
      <c r="P5" s="261"/>
      <c r="Q5" s="264"/>
      <c r="R5" s="263"/>
      <c r="S5" s="262"/>
      <c r="T5" s="262"/>
      <c r="U5" s="262"/>
      <c r="V5" s="261"/>
    </row>
    <row r="6" spans="1:22" s="251" customFormat="1" ht="110.25" x14ac:dyDescent="0.25">
      <c r="A6" s="256" t="s">
        <v>837</v>
      </c>
      <c r="B6" s="256" t="s">
        <v>836</v>
      </c>
      <c r="C6" s="256" t="s">
        <v>835</v>
      </c>
      <c r="D6" s="256" t="s">
        <v>834</v>
      </c>
      <c r="E6" s="256" t="s">
        <v>972</v>
      </c>
      <c r="F6" s="256" t="s">
        <v>971</v>
      </c>
      <c r="G6" s="256" t="s">
        <v>970</v>
      </c>
      <c r="H6" s="256" t="s">
        <v>969</v>
      </c>
      <c r="I6" s="259" t="s">
        <v>968</v>
      </c>
      <c r="J6" s="254" t="s">
        <v>967</v>
      </c>
      <c r="K6" s="253" t="s">
        <v>966</v>
      </c>
      <c r="L6" s="257" t="s">
        <v>965</v>
      </c>
      <c r="M6" s="256" t="s">
        <v>964</v>
      </c>
      <c r="N6" s="258" t="s">
        <v>963</v>
      </c>
      <c r="O6" s="257" t="s">
        <v>962</v>
      </c>
      <c r="P6" s="256" t="s">
        <v>961</v>
      </c>
      <c r="Q6" s="254" t="s">
        <v>960</v>
      </c>
      <c r="R6" s="253" t="s">
        <v>959</v>
      </c>
      <c r="S6" s="255" t="s">
        <v>958</v>
      </c>
      <c r="T6" s="254" t="s">
        <v>957</v>
      </c>
      <c r="U6" s="253" t="s">
        <v>956</v>
      </c>
      <c r="V6" s="252" t="s">
        <v>955</v>
      </c>
    </row>
    <row r="7" spans="1:22" s="4" customFormat="1" ht="30" x14ac:dyDescent="0.2">
      <c r="A7" s="250" t="s">
        <v>32</v>
      </c>
      <c r="B7" s="250" t="s">
        <v>33</v>
      </c>
      <c r="C7" s="250" t="s">
        <v>26</v>
      </c>
      <c r="D7" s="250" t="s">
        <v>27</v>
      </c>
      <c r="E7" s="249" t="s">
        <v>27</v>
      </c>
      <c r="F7" s="216" t="s">
        <v>33</v>
      </c>
      <c r="G7" s="248" t="s">
        <v>34</v>
      </c>
      <c r="H7" s="247" t="s">
        <v>769</v>
      </c>
      <c r="I7" s="246">
        <v>429</v>
      </c>
      <c r="J7" s="245">
        <v>197345</v>
      </c>
      <c r="K7" s="244">
        <v>635973</v>
      </c>
      <c r="L7" s="241">
        <v>7456890</v>
      </c>
      <c r="M7" s="243">
        <v>7.6339016924651477E-4</v>
      </c>
      <c r="N7" s="242">
        <v>2179652</v>
      </c>
      <c r="O7" s="241">
        <v>80790029</v>
      </c>
      <c r="P7" s="240">
        <v>1.2752120864676741E-3</v>
      </c>
      <c r="Q7" s="239">
        <v>688520</v>
      </c>
      <c r="R7" s="238">
        <v>560894</v>
      </c>
      <c r="S7" s="237">
        <v>197345</v>
      </c>
      <c r="T7" s="236">
        <v>3376519</v>
      </c>
      <c r="U7" s="235">
        <v>688520</v>
      </c>
      <c r="V7" s="234">
        <v>4262384</v>
      </c>
    </row>
    <row r="8" spans="1:22" s="4" customFormat="1" ht="15" x14ac:dyDescent="0.2">
      <c r="A8" s="250" t="s">
        <v>32</v>
      </c>
      <c r="B8" s="250" t="s">
        <v>33</v>
      </c>
      <c r="C8" s="250" t="s">
        <v>606</v>
      </c>
      <c r="D8" s="250" t="s">
        <v>607</v>
      </c>
      <c r="E8" s="249" t="s">
        <v>781</v>
      </c>
      <c r="F8" s="216" t="s">
        <v>608</v>
      </c>
      <c r="G8" s="248" t="s">
        <v>609</v>
      </c>
      <c r="H8" s="247" t="s">
        <v>769</v>
      </c>
      <c r="I8" s="246">
        <v>65</v>
      </c>
      <c r="J8" s="245">
        <v>29901</v>
      </c>
      <c r="K8" s="244">
        <v>96360</v>
      </c>
      <c r="L8" s="241">
        <v>339871</v>
      </c>
      <c r="M8" s="243">
        <v>3.4793885951379496E-5</v>
      </c>
      <c r="N8" s="242">
        <v>99344</v>
      </c>
      <c r="O8" s="241">
        <v>3457959</v>
      </c>
      <c r="P8" s="240">
        <v>5.4581377997892194E-5</v>
      </c>
      <c r="Q8" s="239">
        <v>29470</v>
      </c>
      <c r="R8" s="238">
        <v>24007</v>
      </c>
      <c r="S8" s="237">
        <v>29901</v>
      </c>
      <c r="T8" s="236">
        <v>219711</v>
      </c>
      <c r="U8" s="235">
        <v>29470</v>
      </c>
      <c r="V8" s="234">
        <v>279082</v>
      </c>
    </row>
    <row r="9" spans="1:22" s="4" customFormat="1" ht="15" x14ac:dyDescent="0.2">
      <c r="A9" s="250" t="s">
        <v>32</v>
      </c>
      <c r="B9" s="250" t="s">
        <v>33</v>
      </c>
      <c r="C9" s="250" t="s">
        <v>874</v>
      </c>
      <c r="D9" s="250" t="s">
        <v>873</v>
      </c>
      <c r="E9" s="249" t="s">
        <v>781</v>
      </c>
      <c r="F9" s="216" t="s">
        <v>872</v>
      </c>
      <c r="G9" s="248" t="s">
        <v>871</v>
      </c>
      <c r="H9" s="247" t="s">
        <v>769</v>
      </c>
      <c r="I9" s="246">
        <v>22</v>
      </c>
      <c r="J9" s="245">
        <v>10120</v>
      </c>
      <c r="K9" s="244">
        <v>32614</v>
      </c>
      <c r="L9" s="241">
        <v>24561</v>
      </c>
      <c r="M9" s="243">
        <v>2.5144029141993041E-6</v>
      </c>
      <c r="N9" s="242">
        <v>7179</v>
      </c>
      <c r="O9" s="241">
        <v>618094</v>
      </c>
      <c r="P9" s="240">
        <v>9.756166065655833E-6</v>
      </c>
      <c r="Q9" s="239">
        <v>5268</v>
      </c>
      <c r="R9" s="238">
        <v>4291</v>
      </c>
      <c r="S9" s="237">
        <v>10120</v>
      </c>
      <c r="T9" s="236">
        <v>44084</v>
      </c>
      <c r="U9" s="235">
        <v>5268</v>
      </c>
      <c r="V9" s="234">
        <v>59472</v>
      </c>
    </row>
    <row r="10" spans="1:22" s="4" customFormat="1" ht="15" x14ac:dyDescent="0.2">
      <c r="A10" s="250" t="s">
        <v>32</v>
      </c>
      <c r="B10" s="250" t="s">
        <v>33</v>
      </c>
      <c r="C10" s="250" t="s">
        <v>658</v>
      </c>
      <c r="D10" s="250" t="s">
        <v>659</v>
      </c>
      <c r="E10" s="249" t="s">
        <v>781</v>
      </c>
      <c r="F10" s="216" t="s">
        <v>660</v>
      </c>
      <c r="G10" s="248" t="s">
        <v>661</v>
      </c>
      <c r="H10" s="247" t="s">
        <v>768</v>
      </c>
      <c r="I10" s="246">
        <v>0</v>
      </c>
      <c r="J10" s="245">
        <v>0</v>
      </c>
      <c r="K10" s="244">
        <v>0</v>
      </c>
      <c r="L10" s="241">
        <v>0</v>
      </c>
      <c r="M10" s="243">
        <v>0</v>
      </c>
      <c r="N10" s="242">
        <v>0</v>
      </c>
      <c r="O10" s="241">
        <v>6413060</v>
      </c>
      <c r="P10" s="240">
        <v>1.012255067174488E-4</v>
      </c>
      <c r="Q10" s="239">
        <v>54654</v>
      </c>
      <c r="R10" s="238">
        <v>44523</v>
      </c>
      <c r="S10" s="237">
        <v>0</v>
      </c>
      <c r="T10" s="236">
        <v>44523</v>
      </c>
      <c r="U10" s="235">
        <v>54654</v>
      </c>
      <c r="V10" s="234">
        <v>99177</v>
      </c>
    </row>
    <row r="11" spans="1:22" s="4" customFormat="1" ht="15" x14ac:dyDescent="0.2">
      <c r="A11" s="250" t="s">
        <v>32</v>
      </c>
      <c r="B11" s="250" t="s">
        <v>33</v>
      </c>
      <c r="C11" s="250" t="s">
        <v>653</v>
      </c>
      <c r="D11" s="250" t="s">
        <v>654</v>
      </c>
      <c r="E11" s="249" t="s">
        <v>781</v>
      </c>
      <c r="F11" s="216" t="s">
        <v>655</v>
      </c>
      <c r="G11" s="248" t="s">
        <v>656</v>
      </c>
      <c r="H11" s="247" t="s">
        <v>768</v>
      </c>
      <c r="I11" s="246">
        <v>0</v>
      </c>
      <c r="J11" s="245">
        <v>0</v>
      </c>
      <c r="K11" s="244">
        <v>0</v>
      </c>
      <c r="L11" s="241">
        <v>0</v>
      </c>
      <c r="M11" s="243">
        <v>0</v>
      </c>
      <c r="N11" s="242">
        <v>0</v>
      </c>
      <c r="O11" s="241">
        <v>4328175</v>
      </c>
      <c r="P11" s="240">
        <v>6.8317107205732359E-5</v>
      </c>
      <c r="Q11" s="239">
        <v>36886</v>
      </c>
      <c r="R11" s="238">
        <v>30049</v>
      </c>
      <c r="S11" s="237">
        <v>0</v>
      </c>
      <c r="T11" s="236">
        <v>30049</v>
      </c>
      <c r="U11" s="235">
        <v>36886</v>
      </c>
      <c r="V11" s="234">
        <v>66935</v>
      </c>
    </row>
    <row r="12" spans="1:22" s="4" customFormat="1" ht="15" x14ac:dyDescent="0.2">
      <c r="A12" s="250" t="s">
        <v>32</v>
      </c>
      <c r="B12" s="250" t="s">
        <v>33</v>
      </c>
      <c r="C12" s="250" t="s">
        <v>691</v>
      </c>
      <c r="D12" s="250" t="s">
        <v>692</v>
      </c>
      <c r="E12" s="249" t="s">
        <v>781</v>
      </c>
      <c r="F12" s="216" t="s">
        <v>693</v>
      </c>
      <c r="G12" s="248" t="s">
        <v>694</v>
      </c>
      <c r="H12" s="247" t="s">
        <v>768</v>
      </c>
      <c r="I12" s="246">
        <v>0</v>
      </c>
      <c r="J12" s="245">
        <v>0</v>
      </c>
      <c r="K12" s="244">
        <v>0</v>
      </c>
      <c r="L12" s="241">
        <v>0</v>
      </c>
      <c r="M12" s="243">
        <v>0</v>
      </c>
      <c r="N12" s="242">
        <v>0</v>
      </c>
      <c r="O12" s="241">
        <v>4570009</v>
      </c>
      <c r="P12" s="240">
        <v>7.2134281720161899E-5</v>
      </c>
      <c r="Q12" s="239">
        <v>38947</v>
      </c>
      <c r="R12" s="238">
        <v>31728</v>
      </c>
      <c r="S12" s="237">
        <v>0</v>
      </c>
      <c r="T12" s="236">
        <v>31728</v>
      </c>
      <c r="U12" s="235">
        <v>38947</v>
      </c>
      <c r="V12" s="234">
        <v>70675</v>
      </c>
    </row>
    <row r="13" spans="1:22" s="4" customFormat="1" ht="15" x14ac:dyDescent="0.2">
      <c r="A13" s="250" t="s">
        <v>32</v>
      </c>
      <c r="B13" s="250" t="s">
        <v>33</v>
      </c>
      <c r="C13" s="250" t="s">
        <v>706</v>
      </c>
      <c r="D13" s="250" t="s">
        <v>707</v>
      </c>
      <c r="E13" s="249" t="s">
        <v>781</v>
      </c>
      <c r="F13" s="216" t="s">
        <v>708</v>
      </c>
      <c r="G13" s="248" t="s">
        <v>709</v>
      </c>
      <c r="H13" s="247" t="s">
        <v>768</v>
      </c>
      <c r="I13" s="246">
        <v>0</v>
      </c>
      <c r="J13" s="245">
        <v>0</v>
      </c>
      <c r="K13" s="244">
        <v>0</v>
      </c>
      <c r="L13" s="241">
        <v>0</v>
      </c>
      <c r="M13" s="243">
        <v>0</v>
      </c>
      <c r="N13" s="242">
        <v>0</v>
      </c>
      <c r="O13" s="241">
        <v>4304136</v>
      </c>
      <c r="P13" s="240">
        <v>6.7937669003691404E-5</v>
      </c>
      <c r="Q13" s="239">
        <v>36681</v>
      </c>
      <c r="R13" s="238">
        <v>29882</v>
      </c>
      <c r="S13" s="237">
        <v>0</v>
      </c>
      <c r="T13" s="236">
        <v>29882</v>
      </c>
      <c r="U13" s="235">
        <v>36681</v>
      </c>
      <c r="V13" s="234">
        <v>66563</v>
      </c>
    </row>
    <row r="14" spans="1:22" s="4" customFormat="1" ht="30" x14ac:dyDescent="0.2">
      <c r="A14" s="250" t="s">
        <v>32</v>
      </c>
      <c r="B14" s="250" t="s">
        <v>33</v>
      </c>
      <c r="C14" s="250" t="s">
        <v>726</v>
      </c>
      <c r="D14" s="250" t="s">
        <v>727</v>
      </c>
      <c r="E14" s="249" t="s">
        <v>781</v>
      </c>
      <c r="F14" s="216" t="s">
        <v>728</v>
      </c>
      <c r="G14" s="248" t="s">
        <v>729</v>
      </c>
      <c r="H14" s="247" t="s">
        <v>769</v>
      </c>
      <c r="I14" s="246">
        <v>20</v>
      </c>
      <c r="J14" s="245">
        <v>9200</v>
      </c>
      <c r="K14" s="244">
        <v>29649</v>
      </c>
      <c r="L14" s="241">
        <v>201518</v>
      </c>
      <c r="M14" s="243">
        <v>2.0630163530133764E-5</v>
      </c>
      <c r="N14" s="242">
        <v>58904</v>
      </c>
      <c r="O14" s="241">
        <v>2216704</v>
      </c>
      <c r="P14" s="240">
        <v>3.4989066941927194E-5</v>
      </c>
      <c r="Q14" s="239">
        <v>18892</v>
      </c>
      <c r="R14" s="238">
        <v>15390</v>
      </c>
      <c r="S14" s="237">
        <v>9200</v>
      </c>
      <c r="T14" s="236">
        <v>103943</v>
      </c>
      <c r="U14" s="235">
        <v>18892</v>
      </c>
      <c r="V14" s="234">
        <v>132035</v>
      </c>
    </row>
    <row r="15" spans="1:22" s="4" customFormat="1" ht="15" x14ac:dyDescent="0.2">
      <c r="A15" s="250" t="s">
        <v>32</v>
      </c>
      <c r="B15" s="250" t="s">
        <v>33</v>
      </c>
      <c r="C15" s="250" t="s">
        <v>731</v>
      </c>
      <c r="D15" s="250" t="s">
        <v>732</v>
      </c>
      <c r="E15" s="249" t="s">
        <v>781</v>
      </c>
      <c r="F15" s="216" t="s">
        <v>733</v>
      </c>
      <c r="G15" s="248" t="s">
        <v>734</v>
      </c>
      <c r="H15" s="247" t="s">
        <v>768</v>
      </c>
      <c r="I15" s="246">
        <v>0</v>
      </c>
      <c r="J15" s="245">
        <v>0</v>
      </c>
      <c r="K15" s="244">
        <v>0</v>
      </c>
      <c r="L15" s="241">
        <v>0</v>
      </c>
      <c r="M15" s="243">
        <v>0</v>
      </c>
      <c r="N15" s="242">
        <v>0</v>
      </c>
      <c r="O15" s="241">
        <v>2388690</v>
      </c>
      <c r="P15" s="240">
        <v>3.7703741371654525E-5</v>
      </c>
      <c r="Q15" s="239">
        <v>20357</v>
      </c>
      <c r="R15" s="238">
        <v>16584</v>
      </c>
      <c r="S15" s="237">
        <v>0</v>
      </c>
      <c r="T15" s="236">
        <v>16584</v>
      </c>
      <c r="U15" s="235">
        <v>20357</v>
      </c>
      <c r="V15" s="234">
        <v>36941</v>
      </c>
    </row>
    <row r="16" spans="1:22" s="4" customFormat="1" ht="15" x14ac:dyDescent="0.2">
      <c r="A16" s="250" t="s">
        <v>32</v>
      </c>
      <c r="B16" s="250" t="s">
        <v>33</v>
      </c>
      <c r="C16" s="250" t="s">
        <v>281</v>
      </c>
      <c r="D16" s="250" t="s">
        <v>282</v>
      </c>
      <c r="E16" s="249" t="s">
        <v>781</v>
      </c>
      <c r="F16" s="216" t="s">
        <v>283</v>
      </c>
      <c r="G16" s="248" t="s">
        <v>284</v>
      </c>
      <c r="H16" s="247" t="s">
        <v>769</v>
      </c>
      <c r="I16" s="246">
        <v>190</v>
      </c>
      <c r="J16" s="245">
        <v>87402</v>
      </c>
      <c r="K16" s="244">
        <v>281667</v>
      </c>
      <c r="L16" s="241">
        <v>1534152</v>
      </c>
      <c r="M16" s="243">
        <v>1.5705697079209687E-4</v>
      </c>
      <c r="N16" s="242">
        <v>448433</v>
      </c>
      <c r="O16" s="241">
        <v>15826608</v>
      </c>
      <c r="P16" s="240">
        <v>2.498115430727966E-4</v>
      </c>
      <c r="Q16" s="239">
        <v>134880</v>
      </c>
      <c r="R16" s="238">
        <v>109878</v>
      </c>
      <c r="S16" s="237">
        <v>87402</v>
      </c>
      <c r="T16" s="236">
        <v>839978</v>
      </c>
      <c r="U16" s="235">
        <v>134880</v>
      </c>
      <c r="V16" s="234">
        <v>1062260</v>
      </c>
    </row>
    <row r="17" spans="1:22" s="4" customFormat="1" ht="15" x14ac:dyDescent="0.2">
      <c r="A17" s="250" t="s">
        <v>32</v>
      </c>
      <c r="B17" s="250" t="s">
        <v>36</v>
      </c>
      <c r="C17" s="250" t="s">
        <v>26</v>
      </c>
      <c r="D17" s="250" t="s">
        <v>27</v>
      </c>
      <c r="E17" s="249" t="s">
        <v>27</v>
      </c>
      <c r="F17" s="216" t="s">
        <v>36</v>
      </c>
      <c r="G17" s="248" t="s">
        <v>37</v>
      </c>
      <c r="H17" s="247" t="s">
        <v>769</v>
      </c>
      <c r="I17" s="246">
        <v>220</v>
      </c>
      <c r="J17" s="245">
        <v>101202</v>
      </c>
      <c r="K17" s="244">
        <v>326140</v>
      </c>
      <c r="L17" s="241">
        <v>834444</v>
      </c>
      <c r="M17" s="243">
        <v>8.5425203588458296E-5</v>
      </c>
      <c r="N17" s="242">
        <v>243908</v>
      </c>
      <c r="O17" s="241">
        <v>14144407</v>
      </c>
      <c r="P17" s="240">
        <v>2.2325921881174193E-4</v>
      </c>
      <c r="Q17" s="239">
        <v>120543</v>
      </c>
      <c r="R17" s="238">
        <v>98199</v>
      </c>
      <c r="S17" s="237">
        <v>101202</v>
      </c>
      <c r="T17" s="236">
        <v>668247</v>
      </c>
      <c r="U17" s="235">
        <v>120543</v>
      </c>
      <c r="V17" s="234">
        <v>889992</v>
      </c>
    </row>
    <row r="18" spans="1:22" s="4" customFormat="1" ht="15" x14ac:dyDescent="0.2">
      <c r="A18" s="250" t="s">
        <v>32</v>
      </c>
      <c r="B18" s="250" t="s">
        <v>39</v>
      </c>
      <c r="C18" s="250" t="s">
        <v>26</v>
      </c>
      <c r="D18" s="250" t="s">
        <v>27</v>
      </c>
      <c r="E18" s="249" t="s">
        <v>27</v>
      </c>
      <c r="F18" s="216" t="s">
        <v>39</v>
      </c>
      <c r="G18" s="248" t="s">
        <v>40</v>
      </c>
      <c r="H18" s="247" t="s">
        <v>769</v>
      </c>
      <c r="I18" s="246">
        <v>58</v>
      </c>
      <c r="J18" s="245">
        <v>26681</v>
      </c>
      <c r="K18" s="244">
        <v>85982</v>
      </c>
      <c r="L18" s="241">
        <v>1152014</v>
      </c>
      <c r="M18" s="243">
        <v>1.1793605141477942E-4</v>
      </c>
      <c r="N18" s="242">
        <v>336734</v>
      </c>
      <c r="O18" s="241">
        <v>4984228</v>
      </c>
      <c r="P18" s="240">
        <v>7.8672428590297985E-5</v>
      </c>
      <c r="Q18" s="239">
        <v>42477</v>
      </c>
      <c r="R18" s="238">
        <v>34604</v>
      </c>
      <c r="S18" s="237">
        <v>26681</v>
      </c>
      <c r="T18" s="236">
        <v>457320</v>
      </c>
      <c r="U18" s="235">
        <v>42477</v>
      </c>
      <c r="V18" s="234">
        <v>526478</v>
      </c>
    </row>
    <row r="19" spans="1:22" s="4" customFormat="1" ht="30" x14ac:dyDescent="0.2">
      <c r="A19" s="250" t="s">
        <v>32</v>
      </c>
      <c r="B19" s="250" t="s">
        <v>39</v>
      </c>
      <c r="C19" s="250" t="s">
        <v>595</v>
      </c>
      <c r="D19" s="250" t="s">
        <v>596</v>
      </c>
      <c r="E19" s="249" t="s">
        <v>781</v>
      </c>
      <c r="F19" s="216" t="s">
        <v>597</v>
      </c>
      <c r="G19" s="248" t="s">
        <v>598</v>
      </c>
      <c r="H19" s="247" t="s">
        <v>768</v>
      </c>
      <c r="I19" s="246">
        <v>0</v>
      </c>
      <c r="J19" s="245">
        <v>0</v>
      </c>
      <c r="K19" s="244">
        <v>0</v>
      </c>
      <c r="L19" s="241">
        <v>0</v>
      </c>
      <c r="M19" s="243">
        <v>0</v>
      </c>
      <c r="N19" s="242">
        <v>0</v>
      </c>
      <c r="O19" s="241">
        <v>31698370</v>
      </c>
      <c r="P19" s="240">
        <v>5.0033580932771213E-4</v>
      </c>
      <c r="Q19" s="239">
        <v>270144</v>
      </c>
      <c r="R19" s="238">
        <v>220070</v>
      </c>
      <c r="S19" s="237">
        <v>0</v>
      </c>
      <c r="T19" s="236">
        <v>220070</v>
      </c>
      <c r="U19" s="235">
        <v>270144</v>
      </c>
      <c r="V19" s="234">
        <v>490214</v>
      </c>
    </row>
    <row r="20" spans="1:22" s="4" customFormat="1" ht="15" x14ac:dyDescent="0.2">
      <c r="A20" s="250" t="s">
        <v>32</v>
      </c>
      <c r="B20" s="250" t="s">
        <v>42</v>
      </c>
      <c r="C20" s="250" t="s">
        <v>26</v>
      </c>
      <c r="D20" s="250" t="s">
        <v>27</v>
      </c>
      <c r="E20" s="249" t="s">
        <v>27</v>
      </c>
      <c r="F20" s="216" t="s">
        <v>42</v>
      </c>
      <c r="G20" s="248" t="s">
        <v>43</v>
      </c>
      <c r="H20" s="247" t="s">
        <v>769</v>
      </c>
      <c r="I20" s="246">
        <v>2492</v>
      </c>
      <c r="J20" s="245">
        <v>1146348</v>
      </c>
      <c r="K20" s="244">
        <v>3694279</v>
      </c>
      <c r="L20" s="241">
        <v>28543150</v>
      </c>
      <c r="M20" s="243">
        <v>2.9220707438796412E-3</v>
      </c>
      <c r="N20" s="242">
        <v>8343175</v>
      </c>
      <c r="O20" s="241">
        <v>160845032</v>
      </c>
      <c r="P20" s="240">
        <v>2.5388223199508918E-3</v>
      </c>
      <c r="Q20" s="239">
        <v>1370776</v>
      </c>
      <c r="R20" s="238">
        <v>1116686</v>
      </c>
      <c r="S20" s="237">
        <v>1146348</v>
      </c>
      <c r="T20" s="236">
        <v>13154140</v>
      </c>
      <c r="U20" s="235">
        <v>1370776</v>
      </c>
      <c r="V20" s="234">
        <v>15671264</v>
      </c>
    </row>
    <row r="21" spans="1:22" s="4" customFormat="1" ht="15" x14ac:dyDescent="0.2">
      <c r="A21" s="250" t="s">
        <v>32</v>
      </c>
      <c r="B21" s="250" t="s">
        <v>42</v>
      </c>
      <c r="C21" s="250" t="s">
        <v>371</v>
      </c>
      <c r="D21" s="250" t="s">
        <v>372</v>
      </c>
      <c r="E21" s="249" t="s">
        <v>781</v>
      </c>
      <c r="F21" s="216" t="s">
        <v>373</v>
      </c>
      <c r="G21" s="248" t="s">
        <v>374</v>
      </c>
      <c r="H21" s="247" t="s">
        <v>769</v>
      </c>
      <c r="I21" s="246">
        <v>57</v>
      </c>
      <c r="J21" s="245">
        <v>26221</v>
      </c>
      <c r="K21" s="244">
        <v>84500</v>
      </c>
      <c r="L21" s="241">
        <v>1072071</v>
      </c>
      <c r="M21" s="243">
        <v>1.0975198268102123E-4</v>
      </c>
      <c r="N21" s="242">
        <v>313367</v>
      </c>
      <c r="O21" s="241">
        <v>5469226</v>
      </c>
      <c r="P21" s="240">
        <v>8.632777070575444E-5</v>
      </c>
      <c r="Q21" s="239">
        <v>46611</v>
      </c>
      <c r="R21" s="238">
        <v>37971</v>
      </c>
      <c r="S21" s="237">
        <v>26221</v>
      </c>
      <c r="T21" s="236">
        <v>435838</v>
      </c>
      <c r="U21" s="235">
        <v>46611</v>
      </c>
      <c r="V21" s="234">
        <v>508670</v>
      </c>
    </row>
    <row r="22" spans="1:22" s="4" customFormat="1" ht="15" x14ac:dyDescent="0.2">
      <c r="A22" s="250" t="s">
        <v>32</v>
      </c>
      <c r="B22" s="250" t="s">
        <v>42</v>
      </c>
      <c r="C22" s="250" t="s">
        <v>451</v>
      </c>
      <c r="D22" s="250" t="s">
        <v>452</v>
      </c>
      <c r="E22" s="249" t="s">
        <v>781</v>
      </c>
      <c r="F22" s="216" t="s">
        <v>453</v>
      </c>
      <c r="G22" s="248" t="s">
        <v>454</v>
      </c>
      <c r="H22" s="247" t="s">
        <v>769</v>
      </c>
      <c r="I22" s="246">
        <v>22</v>
      </c>
      <c r="J22" s="245">
        <v>10120</v>
      </c>
      <c r="K22" s="244">
        <v>32614</v>
      </c>
      <c r="L22" s="241">
        <v>480412</v>
      </c>
      <c r="M22" s="243">
        <v>4.9181602248129807E-5</v>
      </c>
      <c r="N22" s="242">
        <v>140425</v>
      </c>
      <c r="O22" s="241">
        <v>2447138</v>
      </c>
      <c r="P22" s="240">
        <v>3.8626300714093457E-5</v>
      </c>
      <c r="Q22" s="239">
        <v>20855</v>
      </c>
      <c r="R22" s="238">
        <v>16990</v>
      </c>
      <c r="S22" s="237">
        <v>10120</v>
      </c>
      <c r="T22" s="236">
        <v>190029</v>
      </c>
      <c r="U22" s="235">
        <v>20855</v>
      </c>
      <c r="V22" s="234">
        <v>221004</v>
      </c>
    </row>
    <row r="23" spans="1:22" s="4" customFormat="1" ht="15" x14ac:dyDescent="0.2">
      <c r="A23" s="250" t="s">
        <v>32</v>
      </c>
      <c r="B23" s="250" t="s">
        <v>42</v>
      </c>
      <c r="C23" s="250" t="s">
        <v>755</v>
      </c>
      <c r="D23" s="250" t="s">
        <v>756</v>
      </c>
      <c r="E23" s="249" t="s">
        <v>781</v>
      </c>
      <c r="F23" s="216" t="s">
        <v>757</v>
      </c>
      <c r="G23" s="248" t="s">
        <v>758</v>
      </c>
      <c r="H23" s="247" t="s">
        <v>769</v>
      </c>
      <c r="I23" s="246">
        <v>6</v>
      </c>
      <c r="J23" s="245">
        <v>2760</v>
      </c>
      <c r="K23" s="244">
        <v>8895</v>
      </c>
      <c r="L23" s="241">
        <v>252506</v>
      </c>
      <c r="M23" s="243">
        <v>2.5849998870274399E-5</v>
      </c>
      <c r="N23" s="242">
        <v>73808</v>
      </c>
      <c r="O23" s="241">
        <v>1191577</v>
      </c>
      <c r="P23" s="240">
        <v>1.8808179810863688E-5</v>
      </c>
      <c r="Q23" s="239">
        <v>10155</v>
      </c>
      <c r="R23" s="238">
        <v>8273</v>
      </c>
      <c r="S23" s="237">
        <v>2760</v>
      </c>
      <c r="T23" s="236">
        <v>90976</v>
      </c>
      <c r="U23" s="235">
        <v>10155</v>
      </c>
      <c r="V23" s="234">
        <v>103891</v>
      </c>
    </row>
    <row r="24" spans="1:22" s="4" customFormat="1" ht="15" x14ac:dyDescent="0.2">
      <c r="A24" s="250" t="s">
        <v>32</v>
      </c>
      <c r="B24" s="250" t="s">
        <v>45</v>
      </c>
      <c r="C24" s="250" t="s">
        <v>26</v>
      </c>
      <c r="D24" s="250" t="s">
        <v>27</v>
      </c>
      <c r="E24" s="249" t="s">
        <v>27</v>
      </c>
      <c r="F24" s="216" t="s">
        <v>45</v>
      </c>
      <c r="G24" s="248" t="s">
        <v>46</v>
      </c>
      <c r="H24" s="247" t="s">
        <v>769</v>
      </c>
      <c r="I24" s="246">
        <v>60</v>
      </c>
      <c r="J24" s="245">
        <v>27601</v>
      </c>
      <c r="K24" s="244">
        <v>88947</v>
      </c>
      <c r="L24" s="241">
        <v>192701</v>
      </c>
      <c r="M24" s="243">
        <v>1.9727533731082615E-5</v>
      </c>
      <c r="N24" s="242">
        <v>56327</v>
      </c>
      <c r="O24" s="241">
        <v>5758633</v>
      </c>
      <c r="P24" s="240">
        <v>9.0895850565069132E-5</v>
      </c>
      <c r="Q24" s="239">
        <v>49077</v>
      </c>
      <c r="R24" s="238">
        <v>39980</v>
      </c>
      <c r="S24" s="237">
        <v>27601</v>
      </c>
      <c r="T24" s="236">
        <v>185254</v>
      </c>
      <c r="U24" s="235">
        <v>49077</v>
      </c>
      <c r="V24" s="234">
        <v>261932</v>
      </c>
    </row>
    <row r="25" spans="1:22" s="4" customFormat="1" ht="15" x14ac:dyDescent="0.2">
      <c r="A25" s="250" t="s">
        <v>32</v>
      </c>
      <c r="B25" s="250" t="s">
        <v>48</v>
      </c>
      <c r="C25" s="250" t="s">
        <v>26</v>
      </c>
      <c r="D25" s="250" t="s">
        <v>27</v>
      </c>
      <c r="E25" s="249" t="s">
        <v>27</v>
      </c>
      <c r="F25" s="216" t="s">
        <v>48</v>
      </c>
      <c r="G25" s="248" t="s">
        <v>49</v>
      </c>
      <c r="H25" s="247" t="s">
        <v>769</v>
      </c>
      <c r="I25" s="246">
        <v>3816</v>
      </c>
      <c r="J25" s="245">
        <v>1755403</v>
      </c>
      <c r="K25" s="244">
        <v>5657051</v>
      </c>
      <c r="L25" s="241">
        <v>26226156</v>
      </c>
      <c r="M25" s="243">
        <v>2.6848712623527369E-3</v>
      </c>
      <c r="N25" s="242">
        <v>7665917</v>
      </c>
      <c r="O25" s="241">
        <v>212867931</v>
      </c>
      <c r="P25" s="240">
        <v>3.359966097209433E-3</v>
      </c>
      <c r="Q25" s="239">
        <v>1814133</v>
      </c>
      <c r="R25" s="238">
        <v>1477861</v>
      </c>
      <c r="S25" s="237">
        <v>1755403</v>
      </c>
      <c r="T25" s="236">
        <v>14800829</v>
      </c>
      <c r="U25" s="235">
        <v>1814133</v>
      </c>
      <c r="V25" s="234">
        <v>18370365</v>
      </c>
    </row>
    <row r="26" spans="1:22" s="4" customFormat="1" ht="30" x14ac:dyDescent="0.2">
      <c r="A26" s="250" t="s">
        <v>32</v>
      </c>
      <c r="B26" s="250" t="s">
        <v>48</v>
      </c>
      <c r="C26" s="250" t="s">
        <v>461</v>
      </c>
      <c r="D26" s="250" t="s">
        <v>462</v>
      </c>
      <c r="E26" s="249" t="s">
        <v>781</v>
      </c>
      <c r="F26" s="216" t="s">
        <v>463</v>
      </c>
      <c r="G26" s="248" t="s">
        <v>464</v>
      </c>
      <c r="H26" s="247" t="s">
        <v>769</v>
      </c>
      <c r="I26" s="246">
        <v>30</v>
      </c>
      <c r="J26" s="245">
        <v>13800</v>
      </c>
      <c r="K26" s="244">
        <v>44474</v>
      </c>
      <c r="L26" s="241">
        <v>295237</v>
      </c>
      <c r="M26" s="243">
        <v>3.0224533739646593E-5</v>
      </c>
      <c r="N26" s="242">
        <v>86298</v>
      </c>
      <c r="O26" s="241">
        <v>2231213</v>
      </c>
      <c r="P26" s="240">
        <v>3.5218080997146301E-5</v>
      </c>
      <c r="Q26" s="239">
        <v>19015</v>
      </c>
      <c r="R26" s="238">
        <v>15490</v>
      </c>
      <c r="S26" s="237">
        <v>13800</v>
      </c>
      <c r="T26" s="236">
        <v>146262</v>
      </c>
      <c r="U26" s="235">
        <v>19015</v>
      </c>
      <c r="V26" s="234">
        <v>179077</v>
      </c>
    </row>
    <row r="27" spans="1:22" s="4" customFormat="1" ht="15" x14ac:dyDescent="0.2">
      <c r="A27" s="250" t="s">
        <v>32</v>
      </c>
      <c r="B27" s="250" t="s">
        <v>48</v>
      </c>
      <c r="C27" s="250" t="s">
        <v>500</v>
      </c>
      <c r="D27" s="250" t="s">
        <v>501</v>
      </c>
      <c r="E27" s="249" t="s">
        <v>781</v>
      </c>
      <c r="F27" s="216" t="s">
        <v>502</v>
      </c>
      <c r="G27" s="248" t="s">
        <v>503</v>
      </c>
      <c r="H27" s="247" t="s">
        <v>769</v>
      </c>
      <c r="I27" s="246">
        <v>42</v>
      </c>
      <c r="J27" s="245">
        <v>19320</v>
      </c>
      <c r="K27" s="244">
        <v>62263</v>
      </c>
      <c r="L27" s="241">
        <v>343148</v>
      </c>
      <c r="M27" s="243">
        <v>3.5129364895633845E-5</v>
      </c>
      <c r="N27" s="242">
        <v>100302</v>
      </c>
      <c r="O27" s="241">
        <v>1987677</v>
      </c>
      <c r="P27" s="240">
        <v>3.137404164558237E-5</v>
      </c>
      <c r="Q27" s="239">
        <v>16940</v>
      </c>
      <c r="R27" s="238">
        <v>13800</v>
      </c>
      <c r="S27" s="237">
        <v>19320</v>
      </c>
      <c r="T27" s="236">
        <v>176365</v>
      </c>
      <c r="U27" s="235">
        <v>16940</v>
      </c>
      <c r="V27" s="234">
        <v>212625</v>
      </c>
    </row>
    <row r="28" spans="1:22" s="4" customFormat="1" ht="30" x14ac:dyDescent="0.2">
      <c r="A28" s="250" t="s">
        <v>32</v>
      </c>
      <c r="B28" s="250" t="s">
        <v>48</v>
      </c>
      <c r="C28" s="250" t="s">
        <v>701</v>
      </c>
      <c r="D28" s="250" t="s">
        <v>702</v>
      </c>
      <c r="E28" s="249" t="s">
        <v>781</v>
      </c>
      <c r="F28" s="216" t="s">
        <v>703</v>
      </c>
      <c r="G28" s="248" t="s">
        <v>704</v>
      </c>
      <c r="H28" s="247" t="s">
        <v>768</v>
      </c>
      <c r="I28" s="246">
        <v>0</v>
      </c>
      <c r="J28" s="245">
        <v>0</v>
      </c>
      <c r="K28" s="244">
        <v>0</v>
      </c>
      <c r="L28" s="241">
        <v>0</v>
      </c>
      <c r="M28" s="243">
        <v>0</v>
      </c>
      <c r="N28" s="242">
        <v>0</v>
      </c>
      <c r="O28" s="241">
        <v>3861381</v>
      </c>
      <c r="P28" s="240">
        <v>6.0949102043974191E-5</v>
      </c>
      <c r="Q28" s="239">
        <v>32908</v>
      </c>
      <c r="R28" s="238">
        <v>26808</v>
      </c>
      <c r="S28" s="237">
        <v>0</v>
      </c>
      <c r="T28" s="236">
        <v>26808</v>
      </c>
      <c r="U28" s="235">
        <v>32908</v>
      </c>
      <c r="V28" s="234">
        <v>59716</v>
      </c>
    </row>
    <row r="29" spans="1:22" s="4" customFormat="1" ht="15" x14ac:dyDescent="0.2">
      <c r="A29" s="250" t="s">
        <v>32</v>
      </c>
      <c r="B29" s="250" t="s">
        <v>48</v>
      </c>
      <c r="C29" s="250" t="s">
        <v>216</v>
      </c>
      <c r="D29" s="250" t="s">
        <v>217</v>
      </c>
      <c r="E29" s="249" t="s">
        <v>781</v>
      </c>
      <c r="F29" s="216" t="s">
        <v>218</v>
      </c>
      <c r="G29" s="248" t="s">
        <v>219</v>
      </c>
      <c r="H29" s="247" t="s">
        <v>769</v>
      </c>
      <c r="I29" s="246">
        <v>75</v>
      </c>
      <c r="J29" s="245">
        <v>34501</v>
      </c>
      <c r="K29" s="244">
        <v>111184</v>
      </c>
      <c r="L29" s="241">
        <v>1929874</v>
      </c>
      <c r="M29" s="243">
        <v>1.9756853587547202E-4</v>
      </c>
      <c r="N29" s="242">
        <v>564103</v>
      </c>
      <c r="O29" s="241">
        <v>11293654</v>
      </c>
      <c r="P29" s="240">
        <v>1.782621476863685E-4</v>
      </c>
      <c r="Q29" s="239">
        <v>96248</v>
      </c>
      <c r="R29" s="238">
        <v>78408</v>
      </c>
      <c r="S29" s="237">
        <v>34501</v>
      </c>
      <c r="T29" s="236">
        <v>753695</v>
      </c>
      <c r="U29" s="235">
        <v>96248</v>
      </c>
      <c r="V29" s="234">
        <v>884444</v>
      </c>
    </row>
    <row r="30" spans="1:22" s="4" customFormat="1" ht="15" x14ac:dyDescent="0.2">
      <c r="A30" s="250" t="s">
        <v>32</v>
      </c>
      <c r="B30" s="250" t="s">
        <v>48</v>
      </c>
      <c r="C30" s="250" t="s">
        <v>191</v>
      </c>
      <c r="D30" s="250" t="s">
        <v>192</v>
      </c>
      <c r="E30" s="249" t="s">
        <v>781</v>
      </c>
      <c r="F30" s="216" t="s">
        <v>193</v>
      </c>
      <c r="G30" s="248" t="s">
        <v>194</v>
      </c>
      <c r="H30" s="247" t="s">
        <v>769</v>
      </c>
      <c r="I30" s="246">
        <v>162</v>
      </c>
      <c r="J30" s="245">
        <v>74522</v>
      </c>
      <c r="K30" s="244">
        <v>240158</v>
      </c>
      <c r="L30" s="241">
        <v>2505337</v>
      </c>
      <c r="M30" s="243">
        <v>2.5648087023538707E-4</v>
      </c>
      <c r="N30" s="242">
        <v>732311</v>
      </c>
      <c r="O30" s="241">
        <v>16027225</v>
      </c>
      <c r="P30" s="240">
        <v>2.5297813709829057E-4</v>
      </c>
      <c r="Q30" s="239">
        <v>136589</v>
      </c>
      <c r="R30" s="238">
        <v>111271</v>
      </c>
      <c r="S30" s="237">
        <v>74522</v>
      </c>
      <c r="T30" s="236">
        <v>1083740</v>
      </c>
      <c r="U30" s="235">
        <v>136589</v>
      </c>
      <c r="V30" s="234">
        <v>1294851</v>
      </c>
    </row>
    <row r="31" spans="1:22" s="4" customFormat="1" ht="15" x14ac:dyDescent="0.2">
      <c r="A31" s="250" t="s">
        <v>32</v>
      </c>
      <c r="B31" s="250" t="s">
        <v>48</v>
      </c>
      <c r="C31" s="250" t="s">
        <v>186</v>
      </c>
      <c r="D31" s="250" t="s">
        <v>187</v>
      </c>
      <c r="E31" s="249" t="s">
        <v>781</v>
      </c>
      <c r="F31" s="216" t="s">
        <v>188</v>
      </c>
      <c r="G31" s="248" t="s">
        <v>189</v>
      </c>
      <c r="H31" s="247" t="s">
        <v>769</v>
      </c>
      <c r="I31" s="246">
        <v>89</v>
      </c>
      <c r="J31" s="245">
        <v>40941</v>
      </c>
      <c r="K31" s="244">
        <v>131939</v>
      </c>
      <c r="L31" s="241">
        <v>604185</v>
      </c>
      <c r="M31" s="243">
        <v>6.1852714658015007E-5</v>
      </c>
      <c r="N31" s="242">
        <v>176604</v>
      </c>
      <c r="O31" s="241">
        <v>7697226</v>
      </c>
      <c r="P31" s="240">
        <v>1.2149513682527865E-4</v>
      </c>
      <c r="Q31" s="239">
        <v>65598</v>
      </c>
      <c r="R31" s="238">
        <v>53439</v>
      </c>
      <c r="S31" s="237">
        <v>40941</v>
      </c>
      <c r="T31" s="236">
        <v>361982</v>
      </c>
      <c r="U31" s="235">
        <v>65598</v>
      </c>
      <c r="V31" s="234">
        <v>468521</v>
      </c>
    </row>
    <row r="32" spans="1:22" s="4" customFormat="1" ht="30" x14ac:dyDescent="0.2">
      <c r="A32" s="250" t="s">
        <v>32</v>
      </c>
      <c r="B32" s="250" t="s">
        <v>48</v>
      </c>
      <c r="C32" s="250" t="s">
        <v>221</v>
      </c>
      <c r="D32" s="250" t="s">
        <v>222</v>
      </c>
      <c r="E32" s="249" t="s">
        <v>781</v>
      </c>
      <c r="F32" s="216" t="s">
        <v>223</v>
      </c>
      <c r="G32" s="248" t="s">
        <v>224</v>
      </c>
      <c r="H32" s="247" t="s">
        <v>769</v>
      </c>
      <c r="I32" s="246">
        <v>77</v>
      </c>
      <c r="J32" s="245">
        <v>35421</v>
      </c>
      <c r="K32" s="244">
        <v>114149</v>
      </c>
      <c r="L32" s="241">
        <v>2079950</v>
      </c>
      <c r="M32" s="243">
        <v>2.1293238636003594E-4</v>
      </c>
      <c r="N32" s="242">
        <v>607970</v>
      </c>
      <c r="O32" s="241">
        <v>14412152</v>
      </c>
      <c r="P32" s="240">
        <v>2.2748537969220512E-4</v>
      </c>
      <c r="Q32" s="239">
        <v>122825</v>
      </c>
      <c r="R32" s="238">
        <v>100058</v>
      </c>
      <c r="S32" s="237">
        <v>35421</v>
      </c>
      <c r="T32" s="236">
        <v>822177</v>
      </c>
      <c r="U32" s="235">
        <v>122825</v>
      </c>
      <c r="V32" s="234">
        <v>980423</v>
      </c>
    </row>
    <row r="33" spans="1:22" s="4" customFormat="1" ht="15" x14ac:dyDescent="0.2">
      <c r="A33" s="250" t="s">
        <v>32</v>
      </c>
      <c r="B33" s="250" t="s">
        <v>48</v>
      </c>
      <c r="C33" s="250" t="s">
        <v>301</v>
      </c>
      <c r="D33" s="250" t="s">
        <v>302</v>
      </c>
      <c r="E33" s="249" t="s">
        <v>781</v>
      </c>
      <c r="F33" s="216" t="s">
        <v>303</v>
      </c>
      <c r="G33" s="248" t="s">
        <v>304</v>
      </c>
      <c r="H33" s="247" t="s">
        <v>769</v>
      </c>
      <c r="I33" s="246">
        <v>69</v>
      </c>
      <c r="J33" s="245">
        <v>31741</v>
      </c>
      <c r="K33" s="244">
        <v>102289</v>
      </c>
      <c r="L33" s="241">
        <v>420559</v>
      </c>
      <c r="M33" s="243">
        <v>4.305422316651379E-5</v>
      </c>
      <c r="N33" s="242">
        <v>122930</v>
      </c>
      <c r="O33" s="241">
        <v>7861449</v>
      </c>
      <c r="P33" s="240">
        <v>1.2408727792323496E-4</v>
      </c>
      <c r="Q33" s="239">
        <v>66998</v>
      </c>
      <c r="R33" s="238">
        <v>54579</v>
      </c>
      <c r="S33" s="237">
        <v>31741</v>
      </c>
      <c r="T33" s="236">
        <v>279798</v>
      </c>
      <c r="U33" s="235">
        <v>66998</v>
      </c>
      <c r="V33" s="234">
        <v>378537</v>
      </c>
    </row>
    <row r="34" spans="1:22" s="4" customFormat="1" ht="15" x14ac:dyDescent="0.2">
      <c r="A34" s="250" t="s">
        <v>32</v>
      </c>
      <c r="B34" s="250" t="s">
        <v>51</v>
      </c>
      <c r="C34" s="250" t="s">
        <v>26</v>
      </c>
      <c r="D34" s="250" t="s">
        <v>27</v>
      </c>
      <c r="E34" s="249" t="s">
        <v>27</v>
      </c>
      <c r="F34" s="216" t="s">
        <v>51</v>
      </c>
      <c r="G34" s="248" t="s">
        <v>52</v>
      </c>
      <c r="H34" s="247" t="s">
        <v>769</v>
      </c>
      <c r="I34" s="246">
        <v>360</v>
      </c>
      <c r="J34" s="245">
        <v>165604</v>
      </c>
      <c r="K34" s="244">
        <v>533684</v>
      </c>
      <c r="L34" s="241">
        <v>658305</v>
      </c>
      <c r="M34" s="243">
        <v>6.7393184741336795E-5</v>
      </c>
      <c r="N34" s="242">
        <v>192423</v>
      </c>
      <c r="O34" s="241">
        <v>26564715</v>
      </c>
      <c r="P34" s="240">
        <v>4.1930478378178476E-4</v>
      </c>
      <c r="Q34" s="239">
        <v>226394</v>
      </c>
      <c r="R34" s="238">
        <v>184429</v>
      </c>
      <c r="S34" s="237">
        <v>165604</v>
      </c>
      <c r="T34" s="236">
        <v>910536</v>
      </c>
      <c r="U34" s="235">
        <v>226394</v>
      </c>
      <c r="V34" s="234">
        <v>1302534</v>
      </c>
    </row>
    <row r="35" spans="1:22" s="4" customFormat="1" ht="15" x14ac:dyDescent="0.2">
      <c r="A35" s="250" t="s">
        <v>32</v>
      </c>
      <c r="B35" s="250" t="s">
        <v>54</v>
      </c>
      <c r="C35" s="250" t="s">
        <v>26</v>
      </c>
      <c r="D35" s="250" t="s">
        <v>27</v>
      </c>
      <c r="E35" s="249" t="s">
        <v>27</v>
      </c>
      <c r="F35" s="216" t="s">
        <v>54</v>
      </c>
      <c r="G35" s="248" t="s">
        <v>55</v>
      </c>
      <c r="H35" s="247" t="s">
        <v>769</v>
      </c>
      <c r="I35" s="246">
        <v>30</v>
      </c>
      <c r="J35" s="245">
        <v>13800</v>
      </c>
      <c r="K35" s="244">
        <v>44474</v>
      </c>
      <c r="L35" s="241">
        <v>119287</v>
      </c>
      <c r="M35" s="243">
        <v>1.2211863540820504E-5</v>
      </c>
      <c r="N35" s="242">
        <v>34868</v>
      </c>
      <c r="O35" s="241">
        <v>1280543</v>
      </c>
      <c r="P35" s="240">
        <v>2.0212443677196537E-5</v>
      </c>
      <c r="Q35" s="239">
        <v>10913</v>
      </c>
      <c r="R35" s="238">
        <v>8890</v>
      </c>
      <c r="S35" s="237">
        <v>13800</v>
      </c>
      <c r="T35" s="236">
        <v>88232</v>
      </c>
      <c r="U35" s="235">
        <v>10913</v>
      </c>
      <c r="V35" s="234">
        <v>112945</v>
      </c>
    </row>
    <row r="36" spans="1:22" s="4" customFormat="1" ht="15" x14ac:dyDescent="0.2">
      <c r="A36" s="250" t="s">
        <v>32</v>
      </c>
      <c r="B36" s="250" t="s">
        <v>54</v>
      </c>
      <c r="C36" s="250" t="s">
        <v>535</v>
      </c>
      <c r="D36" s="250" t="s">
        <v>536</v>
      </c>
      <c r="E36" s="249" t="s">
        <v>781</v>
      </c>
      <c r="F36" s="216" t="s">
        <v>537</v>
      </c>
      <c r="G36" s="248" t="s">
        <v>538</v>
      </c>
      <c r="H36" s="247" t="s">
        <v>768</v>
      </c>
      <c r="I36" s="246">
        <v>0</v>
      </c>
      <c r="J36" s="245">
        <v>0</v>
      </c>
      <c r="K36" s="244">
        <v>0</v>
      </c>
      <c r="L36" s="241">
        <v>0</v>
      </c>
      <c r="M36" s="243">
        <v>0</v>
      </c>
      <c r="N36" s="242">
        <v>0</v>
      </c>
      <c r="O36" s="241">
        <v>2146979</v>
      </c>
      <c r="P36" s="240">
        <v>3.3888508323128346E-5</v>
      </c>
      <c r="Q36" s="239">
        <v>18297</v>
      </c>
      <c r="R36" s="238">
        <v>14906</v>
      </c>
      <c r="S36" s="237">
        <v>0</v>
      </c>
      <c r="T36" s="236">
        <v>14906</v>
      </c>
      <c r="U36" s="235">
        <v>18297</v>
      </c>
      <c r="V36" s="234">
        <v>33203</v>
      </c>
    </row>
    <row r="37" spans="1:22" s="4" customFormat="1" ht="15" x14ac:dyDescent="0.2">
      <c r="A37" s="250" t="s">
        <v>32</v>
      </c>
      <c r="B37" s="250" t="s">
        <v>54</v>
      </c>
      <c r="C37" s="250" t="s">
        <v>550</v>
      </c>
      <c r="D37" s="250" t="s">
        <v>551</v>
      </c>
      <c r="E37" s="249" t="s">
        <v>781</v>
      </c>
      <c r="F37" s="216" t="s">
        <v>552</v>
      </c>
      <c r="G37" s="248" t="s">
        <v>553</v>
      </c>
      <c r="H37" s="247" t="s">
        <v>768</v>
      </c>
      <c r="I37" s="246">
        <v>0</v>
      </c>
      <c r="J37" s="245">
        <v>0</v>
      </c>
      <c r="K37" s="244">
        <v>0</v>
      </c>
      <c r="L37" s="241">
        <v>0</v>
      </c>
      <c r="M37" s="243">
        <v>0</v>
      </c>
      <c r="N37" s="242">
        <v>0</v>
      </c>
      <c r="O37" s="241">
        <v>6489112</v>
      </c>
      <c r="P37" s="240">
        <v>1.0242593244820376E-4</v>
      </c>
      <c r="Q37" s="239">
        <v>55302</v>
      </c>
      <c r="R37" s="238">
        <v>45051</v>
      </c>
      <c r="S37" s="237">
        <v>0</v>
      </c>
      <c r="T37" s="236">
        <v>45051</v>
      </c>
      <c r="U37" s="235">
        <v>55302</v>
      </c>
      <c r="V37" s="234">
        <v>100353</v>
      </c>
    </row>
    <row r="38" spans="1:22" s="4" customFormat="1" ht="15" x14ac:dyDescent="0.2">
      <c r="A38" s="250" t="s">
        <v>32</v>
      </c>
      <c r="B38" s="250" t="s">
        <v>54</v>
      </c>
      <c r="C38" s="250" t="s">
        <v>580</v>
      </c>
      <c r="D38" s="250" t="s">
        <v>581</v>
      </c>
      <c r="E38" s="249" t="s">
        <v>781</v>
      </c>
      <c r="F38" s="216" t="s">
        <v>582</v>
      </c>
      <c r="G38" s="248" t="s">
        <v>822</v>
      </c>
      <c r="H38" s="247" t="s">
        <v>768</v>
      </c>
      <c r="I38" s="246">
        <v>0</v>
      </c>
      <c r="J38" s="245">
        <v>0</v>
      </c>
      <c r="K38" s="244">
        <v>0</v>
      </c>
      <c r="L38" s="241">
        <v>0</v>
      </c>
      <c r="M38" s="243">
        <v>0</v>
      </c>
      <c r="N38" s="242">
        <v>0</v>
      </c>
      <c r="O38" s="241">
        <v>40865395</v>
      </c>
      <c r="P38" s="240">
        <v>6.4503065870016787E-4</v>
      </c>
      <c r="Q38" s="239">
        <v>348269</v>
      </c>
      <c r="R38" s="238">
        <v>283713</v>
      </c>
      <c r="S38" s="237">
        <v>0</v>
      </c>
      <c r="T38" s="236">
        <v>283713</v>
      </c>
      <c r="U38" s="235">
        <v>348269</v>
      </c>
      <c r="V38" s="234">
        <v>631982</v>
      </c>
    </row>
    <row r="39" spans="1:22" s="4" customFormat="1" ht="15" x14ac:dyDescent="0.2">
      <c r="A39" s="250" t="s">
        <v>32</v>
      </c>
      <c r="B39" s="250" t="s">
        <v>54</v>
      </c>
      <c r="C39" s="250" t="s">
        <v>617</v>
      </c>
      <c r="D39" s="250" t="s">
        <v>618</v>
      </c>
      <c r="E39" s="249" t="s">
        <v>781</v>
      </c>
      <c r="F39" s="216" t="s">
        <v>619</v>
      </c>
      <c r="G39" s="248" t="s">
        <v>620</v>
      </c>
      <c r="H39" s="247" t="s">
        <v>768</v>
      </c>
      <c r="I39" s="246">
        <v>0</v>
      </c>
      <c r="J39" s="245">
        <v>0</v>
      </c>
      <c r="K39" s="244">
        <v>0</v>
      </c>
      <c r="L39" s="241">
        <v>0</v>
      </c>
      <c r="M39" s="243">
        <v>0</v>
      </c>
      <c r="N39" s="242">
        <v>0</v>
      </c>
      <c r="O39" s="241">
        <v>37163626</v>
      </c>
      <c r="P39" s="240">
        <v>5.8660091645918713E-4</v>
      </c>
      <c r="Q39" s="239">
        <v>316721</v>
      </c>
      <c r="R39" s="238">
        <v>258013</v>
      </c>
      <c r="S39" s="237">
        <v>0</v>
      </c>
      <c r="T39" s="236">
        <v>258013</v>
      </c>
      <c r="U39" s="235">
        <v>316721</v>
      </c>
      <c r="V39" s="234">
        <v>574734</v>
      </c>
    </row>
    <row r="40" spans="1:22" s="4" customFormat="1" ht="15" x14ac:dyDescent="0.2">
      <c r="A40" s="250" t="s">
        <v>32</v>
      </c>
      <c r="B40" s="250" t="s">
        <v>54</v>
      </c>
      <c r="C40" s="250" t="s">
        <v>633</v>
      </c>
      <c r="D40" s="250" t="s">
        <v>634</v>
      </c>
      <c r="E40" s="249" t="s">
        <v>781</v>
      </c>
      <c r="F40" s="216" t="s">
        <v>635</v>
      </c>
      <c r="G40" s="248" t="s">
        <v>636</v>
      </c>
      <c r="H40" s="247" t="s">
        <v>768</v>
      </c>
      <c r="I40" s="246">
        <v>0</v>
      </c>
      <c r="J40" s="245">
        <v>0</v>
      </c>
      <c r="K40" s="244">
        <v>0</v>
      </c>
      <c r="L40" s="241">
        <v>0</v>
      </c>
      <c r="M40" s="243">
        <v>0</v>
      </c>
      <c r="N40" s="242">
        <v>0</v>
      </c>
      <c r="O40" s="241">
        <v>8264806</v>
      </c>
      <c r="P40" s="240">
        <v>1.3045397599140054E-4</v>
      </c>
      <c r="Q40" s="239">
        <v>70435</v>
      </c>
      <c r="R40" s="238">
        <v>57379</v>
      </c>
      <c r="S40" s="237">
        <v>0</v>
      </c>
      <c r="T40" s="236">
        <v>57379</v>
      </c>
      <c r="U40" s="235">
        <v>70435</v>
      </c>
      <c r="V40" s="234">
        <v>127814</v>
      </c>
    </row>
    <row r="41" spans="1:22" s="4" customFormat="1" ht="15" x14ac:dyDescent="0.2">
      <c r="A41" s="250" t="s">
        <v>32</v>
      </c>
      <c r="B41" s="250" t="s">
        <v>57</v>
      </c>
      <c r="C41" s="250" t="s">
        <v>26</v>
      </c>
      <c r="D41" s="250" t="s">
        <v>27</v>
      </c>
      <c r="E41" s="249" t="s">
        <v>27</v>
      </c>
      <c r="F41" s="216" t="s">
        <v>57</v>
      </c>
      <c r="G41" s="248" t="s">
        <v>58</v>
      </c>
      <c r="H41" s="247" t="s">
        <v>769</v>
      </c>
      <c r="I41" s="246">
        <v>613</v>
      </c>
      <c r="J41" s="245">
        <v>281987</v>
      </c>
      <c r="K41" s="244">
        <v>908745</v>
      </c>
      <c r="L41" s="241">
        <v>1161688</v>
      </c>
      <c r="M41" s="243">
        <v>1.1892641556086321E-4</v>
      </c>
      <c r="N41" s="242">
        <v>339562</v>
      </c>
      <c r="O41" s="241">
        <v>35111542</v>
      </c>
      <c r="P41" s="240">
        <v>5.5421025697264419E-4</v>
      </c>
      <c r="Q41" s="239">
        <v>299233</v>
      </c>
      <c r="R41" s="238">
        <v>243766</v>
      </c>
      <c r="S41" s="237">
        <v>281987</v>
      </c>
      <c r="T41" s="236">
        <v>1492073</v>
      </c>
      <c r="U41" s="235">
        <v>299233</v>
      </c>
      <c r="V41" s="234">
        <v>2073293</v>
      </c>
    </row>
    <row r="42" spans="1:22" s="4" customFormat="1" ht="15" x14ac:dyDescent="0.2">
      <c r="A42" s="250" t="s">
        <v>32</v>
      </c>
      <c r="B42" s="250" t="s">
        <v>60</v>
      </c>
      <c r="C42" s="250" t="s">
        <v>26</v>
      </c>
      <c r="D42" s="250" t="s">
        <v>27</v>
      </c>
      <c r="E42" s="249" t="s">
        <v>27</v>
      </c>
      <c r="F42" s="216" t="s">
        <v>60</v>
      </c>
      <c r="G42" s="248" t="s">
        <v>61</v>
      </c>
      <c r="H42" s="247" t="s">
        <v>769</v>
      </c>
      <c r="I42" s="246">
        <v>767</v>
      </c>
      <c r="J42" s="245">
        <v>352829</v>
      </c>
      <c r="K42" s="244">
        <v>1137043</v>
      </c>
      <c r="L42" s="241">
        <v>1493561</v>
      </c>
      <c r="M42" s="243">
        <v>1.5290151585580503E-4</v>
      </c>
      <c r="N42" s="242">
        <v>436569</v>
      </c>
      <c r="O42" s="241">
        <v>43808969</v>
      </c>
      <c r="P42" s="240">
        <v>6.9149284207445524E-4</v>
      </c>
      <c r="Q42" s="239">
        <v>373355</v>
      </c>
      <c r="R42" s="238">
        <v>304149</v>
      </c>
      <c r="S42" s="237">
        <v>352829</v>
      </c>
      <c r="T42" s="236">
        <v>1877761</v>
      </c>
      <c r="U42" s="235">
        <v>373355</v>
      </c>
      <c r="V42" s="234">
        <v>2603945</v>
      </c>
    </row>
    <row r="43" spans="1:22" s="4" customFormat="1" ht="15" x14ac:dyDescent="0.2">
      <c r="A43" s="250" t="s">
        <v>32</v>
      </c>
      <c r="B43" s="250" t="s">
        <v>63</v>
      </c>
      <c r="C43" s="250" t="s">
        <v>26</v>
      </c>
      <c r="D43" s="250" t="s">
        <v>27</v>
      </c>
      <c r="E43" s="249" t="s">
        <v>27</v>
      </c>
      <c r="F43" s="216" t="s">
        <v>63</v>
      </c>
      <c r="G43" s="248" t="s">
        <v>64</v>
      </c>
      <c r="H43" s="247" t="s">
        <v>769</v>
      </c>
      <c r="I43" s="246">
        <v>2409</v>
      </c>
      <c r="J43" s="245">
        <v>1108167</v>
      </c>
      <c r="K43" s="244">
        <v>3571236</v>
      </c>
      <c r="L43" s="241">
        <v>31841248</v>
      </c>
      <c r="M43" s="243">
        <v>3.2597095705770435E-3</v>
      </c>
      <c r="N43" s="242">
        <v>9307211</v>
      </c>
      <c r="O43" s="241">
        <v>150485633</v>
      </c>
      <c r="P43" s="240">
        <v>2.3753067106998893E-3</v>
      </c>
      <c r="Q43" s="239">
        <v>1282490</v>
      </c>
      <c r="R43" s="238">
        <v>1044764</v>
      </c>
      <c r="S43" s="237">
        <v>1108167</v>
      </c>
      <c r="T43" s="236">
        <v>13923211</v>
      </c>
      <c r="U43" s="235">
        <v>1282490</v>
      </c>
      <c r="V43" s="234">
        <v>16313868</v>
      </c>
    </row>
    <row r="44" spans="1:22" s="4" customFormat="1" ht="15" x14ac:dyDescent="0.2">
      <c r="A44" s="250" t="s">
        <v>32</v>
      </c>
      <c r="B44" s="250" t="s">
        <v>63</v>
      </c>
      <c r="C44" s="250" t="s">
        <v>336</v>
      </c>
      <c r="D44" s="250" t="s">
        <v>337</v>
      </c>
      <c r="E44" s="249" t="s">
        <v>781</v>
      </c>
      <c r="F44" s="216" t="s">
        <v>338</v>
      </c>
      <c r="G44" s="248" t="s">
        <v>339</v>
      </c>
      <c r="H44" s="247" t="s">
        <v>768</v>
      </c>
      <c r="I44" s="246">
        <v>0</v>
      </c>
      <c r="J44" s="245">
        <v>0</v>
      </c>
      <c r="K44" s="244">
        <v>0</v>
      </c>
      <c r="L44" s="241">
        <v>0</v>
      </c>
      <c r="M44" s="243">
        <v>0</v>
      </c>
      <c r="N44" s="242">
        <v>0</v>
      </c>
      <c r="O44" s="241">
        <v>10200969</v>
      </c>
      <c r="P44" s="240">
        <v>1.6101490646181182E-4</v>
      </c>
      <c r="Q44" s="239">
        <v>86936</v>
      </c>
      <c r="R44" s="238">
        <v>70821</v>
      </c>
      <c r="S44" s="237">
        <v>0</v>
      </c>
      <c r="T44" s="236">
        <v>70821</v>
      </c>
      <c r="U44" s="235">
        <v>86936</v>
      </c>
      <c r="V44" s="234">
        <v>157757</v>
      </c>
    </row>
    <row r="45" spans="1:22" s="4" customFormat="1" ht="15" x14ac:dyDescent="0.2">
      <c r="A45" s="250" t="s">
        <v>32</v>
      </c>
      <c r="B45" s="250" t="s">
        <v>63</v>
      </c>
      <c r="C45" s="250" t="s">
        <v>590</v>
      </c>
      <c r="D45" s="250" t="s">
        <v>591</v>
      </c>
      <c r="E45" s="249" t="s">
        <v>781</v>
      </c>
      <c r="F45" s="216" t="s">
        <v>592</v>
      </c>
      <c r="G45" s="248" t="s">
        <v>593</v>
      </c>
      <c r="H45" s="247" t="s">
        <v>769</v>
      </c>
      <c r="I45" s="246">
        <v>78</v>
      </c>
      <c r="J45" s="245">
        <v>35881</v>
      </c>
      <c r="K45" s="244">
        <v>115632</v>
      </c>
      <c r="L45" s="241">
        <v>1780179</v>
      </c>
      <c r="M45" s="243">
        <v>1.8224368980890041E-4</v>
      </c>
      <c r="N45" s="242">
        <v>520347</v>
      </c>
      <c r="O45" s="241">
        <v>7679498</v>
      </c>
      <c r="P45" s="240">
        <v>1.2121531318678362E-4</v>
      </c>
      <c r="Q45" s="239">
        <v>65447</v>
      </c>
      <c r="R45" s="238">
        <v>53316</v>
      </c>
      <c r="S45" s="237">
        <v>35881</v>
      </c>
      <c r="T45" s="236">
        <v>689295</v>
      </c>
      <c r="U45" s="235">
        <v>65447</v>
      </c>
      <c r="V45" s="234">
        <v>790623</v>
      </c>
    </row>
    <row r="46" spans="1:22" s="4" customFormat="1" ht="15" x14ac:dyDescent="0.2">
      <c r="A46" s="250" t="s">
        <v>32</v>
      </c>
      <c r="B46" s="250" t="s">
        <v>63</v>
      </c>
      <c r="C46" s="250" t="s">
        <v>236</v>
      </c>
      <c r="D46" s="250" t="s">
        <v>237</v>
      </c>
      <c r="E46" s="249" t="s">
        <v>781</v>
      </c>
      <c r="F46" s="216" t="s">
        <v>238</v>
      </c>
      <c r="G46" s="248" t="s">
        <v>239</v>
      </c>
      <c r="H46" s="247" t="s">
        <v>768</v>
      </c>
      <c r="I46" s="246">
        <v>0</v>
      </c>
      <c r="J46" s="245">
        <v>0</v>
      </c>
      <c r="K46" s="244">
        <v>0</v>
      </c>
      <c r="L46" s="241">
        <v>0</v>
      </c>
      <c r="M46" s="243">
        <v>0</v>
      </c>
      <c r="N46" s="242">
        <v>0</v>
      </c>
      <c r="O46" s="241">
        <v>11426993</v>
      </c>
      <c r="P46" s="240">
        <v>1.8036680721554769E-4</v>
      </c>
      <c r="Q46" s="239">
        <v>97385</v>
      </c>
      <c r="R46" s="238">
        <v>79333</v>
      </c>
      <c r="S46" s="237">
        <v>0</v>
      </c>
      <c r="T46" s="236">
        <v>79333</v>
      </c>
      <c r="U46" s="235">
        <v>97385</v>
      </c>
      <c r="V46" s="234">
        <v>176718</v>
      </c>
    </row>
    <row r="47" spans="1:22" s="4" customFormat="1" ht="15" x14ac:dyDescent="0.2">
      <c r="A47" s="250" t="s">
        <v>32</v>
      </c>
      <c r="B47" s="250" t="s">
        <v>66</v>
      </c>
      <c r="C47" s="250" t="s">
        <v>26</v>
      </c>
      <c r="D47" s="250" t="s">
        <v>27</v>
      </c>
      <c r="E47" s="249" t="s">
        <v>27</v>
      </c>
      <c r="F47" s="216" t="s">
        <v>66</v>
      </c>
      <c r="G47" s="248" t="s">
        <v>67</v>
      </c>
      <c r="H47" s="247" t="s">
        <v>769</v>
      </c>
      <c r="I47" s="246">
        <v>1066</v>
      </c>
      <c r="J47" s="245">
        <v>490372</v>
      </c>
      <c r="K47" s="244">
        <v>1580298</v>
      </c>
      <c r="L47" s="241">
        <v>14991430</v>
      </c>
      <c r="M47" s="243">
        <v>1.5347296641022301E-3</v>
      </c>
      <c r="N47" s="242">
        <v>4382002</v>
      </c>
      <c r="O47" s="241">
        <v>81813021</v>
      </c>
      <c r="P47" s="240">
        <v>1.2913592741702524E-3</v>
      </c>
      <c r="Q47" s="239">
        <v>697238</v>
      </c>
      <c r="R47" s="238">
        <v>567997</v>
      </c>
      <c r="S47" s="237">
        <v>490372</v>
      </c>
      <c r="T47" s="236">
        <v>6530297</v>
      </c>
      <c r="U47" s="235">
        <v>697238</v>
      </c>
      <c r="V47" s="234">
        <v>7717907</v>
      </c>
    </row>
    <row r="48" spans="1:22" s="4" customFormat="1" ht="15" x14ac:dyDescent="0.2">
      <c r="A48" s="250" t="s">
        <v>32</v>
      </c>
      <c r="B48" s="250" t="s">
        <v>66</v>
      </c>
      <c r="C48" s="250" t="s">
        <v>401</v>
      </c>
      <c r="D48" s="250" t="s">
        <v>402</v>
      </c>
      <c r="E48" s="249" t="s">
        <v>781</v>
      </c>
      <c r="F48" s="216" t="s">
        <v>403</v>
      </c>
      <c r="G48" s="248" t="s">
        <v>404</v>
      </c>
      <c r="H48" s="247" t="s">
        <v>768</v>
      </c>
      <c r="I48" s="246">
        <v>0</v>
      </c>
      <c r="J48" s="245">
        <v>0</v>
      </c>
      <c r="K48" s="244">
        <v>0</v>
      </c>
      <c r="L48" s="241">
        <v>0</v>
      </c>
      <c r="M48" s="243">
        <v>0</v>
      </c>
      <c r="N48" s="242">
        <v>0</v>
      </c>
      <c r="O48" s="241">
        <v>12356891</v>
      </c>
      <c r="P48" s="240">
        <v>1.9504457356196302E-4</v>
      </c>
      <c r="Q48" s="239">
        <v>105310</v>
      </c>
      <c r="R48" s="238">
        <v>85789</v>
      </c>
      <c r="S48" s="237">
        <v>0</v>
      </c>
      <c r="T48" s="236">
        <v>85789</v>
      </c>
      <c r="U48" s="235">
        <v>105310</v>
      </c>
      <c r="V48" s="234">
        <v>191099</v>
      </c>
    </row>
    <row r="49" spans="1:22" s="4" customFormat="1" ht="15" x14ac:dyDescent="0.2">
      <c r="A49" s="250" t="s">
        <v>32</v>
      </c>
      <c r="B49" s="250" t="s">
        <v>66</v>
      </c>
      <c r="C49" s="250" t="s">
        <v>648</v>
      </c>
      <c r="D49" s="250" t="s">
        <v>649</v>
      </c>
      <c r="E49" s="249" t="s">
        <v>781</v>
      </c>
      <c r="F49" s="216" t="s">
        <v>650</v>
      </c>
      <c r="G49" s="248" t="s">
        <v>651</v>
      </c>
      <c r="H49" s="247" t="s">
        <v>768</v>
      </c>
      <c r="I49" s="246">
        <v>0</v>
      </c>
      <c r="J49" s="245">
        <v>0</v>
      </c>
      <c r="K49" s="244">
        <v>0</v>
      </c>
      <c r="L49" s="241">
        <v>0</v>
      </c>
      <c r="M49" s="243">
        <v>0</v>
      </c>
      <c r="N49" s="242">
        <v>0</v>
      </c>
      <c r="O49" s="241">
        <v>1374166</v>
      </c>
      <c r="P49" s="240">
        <v>2.1690214915171499E-5</v>
      </c>
      <c r="Q49" s="239">
        <v>11711</v>
      </c>
      <c r="R49" s="238">
        <v>9540</v>
      </c>
      <c r="S49" s="237">
        <v>0</v>
      </c>
      <c r="T49" s="236">
        <v>9540</v>
      </c>
      <c r="U49" s="235">
        <v>11711</v>
      </c>
      <c r="V49" s="234">
        <v>21251</v>
      </c>
    </row>
    <row r="50" spans="1:22" s="4" customFormat="1" ht="15" x14ac:dyDescent="0.2">
      <c r="A50" s="250" t="s">
        <v>32</v>
      </c>
      <c r="B50" s="250" t="s">
        <v>66</v>
      </c>
      <c r="C50" s="250" t="s">
        <v>206</v>
      </c>
      <c r="D50" s="250" t="s">
        <v>207</v>
      </c>
      <c r="E50" s="249" t="s">
        <v>781</v>
      </c>
      <c r="F50" s="216" t="s">
        <v>208</v>
      </c>
      <c r="G50" s="248" t="s">
        <v>209</v>
      </c>
      <c r="H50" s="247" t="s">
        <v>768</v>
      </c>
      <c r="I50" s="246">
        <v>0</v>
      </c>
      <c r="J50" s="245">
        <v>0</v>
      </c>
      <c r="K50" s="244">
        <v>0</v>
      </c>
      <c r="L50" s="241">
        <v>0</v>
      </c>
      <c r="M50" s="243">
        <v>0</v>
      </c>
      <c r="N50" s="242">
        <v>0</v>
      </c>
      <c r="O50" s="241">
        <v>8821977</v>
      </c>
      <c r="P50" s="240">
        <v>1.3924851663241552E-4</v>
      </c>
      <c r="Q50" s="239">
        <v>75184</v>
      </c>
      <c r="R50" s="238">
        <v>61248</v>
      </c>
      <c r="S50" s="237">
        <v>0</v>
      </c>
      <c r="T50" s="236">
        <v>61248</v>
      </c>
      <c r="U50" s="235">
        <v>75184</v>
      </c>
      <c r="V50" s="234">
        <v>136432</v>
      </c>
    </row>
    <row r="51" spans="1:22" s="4" customFormat="1" ht="15" x14ac:dyDescent="0.2">
      <c r="A51" s="250" t="s">
        <v>32</v>
      </c>
      <c r="B51" s="250" t="s">
        <v>69</v>
      </c>
      <c r="C51" s="250" t="s">
        <v>26</v>
      </c>
      <c r="D51" s="250" t="s">
        <v>27</v>
      </c>
      <c r="E51" s="249" t="s">
        <v>27</v>
      </c>
      <c r="F51" s="216" t="s">
        <v>69</v>
      </c>
      <c r="G51" s="248" t="s">
        <v>70</v>
      </c>
      <c r="H51" s="247" t="s">
        <v>769</v>
      </c>
      <c r="I51" s="246">
        <v>930</v>
      </c>
      <c r="J51" s="245">
        <v>427810</v>
      </c>
      <c r="K51" s="244">
        <v>1378684</v>
      </c>
      <c r="L51" s="241">
        <v>8724833</v>
      </c>
      <c r="M51" s="243">
        <v>8.9319431298001944E-4</v>
      </c>
      <c r="N51" s="242">
        <v>2550273</v>
      </c>
      <c r="O51" s="241">
        <v>51419041</v>
      </c>
      <c r="P51" s="240">
        <v>8.1161231614085554E-4</v>
      </c>
      <c r="Q51" s="239">
        <v>438211</v>
      </c>
      <c r="R51" s="238">
        <v>356983</v>
      </c>
      <c r="S51" s="237">
        <v>427810</v>
      </c>
      <c r="T51" s="236">
        <v>4285940</v>
      </c>
      <c r="U51" s="235">
        <v>438211</v>
      </c>
      <c r="V51" s="234">
        <v>5151961</v>
      </c>
    </row>
    <row r="52" spans="1:22" s="4" customFormat="1" ht="15" x14ac:dyDescent="0.2">
      <c r="A52" s="250" t="s">
        <v>32</v>
      </c>
      <c r="B52" s="250" t="s">
        <v>72</v>
      </c>
      <c r="C52" s="250" t="s">
        <v>26</v>
      </c>
      <c r="D52" s="250" t="s">
        <v>27</v>
      </c>
      <c r="E52" s="249" t="s">
        <v>27</v>
      </c>
      <c r="F52" s="216" t="s">
        <v>72</v>
      </c>
      <c r="G52" s="248" t="s">
        <v>73</v>
      </c>
      <c r="H52" s="247" t="s">
        <v>769</v>
      </c>
      <c r="I52" s="246">
        <v>295</v>
      </c>
      <c r="J52" s="245">
        <v>135703</v>
      </c>
      <c r="K52" s="244">
        <v>437324</v>
      </c>
      <c r="L52" s="241">
        <v>3261975</v>
      </c>
      <c r="M52" s="243">
        <v>3.3394077790176602E-4</v>
      </c>
      <c r="N52" s="242">
        <v>953477</v>
      </c>
      <c r="O52" s="241">
        <v>23116726</v>
      </c>
      <c r="P52" s="240">
        <v>3.6488077501199478E-4</v>
      </c>
      <c r="Q52" s="239">
        <v>197009</v>
      </c>
      <c r="R52" s="238">
        <v>160491</v>
      </c>
      <c r="S52" s="237">
        <v>135703</v>
      </c>
      <c r="T52" s="236">
        <v>1551292</v>
      </c>
      <c r="U52" s="235">
        <v>197009</v>
      </c>
      <c r="V52" s="234">
        <v>1884004</v>
      </c>
    </row>
    <row r="53" spans="1:22" s="4" customFormat="1" ht="15" x14ac:dyDescent="0.2">
      <c r="A53" s="250" t="s">
        <v>32</v>
      </c>
      <c r="B53" s="250" t="s">
        <v>75</v>
      </c>
      <c r="C53" s="250" t="s">
        <v>26</v>
      </c>
      <c r="D53" s="250" t="s">
        <v>27</v>
      </c>
      <c r="E53" s="249" t="s">
        <v>27</v>
      </c>
      <c r="F53" s="216" t="s">
        <v>75</v>
      </c>
      <c r="G53" s="248" t="s">
        <v>76</v>
      </c>
      <c r="H53" s="247" t="s">
        <v>769</v>
      </c>
      <c r="I53" s="246">
        <v>2740</v>
      </c>
      <c r="J53" s="245">
        <v>1260431</v>
      </c>
      <c r="K53" s="244">
        <v>4061928</v>
      </c>
      <c r="L53" s="241">
        <v>21513442</v>
      </c>
      <c r="M53" s="243">
        <v>2.2024128194803837E-3</v>
      </c>
      <c r="N53" s="242">
        <v>6288389</v>
      </c>
      <c r="O53" s="241">
        <v>173896585</v>
      </c>
      <c r="P53" s="240">
        <v>2.7448316299954942E-3</v>
      </c>
      <c r="Q53" s="239">
        <v>1482006</v>
      </c>
      <c r="R53" s="238">
        <v>1207298</v>
      </c>
      <c r="S53" s="237">
        <v>1260431</v>
      </c>
      <c r="T53" s="236">
        <v>11557615</v>
      </c>
      <c r="U53" s="235">
        <v>1482006</v>
      </c>
      <c r="V53" s="234">
        <v>14300052</v>
      </c>
    </row>
    <row r="54" spans="1:22" s="4" customFormat="1" ht="30" x14ac:dyDescent="0.2">
      <c r="A54" s="250" t="s">
        <v>32</v>
      </c>
      <c r="B54" s="250" t="s">
        <v>75</v>
      </c>
      <c r="C54" s="250" t="s">
        <v>736</v>
      </c>
      <c r="D54" s="250" t="s">
        <v>737</v>
      </c>
      <c r="E54" s="249" t="s">
        <v>781</v>
      </c>
      <c r="F54" s="216" t="s">
        <v>738</v>
      </c>
      <c r="G54" s="248" t="s">
        <v>739</v>
      </c>
      <c r="H54" s="247" t="s">
        <v>768</v>
      </c>
      <c r="I54" s="246">
        <v>0</v>
      </c>
      <c r="J54" s="245">
        <v>0</v>
      </c>
      <c r="K54" s="244">
        <v>0</v>
      </c>
      <c r="L54" s="241">
        <v>0</v>
      </c>
      <c r="M54" s="243">
        <v>0</v>
      </c>
      <c r="N54" s="242">
        <v>0</v>
      </c>
      <c r="O54" s="241">
        <v>3293855</v>
      </c>
      <c r="P54" s="240">
        <v>5.199111522873672E-5</v>
      </c>
      <c r="Q54" s="239">
        <v>28071</v>
      </c>
      <c r="R54" s="238">
        <v>22868</v>
      </c>
      <c r="S54" s="237">
        <v>0</v>
      </c>
      <c r="T54" s="236">
        <v>22868</v>
      </c>
      <c r="U54" s="235">
        <v>28071</v>
      </c>
      <c r="V54" s="234">
        <v>50939</v>
      </c>
    </row>
    <row r="55" spans="1:22" s="4" customFormat="1" ht="15" x14ac:dyDescent="0.2">
      <c r="A55" s="250" t="s">
        <v>32</v>
      </c>
      <c r="B55" s="250" t="s">
        <v>75</v>
      </c>
      <c r="C55" s="250" t="s">
        <v>426</v>
      </c>
      <c r="D55" s="250" t="s">
        <v>427</v>
      </c>
      <c r="E55" s="249" t="s">
        <v>781</v>
      </c>
      <c r="F55" s="216" t="s">
        <v>428</v>
      </c>
      <c r="G55" s="248" t="s">
        <v>429</v>
      </c>
      <c r="H55" s="247" t="s">
        <v>769</v>
      </c>
      <c r="I55" s="246">
        <v>186</v>
      </c>
      <c r="J55" s="245">
        <v>85562</v>
      </c>
      <c r="K55" s="244">
        <v>275737</v>
      </c>
      <c r="L55" s="241">
        <v>1450450</v>
      </c>
      <c r="M55" s="243">
        <v>1.4848807894224099E-4</v>
      </c>
      <c r="N55" s="242">
        <v>423967</v>
      </c>
      <c r="O55" s="241">
        <v>21120240</v>
      </c>
      <c r="P55" s="240">
        <v>3.3336768968232492E-4</v>
      </c>
      <c r="Q55" s="239">
        <v>179994</v>
      </c>
      <c r="R55" s="238">
        <v>146630</v>
      </c>
      <c r="S55" s="237">
        <v>85562</v>
      </c>
      <c r="T55" s="236">
        <v>846334</v>
      </c>
      <c r="U55" s="235">
        <v>179994</v>
      </c>
      <c r="V55" s="234">
        <v>1111890</v>
      </c>
    </row>
    <row r="56" spans="1:22" s="4" customFormat="1" ht="15" x14ac:dyDescent="0.2">
      <c r="A56" s="250" t="s">
        <v>32</v>
      </c>
      <c r="B56" s="250" t="s">
        <v>75</v>
      </c>
      <c r="C56" s="250" t="s">
        <v>226</v>
      </c>
      <c r="D56" s="250" t="s">
        <v>227</v>
      </c>
      <c r="E56" s="249" t="s">
        <v>781</v>
      </c>
      <c r="F56" s="216" t="s">
        <v>228</v>
      </c>
      <c r="G56" s="248" t="s">
        <v>229</v>
      </c>
      <c r="H56" s="247" t="s">
        <v>769</v>
      </c>
      <c r="I56" s="246">
        <v>199</v>
      </c>
      <c r="J56" s="245">
        <v>91542</v>
      </c>
      <c r="K56" s="244">
        <v>295009</v>
      </c>
      <c r="L56" s="241">
        <v>3083261</v>
      </c>
      <c r="M56" s="243">
        <v>3.1564514651834458E-4</v>
      </c>
      <c r="N56" s="242">
        <v>901239</v>
      </c>
      <c r="O56" s="241">
        <v>25735973</v>
      </c>
      <c r="P56" s="240">
        <v>4.0622369162171892E-4</v>
      </c>
      <c r="Q56" s="239">
        <v>219331</v>
      </c>
      <c r="R56" s="238">
        <v>178675</v>
      </c>
      <c r="S56" s="237">
        <v>91542</v>
      </c>
      <c r="T56" s="236">
        <v>1374923</v>
      </c>
      <c r="U56" s="235">
        <v>219331</v>
      </c>
      <c r="V56" s="234">
        <v>1685796</v>
      </c>
    </row>
    <row r="57" spans="1:22" s="4" customFormat="1" ht="15" x14ac:dyDescent="0.2">
      <c r="A57" s="250" t="s">
        <v>32</v>
      </c>
      <c r="B57" s="250" t="s">
        <v>78</v>
      </c>
      <c r="C57" s="250" t="s">
        <v>26</v>
      </c>
      <c r="D57" s="250" t="s">
        <v>27</v>
      </c>
      <c r="E57" s="249" t="s">
        <v>27</v>
      </c>
      <c r="F57" s="216" t="s">
        <v>78</v>
      </c>
      <c r="G57" s="248" t="s">
        <v>79</v>
      </c>
      <c r="H57" s="247" t="s">
        <v>769</v>
      </c>
      <c r="I57" s="246">
        <v>77</v>
      </c>
      <c r="J57" s="245">
        <v>35421</v>
      </c>
      <c r="K57" s="244">
        <v>114149</v>
      </c>
      <c r="L57" s="241">
        <v>598832</v>
      </c>
      <c r="M57" s="243">
        <v>6.1304707703912611E-5</v>
      </c>
      <c r="N57" s="242">
        <v>175039</v>
      </c>
      <c r="O57" s="241">
        <v>5364730</v>
      </c>
      <c r="P57" s="240">
        <v>8.4678377038776968E-5</v>
      </c>
      <c r="Q57" s="239">
        <v>45720</v>
      </c>
      <c r="R57" s="238">
        <v>37245</v>
      </c>
      <c r="S57" s="237">
        <v>35421</v>
      </c>
      <c r="T57" s="236">
        <v>326433</v>
      </c>
      <c r="U57" s="235">
        <v>45720</v>
      </c>
      <c r="V57" s="234">
        <v>407574</v>
      </c>
    </row>
    <row r="58" spans="1:22" s="4" customFormat="1" ht="15" x14ac:dyDescent="0.2">
      <c r="A58" s="250" t="s">
        <v>32</v>
      </c>
      <c r="B58" s="250" t="s">
        <v>78</v>
      </c>
      <c r="C58" s="250" t="s">
        <v>246</v>
      </c>
      <c r="D58" s="250" t="s">
        <v>247</v>
      </c>
      <c r="E58" s="249" t="s">
        <v>781</v>
      </c>
      <c r="F58" s="216" t="s">
        <v>248</v>
      </c>
      <c r="G58" s="248" t="s">
        <v>249</v>
      </c>
      <c r="H58" s="247" t="s">
        <v>768</v>
      </c>
      <c r="I58" s="246">
        <v>0</v>
      </c>
      <c r="J58" s="245">
        <v>0</v>
      </c>
      <c r="K58" s="244">
        <v>0</v>
      </c>
      <c r="L58" s="241">
        <v>0</v>
      </c>
      <c r="M58" s="243">
        <v>0</v>
      </c>
      <c r="N58" s="242">
        <v>0</v>
      </c>
      <c r="O58" s="241">
        <v>1568035</v>
      </c>
      <c r="P58" s="240">
        <v>2.475029664866613E-5</v>
      </c>
      <c r="Q58" s="239">
        <v>13363</v>
      </c>
      <c r="R58" s="238">
        <v>10886</v>
      </c>
      <c r="S58" s="237">
        <v>0</v>
      </c>
      <c r="T58" s="236">
        <v>10886</v>
      </c>
      <c r="U58" s="235">
        <v>13363</v>
      </c>
      <c r="V58" s="234">
        <v>24249</v>
      </c>
    </row>
    <row r="59" spans="1:22" s="4" customFormat="1" ht="15" x14ac:dyDescent="0.2">
      <c r="A59" s="250" t="s">
        <v>32</v>
      </c>
      <c r="B59" s="250" t="s">
        <v>81</v>
      </c>
      <c r="C59" s="250" t="s">
        <v>26</v>
      </c>
      <c r="D59" s="250" t="s">
        <v>27</v>
      </c>
      <c r="E59" s="249" t="s">
        <v>27</v>
      </c>
      <c r="F59" s="216" t="s">
        <v>81</v>
      </c>
      <c r="G59" s="248" t="s">
        <v>82</v>
      </c>
      <c r="H59" s="247" t="s">
        <v>769</v>
      </c>
      <c r="I59" s="246">
        <v>50</v>
      </c>
      <c r="J59" s="245">
        <v>23001</v>
      </c>
      <c r="K59" s="244">
        <v>74123</v>
      </c>
      <c r="L59" s="241">
        <v>376012</v>
      </c>
      <c r="M59" s="243">
        <v>3.8493777475424812E-5</v>
      </c>
      <c r="N59" s="242">
        <v>109908</v>
      </c>
      <c r="O59" s="241">
        <v>2672216</v>
      </c>
      <c r="P59" s="240">
        <v>4.2178993905947258E-5</v>
      </c>
      <c r="Q59" s="239">
        <v>22774</v>
      </c>
      <c r="R59" s="238">
        <v>18552</v>
      </c>
      <c r="S59" s="237">
        <v>23001</v>
      </c>
      <c r="T59" s="236">
        <v>202583</v>
      </c>
      <c r="U59" s="235">
        <v>22774</v>
      </c>
      <c r="V59" s="234">
        <v>248358</v>
      </c>
    </row>
    <row r="60" spans="1:22" s="4" customFormat="1" ht="15" x14ac:dyDescent="0.2">
      <c r="A60" s="250" t="s">
        <v>32</v>
      </c>
      <c r="B60" s="250" t="s">
        <v>81</v>
      </c>
      <c r="C60" s="250" t="s">
        <v>545</v>
      </c>
      <c r="D60" s="250" t="s">
        <v>546</v>
      </c>
      <c r="E60" s="249" t="s">
        <v>781</v>
      </c>
      <c r="F60" s="216" t="s">
        <v>547</v>
      </c>
      <c r="G60" s="248" t="s">
        <v>548</v>
      </c>
      <c r="H60" s="247" t="s">
        <v>768</v>
      </c>
      <c r="I60" s="246">
        <v>0</v>
      </c>
      <c r="J60" s="245">
        <v>0</v>
      </c>
      <c r="K60" s="244">
        <v>0</v>
      </c>
      <c r="L60" s="241">
        <v>0</v>
      </c>
      <c r="M60" s="243">
        <v>0</v>
      </c>
      <c r="N60" s="242">
        <v>0</v>
      </c>
      <c r="O60" s="241">
        <v>2306816</v>
      </c>
      <c r="P60" s="240">
        <v>3.6411419588140194E-5</v>
      </c>
      <c r="Q60" s="239">
        <v>19659</v>
      </c>
      <c r="R60" s="238">
        <v>16015</v>
      </c>
      <c r="S60" s="237">
        <v>0</v>
      </c>
      <c r="T60" s="236">
        <v>16015</v>
      </c>
      <c r="U60" s="235">
        <v>19659</v>
      </c>
      <c r="V60" s="234">
        <v>35674</v>
      </c>
    </row>
    <row r="61" spans="1:22" s="4" customFormat="1" ht="15" x14ac:dyDescent="0.2">
      <c r="A61" s="250" t="s">
        <v>32</v>
      </c>
      <c r="B61" s="250" t="s">
        <v>81</v>
      </c>
      <c r="C61" s="250" t="s">
        <v>643</v>
      </c>
      <c r="D61" s="250" t="s">
        <v>644</v>
      </c>
      <c r="E61" s="249" t="s">
        <v>781</v>
      </c>
      <c r="F61" s="216" t="s">
        <v>645</v>
      </c>
      <c r="G61" s="248" t="s">
        <v>646</v>
      </c>
      <c r="H61" s="247" t="s">
        <v>768</v>
      </c>
      <c r="I61" s="246">
        <v>0</v>
      </c>
      <c r="J61" s="245">
        <v>0</v>
      </c>
      <c r="K61" s="244">
        <v>0</v>
      </c>
      <c r="L61" s="241">
        <v>0</v>
      </c>
      <c r="M61" s="243">
        <v>0</v>
      </c>
      <c r="N61" s="242">
        <v>0</v>
      </c>
      <c r="O61" s="241">
        <v>4216669</v>
      </c>
      <c r="P61" s="240">
        <v>6.6557065766538611E-5</v>
      </c>
      <c r="Q61" s="239">
        <v>35936</v>
      </c>
      <c r="R61" s="238">
        <v>29275</v>
      </c>
      <c r="S61" s="237">
        <v>0</v>
      </c>
      <c r="T61" s="236">
        <v>29275</v>
      </c>
      <c r="U61" s="235">
        <v>35936</v>
      </c>
      <c r="V61" s="234">
        <v>65211</v>
      </c>
    </row>
    <row r="62" spans="1:22" s="4" customFormat="1" ht="15" x14ac:dyDescent="0.2">
      <c r="A62" s="250" t="s">
        <v>32</v>
      </c>
      <c r="B62" s="250" t="s">
        <v>81</v>
      </c>
      <c r="C62" s="250" t="s">
        <v>696</v>
      </c>
      <c r="D62" s="250" t="s">
        <v>697</v>
      </c>
      <c r="E62" s="249" t="s">
        <v>781</v>
      </c>
      <c r="F62" s="216" t="s">
        <v>698</v>
      </c>
      <c r="G62" s="248" t="s">
        <v>699</v>
      </c>
      <c r="H62" s="247" t="s">
        <v>768</v>
      </c>
      <c r="I62" s="246">
        <v>0</v>
      </c>
      <c r="J62" s="245">
        <v>0</v>
      </c>
      <c r="K62" s="244">
        <v>0</v>
      </c>
      <c r="L62" s="241">
        <v>0</v>
      </c>
      <c r="M62" s="243">
        <v>0</v>
      </c>
      <c r="N62" s="242">
        <v>0</v>
      </c>
      <c r="O62" s="241">
        <v>2481123</v>
      </c>
      <c r="P62" s="240">
        <v>3.91627293216213E-5</v>
      </c>
      <c r="Q62" s="239">
        <v>21145</v>
      </c>
      <c r="R62" s="238">
        <v>17225</v>
      </c>
      <c r="S62" s="237">
        <v>0</v>
      </c>
      <c r="T62" s="236">
        <v>17225</v>
      </c>
      <c r="U62" s="235">
        <v>21145</v>
      </c>
      <c r="V62" s="234">
        <v>38370</v>
      </c>
    </row>
    <row r="63" spans="1:22" s="4" customFormat="1" ht="15" x14ac:dyDescent="0.2">
      <c r="A63" s="250" t="s">
        <v>32</v>
      </c>
      <c r="B63" s="250" t="s">
        <v>81</v>
      </c>
      <c r="C63" s="250" t="s">
        <v>721</v>
      </c>
      <c r="D63" s="250" t="s">
        <v>722</v>
      </c>
      <c r="E63" s="249" t="s">
        <v>781</v>
      </c>
      <c r="F63" s="216" t="s">
        <v>723</v>
      </c>
      <c r="G63" s="248" t="s">
        <v>724</v>
      </c>
      <c r="H63" s="247" t="s">
        <v>768</v>
      </c>
      <c r="I63" s="246">
        <v>0</v>
      </c>
      <c r="J63" s="245">
        <v>0</v>
      </c>
      <c r="K63" s="244">
        <v>0</v>
      </c>
      <c r="L63" s="241">
        <v>0</v>
      </c>
      <c r="M63" s="243">
        <v>0</v>
      </c>
      <c r="N63" s="242">
        <v>0</v>
      </c>
      <c r="O63" s="241">
        <v>1517036</v>
      </c>
      <c r="P63" s="240">
        <v>2.3945314375448171E-5</v>
      </c>
      <c r="Q63" s="239">
        <v>12929</v>
      </c>
      <c r="R63" s="238">
        <v>10532</v>
      </c>
      <c r="S63" s="237">
        <v>0</v>
      </c>
      <c r="T63" s="236">
        <v>10532</v>
      </c>
      <c r="U63" s="235">
        <v>12929</v>
      </c>
      <c r="V63" s="234">
        <v>23461</v>
      </c>
    </row>
    <row r="64" spans="1:22" s="4" customFormat="1" ht="30" x14ac:dyDescent="0.2">
      <c r="A64" s="250" t="s">
        <v>32</v>
      </c>
      <c r="B64" s="250" t="s">
        <v>81</v>
      </c>
      <c r="C64" s="250" t="s">
        <v>760</v>
      </c>
      <c r="D64" s="250" t="s">
        <v>761</v>
      </c>
      <c r="E64" s="249" t="s">
        <v>781</v>
      </c>
      <c r="F64" s="216" t="s">
        <v>762</v>
      </c>
      <c r="G64" s="248" t="s">
        <v>763</v>
      </c>
      <c r="H64" s="247" t="s">
        <v>768</v>
      </c>
      <c r="I64" s="246">
        <v>0</v>
      </c>
      <c r="J64" s="245">
        <v>0</v>
      </c>
      <c r="K64" s="244">
        <v>0</v>
      </c>
      <c r="L64" s="241">
        <v>0</v>
      </c>
      <c r="M64" s="243">
        <v>0</v>
      </c>
      <c r="N64" s="242">
        <v>0</v>
      </c>
      <c r="O64" s="241">
        <v>1760043</v>
      </c>
      <c r="P64" s="240">
        <v>2.7781003845200065E-5</v>
      </c>
      <c r="Q64" s="239">
        <v>15000</v>
      </c>
      <c r="R64" s="238">
        <v>12219</v>
      </c>
      <c r="S64" s="237">
        <v>0</v>
      </c>
      <c r="T64" s="236">
        <v>12219</v>
      </c>
      <c r="U64" s="235">
        <v>15000</v>
      </c>
      <c r="V64" s="234">
        <v>27219</v>
      </c>
    </row>
    <row r="65" spans="1:22" s="4" customFormat="1" ht="15" x14ac:dyDescent="0.2">
      <c r="A65" s="250" t="s">
        <v>32</v>
      </c>
      <c r="B65" s="250" t="s">
        <v>81</v>
      </c>
      <c r="C65" s="250" t="s">
        <v>256</v>
      </c>
      <c r="D65" s="250" t="s">
        <v>257</v>
      </c>
      <c r="E65" s="249" t="s">
        <v>781</v>
      </c>
      <c r="F65" s="216" t="s">
        <v>258</v>
      </c>
      <c r="G65" s="248" t="s">
        <v>259</v>
      </c>
      <c r="H65" s="247" t="s">
        <v>768</v>
      </c>
      <c r="I65" s="246">
        <v>0</v>
      </c>
      <c r="J65" s="245">
        <v>0</v>
      </c>
      <c r="K65" s="244">
        <v>0</v>
      </c>
      <c r="L65" s="241">
        <v>0</v>
      </c>
      <c r="M65" s="243">
        <v>0</v>
      </c>
      <c r="N65" s="242">
        <v>0</v>
      </c>
      <c r="O65" s="241">
        <v>378899</v>
      </c>
      <c r="P65" s="240">
        <v>5.9806462546326763E-6</v>
      </c>
      <c r="Q65" s="239">
        <v>3229</v>
      </c>
      <c r="R65" s="238">
        <v>2631</v>
      </c>
      <c r="S65" s="237">
        <v>0</v>
      </c>
      <c r="T65" s="236">
        <v>2631</v>
      </c>
      <c r="U65" s="235">
        <v>3229</v>
      </c>
      <c r="V65" s="234">
        <v>5860</v>
      </c>
    </row>
    <row r="66" spans="1:22" s="4" customFormat="1" ht="15" x14ac:dyDescent="0.2">
      <c r="A66" s="250" t="s">
        <v>32</v>
      </c>
      <c r="B66" s="250" t="s">
        <v>84</v>
      </c>
      <c r="C66" s="250" t="s">
        <v>26</v>
      </c>
      <c r="D66" s="250" t="s">
        <v>27</v>
      </c>
      <c r="E66" s="249" t="s">
        <v>27</v>
      </c>
      <c r="F66" s="216" t="s">
        <v>84</v>
      </c>
      <c r="G66" s="248" t="s">
        <v>85</v>
      </c>
      <c r="H66" s="247" t="s">
        <v>769</v>
      </c>
      <c r="I66" s="246">
        <v>25</v>
      </c>
      <c r="J66" s="245">
        <v>11500</v>
      </c>
      <c r="K66" s="244">
        <v>37061</v>
      </c>
      <c r="L66" s="241">
        <v>98415</v>
      </c>
      <c r="M66" s="243">
        <v>1.0075117576683543E-5</v>
      </c>
      <c r="N66" s="242">
        <v>28767</v>
      </c>
      <c r="O66" s="241">
        <v>1627227</v>
      </c>
      <c r="P66" s="240">
        <v>2.5684599492179091E-5</v>
      </c>
      <c r="Q66" s="239">
        <v>13868</v>
      </c>
      <c r="R66" s="238">
        <v>11297</v>
      </c>
      <c r="S66" s="237">
        <v>11500</v>
      </c>
      <c r="T66" s="236">
        <v>77125</v>
      </c>
      <c r="U66" s="235">
        <v>13868</v>
      </c>
      <c r="V66" s="234">
        <v>102493</v>
      </c>
    </row>
    <row r="67" spans="1:22" s="4" customFormat="1" ht="15" x14ac:dyDescent="0.2">
      <c r="A67" s="250" t="s">
        <v>32</v>
      </c>
      <c r="B67" s="250" t="s">
        <v>87</v>
      </c>
      <c r="C67" s="250" t="s">
        <v>26</v>
      </c>
      <c r="D67" s="250" t="s">
        <v>27</v>
      </c>
      <c r="E67" s="249" t="s">
        <v>27</v>
      </c>
      <c r="F67" s="216" t="s">
        <v>87</v>
      </c>
      <c r="G67" s="248" t="s">
        <v>28</v>
      </c>
      <c r="H67" s="247" t="s">
        <v>769</v>
      </c>
      <c r="I67" s="246">
        <v>901</v>
      </c>
      <c r="J67" s="245">
        <v>414470</v>
      </c>
      <c r="K67" s="244">
        <v>1335693</v>
      </c>
      <c r="L67" s="241">
        <v>3648922</v>
      </c>
      <c r="M67" s="243">
        <v>3.7355401288571122E-4</v>
      </c>
      <c r="N67" s="242">
        <v>1066582</v>
      </c>
      <c r="O67" s="241">
        <v>44423833</v>
      </c>
      <c r="P67" s="240">
        <v>7.0119802492980311E-4</v>
      </c>
      <c r="Q67" s="239">
        <v>378595</v>
      </c>
      <c r="R67" s="238">
        <v>308418</v>
      </c>
      <c r="S67" s="237">
        <v>414470</v>
      </c>
      <c r="T67" s="236">
        <v>2710693</v>
      </c>
      <c r="U67" s="235">
        <v>378595</v>
      </c>
      <c r="V67" s="234">
        <v>3503758</v>
      </c>
    </row>
    <row r="68" spans="1:22" s="4" customFormat="1" ht="15" x14ac:dyDescent="0.2">
      <c r="A68" s="250" t="s">
        <v>32</v>
      </c>
      <c r="B68" s="250" t="s">
        <v>87</v>
      </c>
      <c r="C68" s="250" t="s">
        <v>211</v>
      </c>
      <c r="D68" s="250" t="s">
        <v>212</v>
      </c>
      <c r="E68" s="249" t="s">
        <v>781</v>
      </c>
      <c r="F68" s="216" t="s">
        <v>213</v>
      </c>
      <c r="G68" s="248" t="s">
        <v>214</v>
      </c>
      <c r="H68" s="247" t="s">
        <v>768</v>
      </c>
      <c r="I68" s="246">
        <v>0</v>
      </c>
      <c r="J68" s="245">
        <v>0</v>
      </c>
      <c r="K68" s="244">
        <v>0</v>
      </c>
      <c r="L68" s="241">
        <v>0</v>
      </c>
      <c r="M68" s="243">
        <v>0</v>
      </c>
      <c r="N68" s="242">
        <v>0</v>
      </c>
      <c r="O68" s="241">
        <v>2855602</v>
      </c>
      <c r="P68" s="240">
        <v>4.5073609077937866E-5</v>
      </c>
      <c r="Q68" s="239">
        <v>24336</v>
      </c>
      <c r="R68" s="238">
        <v>19825</v>
      </c>
      <c r="S68" s="237">
        <v>0</v>
      </c>
      <c r="T68" s="236">
        <v>19825</v>
      </c>
      <c r="U68" s="235">
        <v>24336</v>
      </c>
      <c r="V68" s="234">
        <v>44161</v>
      </c>
    </row>
    <row r="69" spans="1:22" s="4" customFormat="1" ht="15" x14ac:dyDescent="0.2">
      <c r="A69" s="250" t="s">
        <v>32</v>
      </c>
      <c r="B69" s="250" t="s">
        <v>87</v>
      </c>
      <c r="C69" s="250" t="s">
        <v>296</v>
      </c>
      <c r="D69" s="250" t="s">
        <v>297</v>
      </c>
      <c r="E69" s="249" t="s">
        <v>781</v>
      </c>
      <c r="F69" s="216" t="s">
        <v>298</v>
      </c>
      <c r="G69" s="248" t="s">
        <v>299</v>
      </c>
      <c r="H69" s="247" t="s">
        <v>769</v>
      </c>
      <c r="I69" s="246">
        <v>25</v>
      </c>
      <c r="J69" s="245">
        <v>11500</v>
      </c>
      <c r="K69" s="244">
        <v>37061</v>
      </c>
      <c r="L69" s="241">
        <v>62609</v>
      </c>
      <c r="M69" s="243">
        <v>6.4095212758073465E-6</v>
      </c>
      <c r="N69" s="242">
        <v>18301</v>
      </c>
      <c r="O69" s="241">
        <v>910504</v>
      </c>
      <c r="P69" s="240">
        <v>1.4371646104708828E-5</v>
      </c>
      <c r="Q69" s="239">
        <v>7760</v>
      </c>
      <c r="R69" s="238">
        <v>6321</v>
      </c>
      <c r="S69" s="237">
        <v>11500</v>
      </c>
      <c r="T69" s="236">
        <v>61683</v>
      </c>
      <c r="U69" s="235">
        <v>7760</v>
      </c>
      <c r="V69" s="234">
        <v>80943</v>
      </c>
    </row>
    <row r="70" spans="1:22" s="4" customFormat="1" ht="15" x14ac:dyDescent="0.2">
      <c r="A70" s="250" t="s">
        <v>32</v>
      </c>
      <c r="B70" s="250" t="s">
        <v>89</v>
      </c>
      <c r="C70" s="250" t="s">
        <v>26</v>
      </c>
      <c r="D70" s="250" t="s">
        <v>27</v>
      </c>
      <c r="E70" s="249" t="s">
        <v>27</v>
      </c>
      <c r="F70" s="216" t="s">
        <v>89</v>
      </c>
      <c r="G70" s="248" t="s">
        <v>90</v>
      </c>
      <c r="H70" s="247" t="s">
        <v>769</v>
      </c>
      <c r="I70" s="246">
        <v>1994</v>
      </c>
      <c r="J70" s="245">
        <v>917262</v>
      </c>
      <c r="K70" s="244">
        <v>2956017</v>
      </c>
      <c r="L70" s="241">
        <v>14847676</v>
      </c>
      <c r="M70" s="243">
        <v>1.5200130207844579E-3</v>
      </c>
      <c r="N70" s="242">
        <v>4339982</v>
      </c>
      <c r="O70" s="241">
        <v>110498028</v>
      </c>
      <c r="P70" s="240">
        <v>1.7441313313112375E-3</v>
      </c>
      <c r="Q70" s="239">
        <v>941702</v>
      </c>
      <c r="R70" s="238">
        <v>767146</v>
      </c>
      <c r="S70" s="237">
        <v>917262</v>
      </c>
      <c r="T70" s="236">
        <v>8063145</v>
      </c>
      <c r="U70" s="235">
        <v>941702</v>
      </c>
      <c r="V70" s="234">
        <v>9922109</v>
      </c>
    </row>
    <row r="71" spans="1:22" s="4" customFormat="1" ht="15" x14ac:dyDescent="0.2">
      <c r="A71" s="250" t="s">
        <v>32</v>
      </c>
      <c r="B71" s="250" t="s">
        <v>89</v>
      </c>
      <c r="C71" s="250" t="s">
        <v>622</v>
      </c>
      <c r="D71" s="250" t="s">
        <v>623</v>
      </c>
      <c r="E71" s="249" t="s">
        <v>781</v>
      </c>
      <c r="F71" s="216" t="s">
        <v>624</v>
      </c>
      <c r="G71" s="248" t="s">
        <v>820</v>
      </c>
      <c r="H71" s="247" t="s">
        <v>769</v>
      </c>
      <c r="I71" s="246">
        <v>38</v>
      </c>
      <c r="J71" s="245">
        <v>17480</v>
      </c>
      <c r="K71" s="244">
        <v>56333</v>
      </c>
      <c r="L71" s="241">
        <v>129568</v>
      </c>
      <c r="M71" s="243">
        <v>1.3264368583810734E-5</v>
      </c>
      <c r="N71" s="242">
        <v>37873</v>
      </c>
      <c r="O71" s="241">
        <v>2226137</v>
      </c>
      <c r="P71" s="240">
        <v>3.5137960014012234E-5</v>
      </c>
      <c r="Q71" s="239">
        <v>18972</v>
      </c>
      <c r="R71" s="238">
        <v>15455</v>
      </c>
      <c r="S71" s="237">
        <v>17480</v>
      </c>
      <c r="T71" s="236">
        <v>109661</v>
      </c>
      <c r="U71" s="235">
        <v>18972</v>
      </c>
      <c r="V71" s="234">
        <v>146113</v>
      </c>
    </row>
    <row r="72" spans="1:22" s="4" customFormat="1" ht="15" x14ac:dyDescent="0.2">
      <c r="A72" s="250" t="s">
        <v>32</v>
      </c>
      <c r="B72" s="250" t="s">
        <v>92</v>
      </c>
      <c r="C72" s="250" t="s">
        <v>26</v>
      </c>
      <c r="D72" s="250" t="s">
        <v>27</v>
      </c>
      <c r="E72" s="249" t="s">
        <v>27</v>
      </c>
      <c r="F72" s="216" t="s">
        <v>92</v>
      </c>
      <c r="G72" s="248" t="s">
        <v>93</v>
      </c>
      <c r="H72" s="247" t="s">
        <v>769</v>
      </c>
      <c r="I72" s="246">
        <v>531</v>
      </c>
      <c r="J72" s="245">
        <v>244266</v>
      </c>
      <c r="K72" s="244">
        <v>787184</v>
      </c>
      <c r="L72" s="241">
        <v>7256632</v>
      </c>
      <c r="M72" s="243">
        <v>7.4288899670501716E-4</v>
      </c>
      <c r="N72" s="242">
        <v>2121117</v>
      </c>
      <c r="O72" s="241">
        <v>35541965</v>
      </c>
      <c r="P72" s="240">
        <v>5.6100417224520425E-4</v>
      </c>
      <c r="Q72" s="239">
        <v>302901</v>
      </c>
      <c r="R72" s="238">
        <v>246754</v>
      </c>
      <c r="S72" s="237">
        <v>244266</v>
      </c>
      <c r="T72" s="236">
        <v>3155055</v>
      </c>
      <c r="U72" s="235">
        <v>302901</v>
      </c>
      <c r="V72" s="234">
        <v>3702222</v>
      </c>
    </row>
    <row r="73" spans="1:22" s="4" customFormat="1" ht="15" x14ac:dyDescent="0.2">
      <c r="A73" s="250" t="s">
        <v>32</v>
      </c>
      <c r="B73" s="250" t="s">
        <v>95</v>
      </c>
      <c r="C73" s="250" t="s">
        <v>26</v>
      </c>
      <c r="D73" s="250" t="s">
        <v>27</v>
      </c>
      <c r="E73" s="249" t="s">
        <v>27</v>
      </c>
      <c r="F73" s="216" t="s">
        <v>95</v>
      </c>
      <c r="G73" s="248" t="s">
        <v>96</v>
      </c>
      <c r="H73" s="247" t="s">
        <v>769</v>
      </c>
      <c r="I73" s="246">
        <v>296</v>
      </c>
      <c r="J73" s="245">
        <v>136163</v>
      </c>
      <c r="K73" s="244">
        <v>438807</v>
      </c>
      <c r="L73" s="241">
        <v>3004178</v>
      </c>
      <c r="M73" s="243">
        <v>3.0754911925302055E-4</v>
      </c>
      <c r="N73" s="242">
        <v>878123</v>
      </c>
      <c r="O73" s="241">
        <v>17675896</v>
      </c>
      <c r="P73" s="240">
        <v>2.7900121459723226E-4</v>
      </c>
      <c r="Q73" s="239">
        <v>150640</v>
      </c>
      <c r="R73" s="238">
        <v>122717</v>
      </c>
      <c r="S73" s="237">
        <v>136163</v>
      </c>
      <c r="T73" s="236">
        <v>1439647</v>
      </c>
      <c r="U73" s="235">
        <v>150640</v>
      </c>
      <c r="V73" s="234">
        <v>1726450</v>
      </c>
    </row>
    <row r="74" spans="1:22" s="4" customFormat="1" ht="15" x14ac:dyDescent="0.2">
      <c r="A74" s="250" t="s">
        <v>32</v>
      </c>
      <c r="B74" s="250" t="s">
        <v>95</v>
      </c>
      <c r="C74" s="250" t="s">
        <v>481</v>
      </c>
      <c r="D74" s="250" t="s">
        <v>482</v>
      </c>
      <c r="E74" s="249" t="s">
        <v>781</v>
      </c>
      <c r="F74" s="216" t="s">
        <v>483</v>
      </c>
      <c r="G74" s="248" t="s">
        <v>484</v>
      </c>
      <c r="H74" s="247" t="s">
        <v>768</v>
      </c>
      <c r="I74" s="246">
        <v>0</v>
      </c>
      <c r="J74" s="245">
        <v>0</v>
      </c>
      <c r="K74" s="244">
        <v>0</v>
      </c>
      <c r="L74" s="241">
        <v>0</v>
      </c>
      <c r="M74" s="243">
        <v>0</v>
      </c>
      <c r="N74" s="242">
        <v>0</v>
      </c>
      <c r="O74" s="241">
        <v>4250022</v>
      </c>
      <c r="P74" s="240">
        <v>6.708351871186378E-5</v>
      </c>
      <c r="Q74" s="239">
        <v>36220</v>
      </c>
      <c r="R74" s="238">
        <v>29506</v>
      </c>
      <c r="S74" s="237">
        <v>0</v>
      </c>
      <c r="T74" s="236">
        <v>29506</v>
      </c>
      <c r="U74" s="235">
        <v>36220</v>
      </c>
      <c r="V74" s="234">
        <v>65726</v>
      </c>
    </row>
    <row r="75" spans="1:22" s="4" customFormat="1" ht="30" x14ac:dyDescent="0.2">
      <c r="A75" s="250" t="s">
        <v>32</v>
      </c>
      <c r="B75" s="250" t="s">
        <v>95</v>
      </c>
      <c r="C75" s="250" t="s">
        <v>530</v>
      </c>
      <c r="D75" s="250" t="s">
        <v>531</v>
      </c>
      <c r="E75" s="249" t="s">
        <v>781</v>
      </c>
      <c r="F75" s="216" t="s">
        <v>532</v>
      </c>
      <c r="G75" s="248" t="s">
        <v>533</v>
      </c>
      <c r="H75" s="247" t="s">
        <v>768</v>
      </c>
      <c r="I75" s="246">
        <v>0</v>
      </c>
      <c r="J75" s="245">
        <v>0</v>
      </c>
      <c r="K75" s="244">
        <v>0</v>
      </c>
      <c r="L75" s="241">
        <v>0</v>
      </c>
      <c r="M75" s="243">
        <v>0</v>
      </c>
      <c r="N75" s="242">
        <v>0</v>
      </c>
      <c r="O75" s="241">
        <v>11305543</v>
      </c>
      <c r="P75" s="240">
        <v>1.7844980693941835E-4</v>
      </c>
      <c r="Q75" s="239">
        <v>96350</v>
      </c>
      <c r="R75" s="238">
        <v>78490</v>
      </c>
      <c r="S75" s="237">
        <v>0</v>
      </c>
      <c r="T75" s="236">
        <v>78490</v>
      </c>
      <c r="U75" s="235">
        <v>96350</v>
      </c>
      <c r="V75" s="234">
        <v>174840</v>
      </c>
    </row>
    <row r="76" spans="1:22" s="4" customFormat="1" ht="15" x14ac:dyDescent="0.2">
      <c r="A76" s="250" t="s">
        <v>32</v>
      </c>
      <c r="B76" s="250" t="s">
        <v>95</v>
      </c>
      <c r="C76" s="250" t="s">
        <v>555</v>
      </c>
      <c r="D76" s="250" t="s">
        <v>556</v>
      </c>
      <c r="E76" s="249" t="s">
        <v>781</v>
      </c>
      <c r="F76" s="216" t="s">
        <v>557</v>
      </c>
      <c r="G76" s="248" t="s">
        <v>819</v>
      </c>
      <c r="H76" s="247" t="s">
        <v>768</v>
      </c>
      <c r="I76" s="246">
        <v>0</v>
      </c>
      <c r="J76" s="245">
        <v>0</v>
      </c>
      <c r="K76" s="244">
        <v>0</v>
      </c>
      <c r="L76" s="241">
        <v>0</v>
      </c>
      <c r="M76" s="243">
        <v>0</v>
      </c>
      <c r="N76" s="242">
        <v>0</v>
      </c>
      <c r="O76" s="241">
        <v>1327983</v>
      </c>
      <c r="P76" s="240">
        <v>2.0961249713421956E-5</v>
      </c>
      <c r="Q76" s="239">
        <v>11318</v>
      </c>
      <c r="R76" s="238">
        <v>9220</v>
      </c>
      <c r="S76" s="237">
        <v>0</v>
      </c>
      <c r="T76" s="236">
        <v>9220</v>
      </c>
      <c r="U76" s="235">
        <v>11318</v>
      </c>
      <c r="V76" s="234">
        <v>20538</v>
      </c>
    </row>
    <row r="77" spans="1:22" s="4" customFormat="1" ht="30" x14ac:dyDescent="0.2">
      <c r="A77" s="250" t="s">
        <v>32</v>
      </c>
      <c r="B77" s="250" t="s">
        <v>95</v>
      </c>
      <c r="C77" s="250" t="s">
        <v>638</v>
      </c>
      <c r="D77" s="250" t="s">
        <v>639</v>
      </c>
      <c r="E77" s="249" t="s">
        <v>781</v>
      </c>
      <c r="F77" s="216" t="s">
        <v>640</v>
      </c>
      <c r="G77" s="248" t="s">
        <v>641</v>
      </c>
      <c r="H77" s="247" t="s">
        <v>768</v>
      </c>
      <c r="I77" s="246">
        <v>0</v>
      </c>
      <c r="J77" s="245">
        <v>0</v>
      </c>
      <c r="K77" s="244">
        <v>0</v>
      </c>
      <c r="L77" s="241">
        <v>0</v>
      </c>
      <c r="M77" s="243">
        <v>0</v>
      </c>
      <c r="N77" s="242">
        <v>0</v>
      </c>
      <c r="O77" s="241">
        <v>6362136</v>
      </c>
      <c r="P77" s="240">
        <v>1.0042170826490361E-4</v>
      </c>
      <c r="Q77" s="239">
        <v>54220</v>
      </c>
      <c r="R77" s="238">
        <v>44170</v>
      </c>
      <c r="S77" s="237">
        <v>0</v>
      </c>
      <c r="T77" s="236">
        <v>44170</v>
      </c>
      <c r="U77" s="235">
        <v>54220</v>
      </c>
      <c r="V77" s="234">
        <v>98390</v>
      </c>
    </row>
    <row r="78" spans="1:22" s="4" customFormat="1" ht="15" x14ac:dyDescent="0.2">
      <c r="A78" s="250" t="s">
        <v>32</v>
      </c>
      <c r="B78" s="250" t="s">
        <v>95</v>
      </c>
      <c r="C78" s="250" t="s">
        <v>716</v>
      </c>
      <c r="D78" s="250" t="s">
        <v>717</v>
      </c>
      <c r="E78" s="249" t="s">
        <v>781</v>
      </c>
      <c r="F78" s="216" t="s">
        <v>718</v>
      </c>
      <c r="G78" s="248" t="s">
        <v>719</v>
      </c>
      <c r="H78" s="247" t="s">
        <v>768</v>
      </c>
      <c r="I78" s="246">
        <v>0</v>
      </c>
      <c r="J78" s="245">
        <v>0</v>
      </c>
      <c r="K78" s="244">
        <v>0</v>
      </c>
      <c r="L78" s="241">
        <v>0</v>
      </c>
      <c r="M78" s="243">
        <v>0</v>
      </c>
      <c r="N78" s="242">
        <v>0</v>
      </c>
      <c r="O78" s="241">
        <v>1379539</v>
      </c>
      <c r="P78" s="240">
        <v>2.1775023828169795E-5</v>
      </c>
      <c r="Q78" s="239">
        <v>11757</v>
      </c>
      <c r="R78" s="238">
        <v>9578</v>
      </c>
      <c r="S78" s="237">
        <v>0</v>
      </c>
      <c r="T78" s="236">
        <v>9578</v>
      </c>
      <c r="U78" s="235">
        <v>11757</v>
      </c>
      <c r="V78" s="234">
        <v>21335</v>
      </c>
    </row>
    <row r="79" spans="1:22" s="4" customFormat="1" ht="15" x14ac:dyDescent="0.2">
      <c r="A79" s="250" t="s">
        <v>32</v>
      </c>
      <c r="B79" s="250" t="s">
        <v>98</v>
      </c>
      <c r="C79" s="250" t="s">
        <v>26</v>
      </c>
      <c r="D79" s="250" t="s">
        <v>27</v>
      </c>
      <c r="E79" s="249" t="s">
        <v>27</v>
      </c>
      <c r="F79" s="216" t="s">
        <v>98</v>
      </c>
      <c r="G79" s="248" t="s">
        <v>99</v>
      </c>
      <c r="H79" s="247" t="s">
        <v>769</v>
      </c>
      <c r="I79" s="246">
        <v>657</v>
      </c>
      <c r="J79" s="245">
        <v>302227</v>
      </c>
      <c r="K79" s="244">
        <v>973973</v>
      </c>
      <c r="L79" s="241">
        <v>14167277</v>
      </c>
      <c r="M79" s="243">
        <v>1.4503579892947672E-3</v>
      </c>
      <c r="N79" s="242">
        <v>4141101</v>
      </c>
      <c r="O79" s="241">
        <v>55264496</v>
      </c>
      <c r="P79" s="240">
        <v>8.7231003781103279E-4</v>
      </c>
      <c r="Q79" s="239">
        <v>470983</v>
      </c>
      <c r="R79" s="238">
        <v>383680</v>
      </c>
      <c r="S79" s="237">
        <v>302227</v>
      </c>
      <c r="T79" s="236">
        <v>5498754</v>
      </c>
      <c r="U79" s="235">
        <v>470983</v>
      </c>
      <c r="V79" s="234">
        <v>6271964</v>
      </c>
    </row>
    <row r="80" spans="1:22" s="4" customFormat="1" ht="15" x14ac:dyDescent="0.2">
      <c r="A80" s="250" t="s">
        <v>32</v>
      </c>
      <c r="B80" s="250" t="s">
        <v>98</v>
      </c>
      <c r="C80" s="250" t="s">
        <v>331</v>
      </c>
      <c r="D80" s="250" t="s">
        <v>332</v>
      </c>
      <c r="E80" s="249" t="s">
        <v>781</v>
      </c>
      <c r="F80" s="216" t="s">
        <v>333</v>
      </c>
      <c r="G80" s="248" t="s">
        <v>334</v>
      </c>
      <c r="H80" s="247" t="s">
        <v>769</v>
      </c>
      <c r="I80" s="246">
        <v>31</v>
      </c>
      <c r="J80" s="245">
        <v>14260</v>
      </c>
      <c r="K80" s="244">
        <v>45956</v>
      </c>
      <c r="L80" s="241">
        <v>1028645</v>
      </c>
      <c r="M80" s="243">
        <v>1.0530629802029818E-4</v>
      </c>
      <c r="N80" s="242">
        <v>300673</v>
      </c>
      <c r="O80" s="241">
        <v>3904204</v>
      </c>
      <c r="P80" s="240">
        <v>6.1625032079582989E-5</v>
      </c>
      <c r="Q80" s="239">
        <v>33273</v>
      </c>
      <c r="R80" s="238">
        <v>27105</v>
      </c>
      <c r="S80" s="237">
        <v>14260</v>
      </c>
      <c r="T80" s="236">
        <v>373734</v>
      </c>
      <c r="U80" s="235">
        <v>33273</v>
      </c>
      <c r="V80" s="234">
        <v>421267</v>
      </c>
    </row>
    <row r="81" spans="1:22" s="4" customFormat="1" ht="15" x14ac:dyDescent="0.2">
      <c r="A81" s="250" t="s">
        <v>32</v>
      </c>
      <c r="B81" s="250" t="s">
        <v>101</v>
      </c>
      <c r="C81" s="250" t="s">
        <v>26</v>
      </c>
      <c r="D81" s="250" t="s">
        <v>27</v>
      </c>
      <c r="E81" s="249" t="s">
        <v>27</v>
      </c>
      <c r="F81" s="216" t="s">
        <v>101</v>
      </c>
      <c r="G81" s="248" t="s">
        <v>102</v>
      </c>
      <c r="H81" s="247" t="s">
        <v>769</v>
      </c>
      <c r="I81" s="246">
        <v>5050</v>
      </c>
      <c r="J81" s="245">
        <v>2323057</v>
      </c>
      <c r="K81" s="244">
        <v>7486401</v>
      </c>
      <c r="L81" s="241">
        <v>13806134</v>
      </c>
      <c r="M81" s="243">
        <v>1.4133864078590488E-3</v>
      </c>
      <c r="N81" s="242">
        <v>4035539</v>
      </c>
      <c r="O81" s="241">
        <v>322306275</v>
      </c>
      <c r="P81" s="240">
        <v>5.0873710841764144E-3</v>
      </c>
      <c r="Q81" s="239">
        <v>2746804</v>
      </c>
      <c r="R81" s="238">
        <v>2237650</v>
      </c>
      <c r="S81" s="237">
        <v>2323057</v>
      </c>
      <c r="T81" s="236">
        <v>13759590</v>
      </c>
      <c r="U81" s="235">
        <v>2746804</v>
      </c>
      <c r="V81" s="234">
        <v>18829451</v>
      </c>
    </row>
    <row r="82" spans="1:22" s="4" customFormat="1" ht="15" x14ac:dyDescent="0.2">
      <c r="A82" s="250" t="s">
        <v>32</v>
      </c>
      <c r="B82" s="250" t="s">
        <v>104</v>
      </c>
      <c r="C82" s="250" t="s">
        <v>26</v>
      </c>
      <c r="D82" s="250" t="s">
        <v>27</v>
      </c>
      <c r="E82" s="249" t="s">
        <v>27</v>
      </c>
      <c r="F82" s="216" t="s">
        <v>104</v>
      </c>
      <c r="G82" s="248" t="s">
        <v>105</v>
      </c>
      <c r="H82" s="247" t="s">
        <v>769</v>
      </c>
      <c r="I82" s="246">
        <v>816</v>
      </c>
      <c r="J82" s="245">
        <v>375369</v>
      </c>
      <c r="K82" s="244">
        <v>1209684</v>
      </c>
      <c r="L82" s="241">
        <v>3867783</v>
      </c>
      <c r="M82" s="243">
        <v>3.9595964523800038E-4</v>
      </c>
      <c r="N82" s="242">
        <v>1130555</v>
      </c>
      <c r="O82" s="241">
        <v>49438472</v>
      </c>
      <c r="P82" s="240">
        <v>7.8035046912650183E-4</v>
      </c>
      <c r="Q82" s="239">
        <v>421331</v>
      </c>
      <c r="R82" s="238">
        <v>343232</v>
      </c>
      <c r="S82" s="237">
        <v>375369</v>
      </c>
      <c r="T82" s="236">
        <v>2683471</v>
      </c>
      <c r="U82" s="235">
        <v>421331</v>
      </c>
      <c r="V82" s="234">
        <v>3480171</v>
      </c>
    </row>
    <row r="83" spans="1:22" s="4" customFormat="1" ht="15" x14ac:dyDescent="0.2">
      <c r="A83" s="250" t="s">
        <v>32</v>
      </c>
      <c r="B83" s="250" t="s">
        <v>107</v>
      </c>
      <c r="C83" s="250" t="s">
        <v>26</v>
      </c>
      <c r="D83" s="250" t="s">
        <v>27</v>
      </c>
      <c r="E83" s="249" t="s">
        <v>27</v>
      </c>
      <c r="F83" s="216" t="s">
        <v>107</v>
      </c>
      <c r="G83" s="248" t="s">
        <v>108</v>
      </c>
      <c r="H83" s="247" t="s">
        <v>769</v>
      </c>
      <c r="I83" s="246">
        <v>70</v>
      </c>
      <c r="J83" s="245">
        <v>32201</v>
      </c>
      <c r="K83" s="244">
        <v>103772</v>
      </c>
      <c r="L83" s="241">
        <v>69578</v>
      </c>
      <c r="M83" s="243">
        <v>7.1229642915255564E-6</v>
      </c>
      <c r="N83" s="242">
        <v>20338</v>
      </c>
      <c r="O83" s="241">
        <v>4712915</v>
      </c>
      <c r="P83" s="240">
        <v>7.4389949414361496E-5</v>
      </c>
      <c r="Q83" s="239">
        <v>40165</v>
      </c>
      <c r="R83" s="238">
        <v>32720</v>
      </c>
      <c r="S83" s="237">
        <v>32201</v>
      </c>
      <c r="T83" s="236">
        <v>156830</v>
      </c>
      <c r="U83" s="235">
        <v>40165</v>
      </c>
      <c r="V83" s="234">
        <v>229196</v>
      </c>
    </row>
    <row r="84" spans="1:22" s="4" customFormat="1" ht="15" x14ac:dyDescent="0.2">
      <c r="A84" s="250" t="s">
        <v>32</v>
      </c>
      <c r="B84" s="250" t="s">
        <v>110</v>
      </c>
      <c r="C84" s="250" t="s">
        <v>26</v>
      </c>
      <c r="D84" s="250" t="s">
        <v>27</v>
      </c>
      <c r="E84" s="249" t="s">
        <v>27</v>
      </c>
      <c r="F84" s="216" t="s">
        <v>110</v>
      </c>
      <c r="G84" s="248" t="s">
        <v>111</v>
      </c>
      <c r="H84" s="247" t="s">
        <v>769</v>
      </c>
      <c r="I84" s="246">
        <v>15898</v>
      </c>
      <c r="J84" s="245">
        <v>7313258</v>
      </c>
      <c r="K84" s="244">
        <v>23568080</v>
      </c>
      <c r="L84" s="241">
        <v>124397793</v>
      </c>
      <c r="M84" s="243">
        <v>1.2735074843824022E-2</v>
      </c>
      <c r="N84" s="242">
        <v>36361530</v>
      </c>
      <c r="O84" s="241">
        <v>1036096606</v>
      </c>
      <c r="P84" s="240">
        <v>1.6354034415798215E-2</v>
      </c>
      <c r="Q84" s="239">
        <v>8829968</v>
      </c>
      <c r="R84" s="238">
        <v>7193224</v>
      </c>
      <c r="S84" s="237">
        <v>7313258</v>
      </c>
      <c r="T84" s="236">
        <v>67122834</v>
      </c>
      <c r="U84" s="235">
        <v>8829968</v>
      </c>
      <c r="V84" s="234">
        <v>83266060</v>
      </c>
    </row>
    <row r="85" spans="1:22" s="4" customFormat="1" ht="15" x14ac:dyDescent="0.2">
      <c r="A85" s="250" t="s">
        <v>32</v>
      </c>
      <c r="B85" s="250" t="s">
        <v>110</v>
      </c>
      <c r="C85" s="250" t="s">
        <v>321</v>
      </c>
      <c r="D85" s="250" t="s">
        <v>322</v>
      </c>
      <c r="E85" s="249" t="s">
        <v>781</v>
      </c>
      <c r="F85" s="216" t="s">
        <v>323</v>
      </c>
      <c r="G85" s="248" t="s">
        <v>324</v>
      </c>
      <c r="H85" s="247" t="s">
        <v>769</v>
      </c>
      <c r="I85" s="246">
        <v>61</v>
      </c>
      <c r="J85" s="245">
        <v>28061</v>
      </c>
      <c r="K85" s="244">
        <v>90430</v>
      </c>
      <c r="L85" s="241">
        <v>260979</v>
      </c>
      <c r="M85" s="243">
        <v>2.6717412081951883E-5</v>
      </c>
      <c r="N85" s="242">
        <v>76284</v>
      </c>
      <c r="O85" s="241">
        <v>2836770</v>
      </c>
      <c r="P85" s="240">
        <v>4.4776359599139446E-5</v>
      </c>
      <c r="Q85" s="239">
        <v>24176</v>
      </c>
      <c r="R85" s="238">
        <v>19695</v>
      </c>
      <c r="S85" s="237">
        <v>28061</v>
      </c>
      <c r="T85" s="236">
        <v>186409</v>
      </c>
      <c r="U85" s="235">
        <v>24176</v>
      </c>
      <c r="V85" s="234">
        <v>238646</v>
      </c>
    </row>
    <row r="86" spans="1:22" s="4" customFormat="1" ht="30" x14ac:dyDescent="0.2">
      <c r="A86" s="250" t="s">
        <v>32</v>
      </c>
      <c r="B86" s="250" t="s">
        <v>110</v>
      </c>
      <c r="C86" s="250" t="s">
        <v>326</v>
      </c>
      <c r="D86" s="250" t="s">
        <v>327</v>
      </c>
      <c r="E86" s="249" t="s">
        <v>781</v>
      </c>
      <c r="F86" s="216" t="s">
        <v>328</v>
      </c>
      <c r="G86" s="248" t="s">
        <v>329</v>
      </c>
      <c r="H86" s="247" t="s">
        <v>769</v>
      </c>
      <c r="I86" s="246">
        <v>55</v>
      </c>
      <c r="J86" s="245">
        <v>25301</v>
      </c>
      <c r="K86" s="244">
        <v>81535</v>
      </c>
      <c r="L86" s="241">
        <v>471417</v>
      </c>
      <c r="M86" s="243">
        <v>4.8260749912588796E-5</v>
      </c>
      <c r="N86" s="242">
        <v>137795</v>
      </c>
      <c r="O86" s="241">
        <v>2642446</v>
      </c>
      <c r="P86" s="240">
        <v>4.1709096020229917E-5</v>
      </c>
      <c r="Q86" s="239">
        <v>22520</v>
      </c>
      <c r="R86" s="238">
        <v>18345</v>
      </c>
      <c r="S86" s="237">
        <v>25301</v>
      </c>
      <c r="T86" s="236">
        <v>237675</v>
      </c>
      <c r="U86" s="235">
        <v>22520</v>
      </c>
      <c r="V86" s="234">
        <v>285496</v>
      </c>
    </row>
    <row r="87" spans="1:22" s="4" customFormat="1" ht="15" x14ac:dyDescent="0.2">
      <c r="A87" s="250" t="s">
        <v>32</v>
      </c>
      <c r="B87" s="250" t="s">
        <v>110</v>
      </c>
      <c r="C87" s="250" t="s">
        <v>346</v>
      </c>
      <c r="D87" s="250" t="s">
        <v>347</v>
      </c>
      <c r="E87" s="249" t="s">
        <v>781</v>
      </c>
      <c r="F87" s="216" t="s">
        <v>348</v>
      </c>
      <c r="G87" s="248" t="s">
        <v>349</v>
      </c>
      <c r="H87" s="247" t="s">
        <v>769</v>
      </c>
      <c r="I87" s="246">
        <v>59</v>
      </c>
      <c r="J87" s="245">
        <v>27141</v>
      </c>
      <c r="K87" s="244">
        <v>87465</v>
      </c>
      <c r="L87" s="241">
        <v>310898</v>
      </c>
      <c r="M87" s="243">
        <v>3.1827809829352847E-5</v>
      </c>
      <c r="N87" s="242">
        <v>90876</v>
      </c>
      <c r="O87" s="241">
        <v>3830235</v>
      </c>
      <c r="P87" s="240">
        <v>6.0457484994980158E-5</v>
      </c>
      <c r="Q87" s="239">
        <v>32643</v>
      </c>
      <c r="R87" s="238">
        <v>26592</v>
      </c>
      <c r="S87" s="237">
        <v>27141</v>
      </c>
      <c r="T87" s="236">
        <v>204933</v>
      </c>
      <c r="U87" s="235">
        <v>32643</v>
      </c>
      <c r="V87" s="234">
        <v>264717</v>
      </c>
    </row>
    <row r="88" spans="1:22" s="4" customFormat="1" ht="15" x14ac:dyDescent="0.2">
      <c r="A88" s="250" t="s">
        <v>32</v>
      </c>
      <c r="B88" s="250" t="s">
        <v>110</v>
      </c>
      <c r="C88" s="250" t="s">
        <v>356</v>
      </c>
      <c r="D88" s="250" t="s">
        <v>357</v>
      </c>
      <c r="E88" s="249" t="s">
        <v>781</v>
      </c>
      <c r="F88" s="216" t="s">
        <v>358</v>
      </c>
      <c r="G88" s="248" t="s">
        <v>359</v>
      </c>
      <c r="H88" s="247" t="s">
        <v>768</v>
      </c>
      <c r="I88" s="246">
        <v>0</v>
      </c>
      <c r="J88" s="245">
        <v>0</v>
      </c>
      <c r="K88" s="244">
        <v>0</v>
      </c>
      <c r="L88" s="241">
        <v>0</v>
      </c>
      <c r="M88" s="243">
        <v>0</v>
      </c>
      <c r="N88" s="242">
        <v>0</v>
      </c>
      <c r="O88" s="241">
        <v>2024114</v>
      </c>
      <c r="P88" s="240">
        <v>3.194917329697245E-5</v>
      </c>
      <c r="Q88" s="239">
        <v>17250</v>
      </c>
      <c r="R88" s="238">
        <v>14053</v>
      </c>
      <c r="S88" s="237">
        <v>0</v>
      </c>
      <c r="T88" s="236">
        <v>14053</v>
      </c>
      <c r="U88" s="235">
        <v>17250</v>
      </c>
      <c r="V88" s="234">
        <v>31303</v>
      </c>
    </row>
    <row r="89" spans="1:22" s="4" customFormat="1" ht="15" x14ac:dyDescent="0.2">
      <c r="A89" s="250" t="s">
        <v>32</v>
      </c>
      <c r="B89" s="250" t="s">
        <v>110</v>
      </c>
      <c r="C89" s="250" t="s">
        <v>361</v>
      </c>
      <c r="D89" s="250" t="s">
        <v>362</v>
      </c>
      <c r="E89" s="249" t="s">
        <v>781</v>
      </c>
      <c r="F89" s="216" t="s">
        <v>363</v>
      </c>
      <c r="G89" s="248" t="s">
        <v>364</v>
      </c>
      <c r="H89" s="247" t="s">
        <v>769</v>
      </c>
      <c r="I89" s="246">
        <v>57</v>
      </c>
      <c r="J89" s="245">
        <v>26221</v>
      </c>
      <c r="K89" s="244">
        <v>84500</v>
      </c>
      <c r="L89" s="241">
        <v>250485</v>
      </c>
      <c r="M89" s="243">
        <v>2.5643101419454122E-5</v>
      </c>
      <c r="N89" s="242">
        <v>73217</v>
      </c>
      <c r="O89" s="241">
        <v>2752825</v>
      </c>
      <c r="P89" s="240">
        <v>4.3451348580780622E-5</v>
      </c>
      <c r="Q89" s="239">
        <v>23461</v>
      </c>
      <c r="R89" s="238">
        <v>19112</v>
      </c>
      <c r="S89" s="237">
        <v>26221</v>
      </c>
      <c r="T89" s="236">
        <v>176829</v>
      </c>
      <c r="U89" s="235">
        <v>23461</v>
      </c>
      <c r="V89" s="234">
        <v>226511</v>
      </c>
    </row>
    <row r="90" spans="1:22" s="4" customFormat="1" ht="15" x14ac:dyDescent="0.2">
      <c r="A90" s="250" t="s">
        <v>32</v>
      </c>
      <c r="B90" s="250" t="s">
        <v>33</v>
      </c>
      <c r="C90" s="250" t="s">
        <v>366</v>
      </c>
      <c r="D90" s="250" t="s">
        <v>367</v>
      </c>
      <c r="E90" s="249" t="s">
        <v>781</v>
      </c>
      <c r="F90" s="216" t="s">
        <v>368</v>
      </c>
      <c r="G90" s="248" t="s">
        <v>369</v>
      </c>
      <c r="H90" s="247" t="s">
        <v>769</v>
      </c>
      <c r="I90" s="246">
        <v>14</v>
      </c>
      <c r="J90" s="245">
        <v>6440</v>
      </c>
      <c r="K90" s="244">
        <v>20754</v>
      </c>
      <c r="L90" s="241">
        <v>599739</v>
      </c>
      <c r="M90" s="243">
        <v>6.1397560740970497E-5</v>
      </c>
      <c r="N90" s="242">
        <v>175304</v>
      </c>
      <c r="O90" s="241">
        <v>3326075</v>
      </c>
      <c r="P90" s="240">
        <v>5.2499684589765024E-5</v>
      </c>
      <c r="Q90" s="239">
        <v>28346</v>
      </c>
      <c r="R90" s="238">
        <v>23092</v>
      </c>
      <c r="S90" s="237">
        <v>6440</v>
      </c>
      <c r="T90" s="236">
        <v>219150</v>
      </c>
      <c r="U90" s="235">
        <v>28346</v>
      </c>
      <c r="V90" s="234">
        <v>253936</v>
      </c>
    </row>
    <row r="91" spans="1:22" s="4" customFormat="1" ht="15" x14ac:dyDescent="0.2">
      <c r="A91" s="250" t="s">
        <v>32</v>
      </c>
      <c r="B91" s="250" t="s">
        <v>110</v>
      </c>
      <c r="C91" s="250" t="s">
        <v>341</v>
      </c>
      <c r="D91" s="250" t="s">
        <v>342</v>
      </c>
      <c r="E91" s="249" t="s">
        <v>781</v>
      </c>
      <c r="F91" s="216" t="s">
        <v>343</v>
      </c>
      <c r="G91" s="248" t="s">
        <v>344</v>
      </c>
      <c r="H91" s="247" t="s">
        <v>769</v>
      </c>
      <c r="I91" s="246">
        <v>58</v>
      </c>
      <c r="J91" s="245">
        <v>26681</v>
      </c>
      <c r="K91" s="244">
        <v>85982</v>
      </c>
      <c r="L91" s="241">
        <v>325752</v>
      </c>
      <c r="M91" s="243">
        <v>3.3348470262051698E-5</v>
      </c>
      <c r="N91" s="242">
        <v>95217</v>
      </c>
      <c r="O91" s="241">
        <v>3885100</v>
      </c>
      <c r="P91" s="240">
        <v>6.1323489277811269E-5</v>
      </c>
      <c r="Q91" s="239">
        <v>33110</v>
      </c>
      <c r="R91" s="238">
        <v>26973</v>
      </c>
      <c r="S91" s="237">
        <v>26681</v>
      </c>
      <c r="T91" s="236">
        <v>208172</v>
      </c>
      <c r="U91" s="235">
        <v>33110</v>
      </c>
      <c r="V91" s="234">
        <v>267963</v>
      </c>
    </row>
    <row r="92" spans="1:22" s="4" customFormat="1" ht="30" x14ac:dyDescent="0.2">
      <c r="A92" s="250" t="s">
        <v>32</v>
      </c>
      <c r="B92" s="250" t="s">
        <v>110</v>
      </c>
      <c r="C92" s="250" t="s">
        <v>386</v>
      </c>
      <c r="D92" s="250" t="s">
        <v>387</v>
      </c>
      <c r="E92" s="249" t="s">
        <v>781</v>
      </c>
      <c r="F92" s="216" t="s">
        <v>388</v>
      </c>
      <c r="G92" s="248" t="s">
        <v>818</v>
      </c>
      <c r="H92" s="247" t="s">
        <v>769</v>
      </c>
      <c r="I92" s="246">
        <v>21</v>
      </c>
      <c r="J92" s="245">
        <v>9660</v>
      </c>
      <c r="K92" s="244">
        <v>31132</v>
      </c>
      <c r="L92" s="241">
        <v>317764</v>
      </c>
      <c r="M92" s="243">
        <v>3.253070834361906E-5</v>
      </c>
      <c r="N92" s="242">
        <v>92883</v>
      </c>
      <c r="O92" s="241">
        <v>1725425</v>
      </c>
      <c r="P92" s="240">
        <v>2.7234583791193918E-5</v>
      </c>
      <c r="Q92" s="239">
        <v>14705</v>
      </c>
      <c r="R92" s="238">
        <v>11979</v>
      </c>
      <c r="S92" s="237">
        <v>9660</v>
      </c>
      <c r="T92" s="236">
        <v>135994</v>
      </c>
      <c r="U92" s="235">
        <v>14705</v>
      </c>
      <c r="V92" s="234">
        <v>160359</v>
      </c>
    </row>
    <row r="93" spans="1:22" s="4" customFormat="1" ht="15" x14ac:dyDescent="0.2">
      <c r="A93" s="250" t="s">
        <v>32</v>
      </c>
      <c r="B93" s="250" t="s">
        <v>110</v>
      </c>
      <c r="C93" s="250" t="s">
        <v>885</v>
      </c>
      <c r="D93" s="250" t="s">
        <v>884</v>
      </c>
      <c r="E93" s="249" t="s">
        <v>781</v>
      </c>
      <c r="F93" s="216" t="s">
        <v>883</v>
      </c>
      <c r="G93" s="248" t="s">
        <v>882</v>
      </c>
      <c r="H93" s="247" t="s">
        <v>769</v>
      </c>
      <c r="I93" s="246">
        <v>17</v>
      </c>
      <c r="J93" s="245">
        <v>7820</v>
      </c>
      <c r="K93" s="244">
        <v>25202</v>
      </c>
      <c r="L93" s="241">
        <v>284341</v>
      </c>
      <c r="M93" s="243">
        <v>2.9109068809345888E-5</v>
      </c>
      <c r="N93" s="242">
        <v>83113</v>
      </c>
      <c r="O93" s="241">
        <v>1557136</v>
      </c>
      <c r="P93" s="240">
        <v>2.4578263828497058E-5</v>
      </c>
      <c r="Q93" s="239">
        <v>13270</v>
      </c>
      <c r="R93" s="238">
        <v>10811</v>
      </c>
      <c r="S93" s="237">
        <v>7820</v>
      </c>
      <c r="T93" s="236">
        <v>119126</v>
      </c>
      <c r="U93" s="235">
        <v>13270</v>
      </c>
      <c r="V93" s="234">
        <v>140216</v>
      </c>
    </row>
    <row r="94" spans="1:22" s="4" customFormat="1" ht="30" x14ac:dyDescent="0.2">
      <c r="A94" s="250" t="s">
        <v>32</v>
      </c>
      <c r="B94" s="250" t="s">
        <v>110</v>
      </c>
      <c r="C94" s="250" t="s">
        <v>381</v>
      </c>
      <c r="D94" s="250" t="s">
        <v>382</v>
      </c>
      <c r="E94" s="249" t="s">
        <v>781</v>
      </c>
      <c r="F94" s="216" t="s">
        <v>383</v>
      </c>
      <c r="G94" s="248" t="s">
        <v>384</v>
      </c>
      <c r="H94" s="247" t="s">
        <v>769</v>
      </c>
      <c r="I94" s="246">
        <v>75</v>
      </c>
      <c r="J94" s="245">
        <v>34501</v>
      </c>
      <c r="K94" s="244">
        <v>111184</v>
      </c>
      <c r="L94" s="241">
        <v>205507</v>
      </c>
      <c r="M94" s="243">
        <v>2.103853262034756E-5</v>
      </c>
      <c r="N94" s="242">
        <v>60070</v>
      </c>
      <c r="O94" s="241">
        <v>3561278</v>
      </c>
      <c r="P94" s="240">
        <v>5.6212193572444759E-5</v>
      </c>
      <c r="Q94" s="239">
        <v>30350</v>
      </c>
      <c r="R94" s="238">
        <v>24725</v>
      </c>
      <c r="S94" s="237">
        <v>34501</v>
      </c>
      <c r="T94" s="236">
        <v>195979</v>
      </c>
      <c r="U94" s="235">
        <v>30350</v>
      </c>
      <c r="V94" s="234">
        <v>260830</v>
      </c>
    </row>
    <row r="95" spans="1:22" s="4" customFormat="1" ht="30" x14ac:dyDescent="0.2">
      <c r="A95" s="250" t="s">
        <v>32</v>
      </c>
      <c r="B95" s="250" t="s">
        <v>110</v>
      </c>
      <c r="C95" s="250" t="s">
        <v>411</v>
      </c>
      <c r="D95" s="250" t="s">
        <v>412</v>
      </c>
      <c r="E95" s="249" t="s">
        <v>781</v>
      </c>
      <c r="F95" s="216" t="s">
        <v>413</v>
      </c>
      <c r="G95" s="248" t="s">
        <v>414</v>
      </c>
      <c r="H95" s="247" t="s">
        <v>769</v>
      </c>
      <c r="I95" s="246">
        <v>85</v>
      </c>
      <c r="J95" s="245">
        <v>39101</v>
      </c>
      <c r="K95" s="244">
        <v>126009</v>
      </c>
      <c r="L95" s="241">
        <v>568509</v>
      </c>
      <c r="M95" s="243">
        <v>5.8200426951204438E-5</v>
      </c>
      <c r="N95" s="242">
        <v>166175</v>
      </c>
      <c r="O95" s="241">
        <v>5189781</v>
      </c>
      <c r="P95" s="240">
        <v>8.1916933800336826E-5</v>
      </c>
      <c r="Q95" s="239">
        <v>44229</v>
      </c>
      <c r="R95" s="238">
        <v>36031</v>
      </c>
      <c r="S95" s="237">
        <v>39101</v>
      </c>
      <c r="T95" s="236">
        <v>328215</v>
      </c>
      <c r="U95" s="235">
        <v>44229</v>
      </c>
      <c r="V95" s="234">
        <v>411545</v>
      </c>
    </row>
    <row r="96" spans="1:22" s="4" customFormat="1" ht="15" x14ac:dyDescent="0.2">
      <c r="A96" s="250" t="s">
        <v>32</v>
      </c>
      <c r="B96" s="250" t="s">
        <v>110</v>
      </c>
      <c r="C96" s="250" t="s">
        <v>406</v>
      </c>
      <c r="D96" s="250" t="s">
        <v>407</v>
      </c>
      <c r="E96" s="249" t="s">
        <v>781</v>
      </c>
      <c r="F96" s="216" t="s">
        <v>408</v>
      </c>
      <c r="G96" s="248" t="s">
        <v>409</v>
      </c>
      <c r="H96" s="247" t="s">
        <v>769</v>
      </c>
      <c r="I96" s="246">
        <v>57</v>
      </c>
      <c r="J96" s="245">
        <v>26221</v>
      </c>
      <c r="K96" s="244">
        <v>84500</v>
      </c>
      <c r="L96" s="241">
        <v>612395</v>
      </c>
      <c r="M96" s="243">
        <v>6.2693203560159727E-5</v>
      </c>
      <c r="N96" s="242">
        <v>179003</v>
      </c>
      <c r="O96" s="241">
        <v>3326191</v>
      </c>
      <c r="P96" s="240">
        <v>5.250151556573893E-5</v>
      </c>
      <c r="Q96" s="239">
        <v>28347</v>
      </c>
      <c r="R96" s="238">
        <v>23092</v>
      </c>
      <c r="S96" s="237">
        <v>26221</v>
      </c>
      <c r="T96" s="236">
        <v>286595</v>
      </c>
      <c r="U96" s="235">
        <v>28347</v>
      </c>
      <c r="V96" s="234">
        <v>341163</v>
      </c>
    </row>
    <row r="97" spans="1:22" s="4" customFormat="1" ht="15" x14ac:dyDescent="0.2">
      <c r="A97" s="250" t="s">
        <v>32</v>
      </c>
      <c r="B97" s="250" t="s">
        <v>110</v>
      </c>
      <c r="C97" s="250" t="s">
        <v>416</v>
      </c>
      <c r="D97" s="250" t="s">
        <v>417</v>
      </c>
      <c r="E97" s="249" t="s">
        <v>781</v>
      </c>
      <c r="F97" s="216" t="s">
        <v>418</v>
      </c>
      <c r="G97" s="248" t="s">
        <v>419</v>
      </c>
      <c r="H97" s="247" t="s">
        <v>769</v>
      </c>
      <c r="I97" s="246">
        <v>98</v>
      </c>
      <c r="J97" s="245">
        <v>45081</v>
      </c>
      <c r="K97" s="244">
        <v>145281</v>
      </c>
      <c r="L97" s="241">
        <v>946227</v>
      </c>
      <c r="M97" s="243">
        <v>9.6868854130290511E-5</v>
      </c>
      <c r="N97" s="242">
        <v>276583</v>
      </c>
      <c r="O97" s="241">
        <v>6413849</v>
      </c>
      <c r="P97" s="240">
        <v>1.0123796051092649E-4</v>
      </c>
      <c r="Q97" s="239">
        <v>54661</v>
      </c>
      <c r="R97" s="238">
        <v>44529</v>
      </c>
      <c r="S97" s="237">
        <v>45081</v>
      </c>
      <c r="T97" s="236">
        <v>466393</v>
      </c>
      <c r="U97" s="235">
        <v>54661</v>
      </c>
      <c r="V97" s="234">
        <v>566135</v>
      </c>
    </row>
    <row r="98" spans="1:22" s="4" customFormat="1" ht="15" x14ac:dyDescent="0.2">
      <c r="A98" s="250" t="s">
        <v>32</v>
      </c>
      <c r="B98" s="250" t="s">
        <v>110</v>
      </c>
      <c r="C98" s="250" t="s">
        <v>441</v>
      </c>
      <c r="D98" s="250" t="s">
        <v>442</v>
      </c>
      <c r="E98" s="249" t="s">
        <v>781</v>
      </c>
      <c r="F98" s="216" t="s">
        <v>443</v>
      </c>
      <c r="G98" s="248" t="s">
        <v>444</v>
      </c>
      <c r="H98" s="247" t="s">
        <v>769</v>
      </c>
      <c r="I98" s="246">
        <v>65</v>
      </c>
      <c r="J98" s="245">
        <v>29901</v>
      </c>
      <c r="K98" s="244">
        <v>96360</v>
      </c>
      <c r="L98" s="241">
        <v>185016</v>
      </c>
      <c r="M98" s="243">
        <v>1.8940791074202941E-5</v>
      </c>
      <c r="N98" s="242">
        <v>54080</v>
      </c>
      <c r="O98" s="241">
        <v>3258358</v>
      </c>
      <c r="P98" s="240">
        <v>5.1430820796445534E-5</v>
      </c>
      <c r="Q98" s="239">
        <v>27769</v>
      </c>
      <c r="R98" s="238">
        <v>22622</v>
      </c>
      <c r="S98" s="237">
        <v>29901</v>
      </c>
      <c r="T98" s="236">
        <v>173062</v>
      </c>
      <c r="U98" s="235">
        <v>27769</v>
      </c>
      <c r="V98" s="234">
        <v>230732</v>
      </c>
    </row>
    <row r="99" spans="1:22" s="4" customFormat="1" ht="15" x14ac:dyDescent="0.2">
      <c r="A99" s="250" t="s">
        <v>32</v>
      </c>
      <c r="B99" s="250" t="s">
        <v>110</v>
      </c>
      <c r="C99" s="250" t="s">
        <v>436</v>
      </c>
      <c r="D99" s="250" t="s">
        <v>437</v>
      </c>
      <c r="E99" s="249" t="s">
        <v>781</v>
      </c>
      <c r="F99" s="216" t="s">
        <v>438</v>
      </c>
      <c r="G99" s="248" t="s">
        <v>439</v>
      </c>
      <c r="H99" s="247" t="s">
        <v>769</v>
      </c>
      <c r="I99" s="246">
        <v>53</v>
      </c>
      <c r="J99" s="245">
        <v>24381</v>
      </c>
      <c r="K99" s="244">
        <v>78570</v>
      </c>
      <c r="L99" s="241">
        <v>609269</v>
      </c>
      <c r="M99" s="243">
        <v>6.2373183059781601E-5</v>
      </c>
      <c r="N99" s="242">
        <v>178090</v>
      </c>
      <c r="O99" s="241">
        <v>3333843</v>
      </c>
      <c r="P99" s="240">
        <v>5.2622296842914248E-5</v>
      </c>
      <c r="Q99" s="239">
        <v>28412</v>
      </c>
      <c r="R99" s="238">
        <v>23146</v>
      </c>
      <c r="S99" s="237">
        <v>24381</v>
      </c>
      <c r="T99" s="236">
        <v>279806</v>
      </c>
      <c r="U99" s="235">
        <v>28412</v>
      </c>
      <c r="V99" s="234">
        <v>332599</v>
      </c>
    </row>
    <row r="100" spans="1:22" s="4" customFormat="1" ht="15" x14ac:dyDescent="0.2">
      <c r="A100" s="250" t="s">
        <v>32</v>
      </c>
      <c r="B100" s="250" t="s">
        <v>110</v>
      </c>
      <c r="C100" s="250" t="s">
        <v>456</v>
      </c>
      <c r="D100" s="250" t="s">
        <v>457</v>
      </c>
      <c r="E100" s="249" t="s">
        <v>781</v>
      </c>
      <c r="F100" s="216" t="s">
        <v>458</v>
      </c>
      <c r="G100" s="248" t="s">
        <v>459</v>
      </c>
      <c r="H100" s="247" t="s">
        <v>769</v>
      </c>
      <c r="I100" s="246">
        <v>229</v>
      </c>
      <c r="J100" s="245">
        <v>105343</v>
      </c>
      <c r="K100" s="244">
        <v>339482</v>
      </c>
      <c r="L100" s="241">
        <v>2214620</v>
      </c>
      <c r="M100" s="243">
        <v>2.2671906607402235E-4</v>
      </c>
      <c r="N100" s="242">
        <v>647334</v>
      </c>
      <c r="O100" s="241">
        <v>13573965</v>
      </c>
      <c r="P100" s="240">
        <v>2.1425520504874659E-4</v>
      </c>
      <c r="Q100" s="239">
        <v>115682</v>
      </c>
      <c r="R100" s="238">
        <v>94239</v>
      </c>
      <c r="S100" s="237">
        <v>105343</v>
      </c>
      <c r="T100" s="236">
        <v>1081055</v>
      </c>
      <c r="U100" s="235">
        <v>115682</v>
      </c>
      <c r="V100" s="234">
        <v>1302080</v>
      </c>
    </row>
    <row r="101" spans="1:22" s="4" customFormat="1" ht="15" x14ac:dyDescent="0.2">
      <c r="A101" s="250" t="s">
        <v>32</v>
      </c>
      <c r="B101" s="250" t="s">
        <v>110</v>
      </c>
      <c r="C101" s="250" t="s">
        <v>466</v>
      </c>
      <c r="D101" s="250" t="s">
        <v>467</v>
      </c>
      <c r="E101" s="249" t="s">
        <v>781</v>
      </c>
      <c r="F101" s="216" t="s">
        <v>468</v>
      </c>
      <c r="G101" s="248" t="s">
        <v>942</v>
      </c>
      <c r="H101" s="247" t="s">
        <v>769</v>
      </c>
      <c r="I101" s="246">
        <v>51</v>
      </c>
      <c r="J101" s="245">
        <v>23461</v>
      </c>
      <c r="K101" s="244">
        <v>75605</v>
      </c>
      <c r="L101" s="241">
        <v>525831</v>
      </c>
      <c r="M101" s="243">
        <v>5.3831317893259005E-5</v>
      </c>
      <c r="N101" s="242">
        <v>153701</v>
      </c>
      <c r="O101" s="241">
        <v>3738379</v>
      </c>
      <c r="P101" s="240">
        <v>5.9007604572056005E-5</v>
      </c>
      <c r="Q101" s="239">
        <v>31860</v>
      </c>
      <c r="R101" s="238">
        <v>25954</v>
      </c>
      <c r="S101" s="237">
        <v>23461</v>
      </c>
      <c r="T101" s="236">
        <v>255260</v>
      </c>
      <c r="U101" s="235">
        <v>31860</v>
      </c>
      <c r="V101" s="234">
        <v>310581</v>
      </c>
    </row>
    <row r="102" spans="1:22" s="4" customFormat="1" ht="30" x14ac:dyDescent="0.2">
      <c r="A102" s="250" t="s">
        <v>32</v>
      </c>
      <c r="B102" s="250" t="s">
        <v>110</v>
      </c>
      <c r="C102" s="250" t="s">
        <v>471</v>
      </c>
      <c r="D102" s="250" t="s">
        <v>472</v>
      </c>
      <c r="E102" s="249" t="s">
        <v>781</v>
      </c>
      <c r="F102" s="216" t="s">
        <v>473</v>
      </c>
      <c r="G102" s="248" t="s">
        <v>474</v>
      </c>
      <c r="H102" s="247" t="s">
        <v>769</v>
      </c>
      <c r="I102" s="246">
        <v>63</v>
      </c>
      <c r="J102" s="245">
        <v>28981</v>
      </c>
      <c r="K102" s="244">
        <v>93395</v>
      </c>
      <c r="L102" s="241">
        <v>123666</v>
      </c>
      <c r="M102" s="243">
        <v>1.2660158413231186E-5</v>
      </c>
      <c r="N102" s="242">
        <v>36148</v>
      </c>
      <c r="O102" s="241">
        <v>1812167</v>
      </c>
      <c r="P102" s="240">
        <v>2.8603743428509793E-5</v>
      </c>
      <c r="Q102" s="239">
        <v>15444</v>
      </c>
      <c r="R102" s="238">
        <v>12581</v>
      </c>
      <c r="S102" s="237">
        <v>28981</v>
      </c>
      <c r="T102" s="236">
        <v>142124</v>
      </c>
      <c r="U102" s="235">
        <v>15444</v>
      </c>
      <c r="V102" s="234">
        <v>186549</v>
      </c>
    </row>
    <row r="103" spans="1:22" s="4" customFormat="1" ht="15" x14ac:dyDescent="0.2">
      <c r="A103" s="250" t="s">
        <v>32</v>
      </c>
      <c r="B103" s="250" t="s">
        <v>110</v>
      </c>
      <c r="C103" s="250" t="s">
        <v>486</v>
      </c>
      <c r="D103" s="250" t="s">
        <v>487</v>
      </c>
      <c r="E103" s="249" t="s">
        <v>781</v>
      </c>
      <c r="F103" s="216" t="s">
        <v>488</v>
      </c>
      <c r="G103" s="248" t="s">
        <v>489</v>
      </c>
      <c r="H103" s="247" t="s">
        <v>769</v>
      </c>
      <c r="I103" s="246">
        <v>21</v>
      </c>
      <c r="J103" s="245">
        <v>9660</v>
      </c>
      <c r="K103" s="244">
        <v>31132</v>
      </c>
      <c r="L103" s="241">
        <v>60841</v>
      </c>
      <c r="M103" s="243">
        <v>6.228524396514795E-6</v>
      </c>
      <c r="N103" s="242">
        <v>17784</v>
      </c>
      <c r="O103" s="241">
        <v>2153041</v>
      </c>
      <c r="P103" s="240">
        <v>3.3984192602040624E-5</v>
      </c>
      <c r="Q103" s="239">
        <v>18349</v>
      </c>
      <c r="R103" s="238">
        <v>14948</v>
      </c>
      <c r="S103" s="237">
        <v>9660</v>
      </c>
      <c r="T103" s="236">
        <v>63864</v>
      </c>
      <c r="U103" s="235">
        <v>18349</v>
      </c>
      <c r="V103" s="234">
        <v>91873</v>
      </c>
    </row>
    <row r="104" spans="1:22" s="4" customFormat="1" ht="15" x14ac:dyDescent="0.2">
      <c r="A104" s="250" t="s">
        <v>32</v>
      </c>
      <c r="B104" s="250" t="s">
        <v>110</v>
      </c>
      <c r="C104" s="250" t="s">
        <v>505</v>
      </c>
      <c r="D104" s="250" t="s">
        <v>506</v>
      </c>
      <c r="E104" s="249" t="s">
        <v>781</v>
      </c>
      <c r="F104" s="216" t="s">
        <v>507</v>
      </c>
      <c r="G104" s="248" t="s">
        <v>508</v>
      </c>
      <c r="H104" s="247" t="s">
        <v>769</v>
      </c>
      <c r="I104" s="246">
        <v>14</v>
      </c>
      <c r="J104" s="245">
        <v>6440</v>
      </c>
      <c r="K104" s="244">
        <v>20754</v>
      </c>
      <c r="L104" s="241">
        <v>222301</v>
      </c>
      <c r="M104" s="243">
        <v>2.2757798226025794E-5</v>
      </c>
      <c r="N104" s="242">
        <v>64979</v>
      </c>
      <c r="O104" s="241">
        <v>1201688</v>
      </c>
      <c r="P104" s="240">
        <v>1.8967774621830702E-5</v>
      </c>
      <c r="Q104" s="239">
        <v>10241</v>
      </c>
      <c r="R104" s="238">
        <v>8343</v>
      </c>
      <c r="S104" s="237">
        <v>6440</v>
      </c>
      <c r="T104" s="236">
        <v>94076</v>
      </c>
      <c r="U104" s="235">
        <v>10241</v>
      </c>
      <c r="V104" s="234">
        <v>110757</v>
      </c>
    </row>
    <row r="105" spans="1:22" s="4" customFormat="1" ht="15" x14ac:dyDescent="0.2">
      <c r="A105" s="250" t="s">
        <v>32</v>
      </c>
      <c r="B105" s="250" t="s">
        <v>110</v>
      </c>
      <c r="C105" s="250" t="s">
        <v>525</v>
      </c>
      <c r="D105" s="250" t="s">
        <v>526</v>
      </c>
      <c r="E105" s="249" t="s">
        <v>781</v>
      </c>
      <c r="F105" s="216" t="s">
        <v>527</v>
      </c>
      <c r="G105" s="248" t="s">
        <v>528</v>
      </c>
      <c r="H105" s="247" t="s">
        <v>769</v>
      </c>
      <c r="I105" s="246">
        <v>30</v>
      </c>
      <c r="J105" s="245">
        <v>13800</v>
      </c>
      <c r="K105" s="244">
        <v>44474</v>
      </c>
      <c r="L105" s="241">
        <v>211160</v>
      </c>
      <c r="M105" s="243">
        <v>2.1617251714601406E-5</v>
      </c>
      <c r="N105" s="242">
        <v>61722</v>
      </c>
      <c r="O105" s="241">
        <v>2780016</v>
      </c>
      <c r="P105" s="240">
        <v>4.3880538819629803E-5</v>
      </c>
      <c r="Q105" s="239">
        <v>23692</v>
      </c>
      <c r="R105" s="238">
        <v>19301</v>
      </c>
      <c r="S105" s="237">
        <v>13800</v>
      </c>
      <c r="T105" s="236">
        <v>125497</v>
      </c>
      <c r="U105" s="235">
        <v>23692</v>
      </c>
      <c r="V105" s="234">
        <v>162989</v>
      </c>
    </row>
    <row r="106" spans="1:22" s="4" customFormat="1" ht="15" x14ac:dyDescent="0.2">
      <c r="A106" s="250" t="s">
        <v>32</v>
      </c>
      <c r="B106" s="250" t="s">
        <v>110</v>
      </c>
      <c r="C106" s="250" t="s">
        <v>496</v>
      </c>
      <c r="D106" s="250" t="s">
        <v>497</v>
      </c>
      <c r="E106" s="249" t="s">
        <v>781</v>
      </c>
      <c r="F106" s="216" t="s">
        <v>498</v>
      </c>
      <c r="G106" s="248" t="s">
        <v>499</v>
      </c>
      <c r="H106" s="247" t="s">
        <v>769</v>
      </c>
      <c r="I106" s="246">
        <v>78</v>
      </c>
      <c r="J106" s="245">
        <v>35881</v>
      </c>
      <c r="K106" s="244">
        <v>115632</v>
      </c>
      <c r="L106" s="241">
        <v>637306</v>
      </c>
      <c r="M106" s="243">
        <v>6.5243437304535721E-5</v>
      </c>
      <c r="N106" s="242">
        <v>186285</v>
      </c>
      <c r="O106" s="241">
        <v>4306732</v>
      </c>
      <c r="P106" s="240">
        <v>6.7978644983245393E-5</v>
      </c>
      <c r="Q106" s="239">
        <v>36703</v>
      </c>
      <c r="R106" s="238">
        <v>29900</v>
      </c>
      <c r="S106" s="237">
        <v>35881</v>
      </c>
      <c r="T106" s="236">
        <v>331817</v>
      </c>
      <c r="U106" s="235">
        <v>36703</v>
      </c>
      <c r="V106" s="234">
        <v>404401</v>
      </c>
    </row>
    <row r="107" spans="1:22" s="4" customFormat="1" ht="30" x14ac:dyDescent="0.2">
      <c r="A107" s="250" t="s">
        <v>32</v>
      </c>
      <c r="B107" s="250" t="s">
        <v>110</v>
      </c>
      <c r="C107" s="250" t="s">
        <v>879</v>
      </c>
      <c r="D107" s="250" t="s">
        <v>878</v>
      </c>
      <c r="E107" s="249" t="s">
        <v>781</v>
      </c>
      <c r="F107" s="216" t="s">
        <v>877</v>
      </c>
      <c r="G107" s="248" t="s">
        <v>817</v>
      </c>
      <c r="H107" s="247" t="s">
        <v>769</v>
      </c>
      <c r="I107" s="246">
        <v>17</v>
      </c>
      <c r="J107" s="245">
        <v>7820</v>
      </c>
      <c r="K107" s="244">
        <v>25202</v>
      </c>
      <c r="L107" s="241">
        <v>86182</v>
      </c>
      <c r="M107" s="243">
        <v>8.8227788751078724E-6</v>
      </c>
      <c r="N107" s="242">
        <v>25191</v>
      </c>
      <c r="O107" s="241">
        <v>565721</v>
      </c>
      <c r="P107" s="240">
        <v>8.9294961977124575E-6</v>
      </c>
      <c r="Q107" s="239">
        <v>4821</v>
      </c>
      <c r="R107" s="238">
        <v>3928</v>
      </c>
      <c r="S107" s="237">
        <v>7820</v>
      </c>
      <c r="T107" s="236">
        <v>54321</v>
      </c>
      <c r="U107" s="235">
        <v>4821</v>
      </c>
      <c r="V107" s="234">
        <v>66962</v>
      </c>
    </row>
    <row r="108" spans="1:22" s="4" customFormat="1" ht="15" x14ac:dyDescent="0.2">
      <c r="A108" s="250" t="s">
        <v>32</v>
      </c>
      <c r="B108" s="250" t="s">
        <v>110</v>
      </c>
      <c r="C108" s="250" t="s">
        <v>565</v>
      </c>
      <c r="D108" s="250" t="s">
        <v>566</v>
      </c>
      <c r="E108" s="249" t="s">
        <v>781</v>
      </c>
      <c r="F108" s="216" t="s">
        <v>567</v>
      </c>
      <c r="G108" s="248" t="s">
        <v>568</v>
      </c>
      <c r="H108" s="247" t="s">
        <v>769</v>
      </c>
      <c r="I108" s="246">
        <v>11</v>
      </c>
      <c r="J108" s="245">
        <v>5060</v>
      </c>
      <c r="K108" s="244">
        <v>16307</v>
      </c>
      <c r="L108" s="241">
        <v>201546</v>
      </c>
      <c r="M108" s="243">
        <v>2.0633029996547899E-5</v>
      </c>
      <c r="N108" s="242">
        <v>58912</v>
      </c>
      <c r="O108" s="241">
        <v>1311135</v>
      </c>
      <c r="P108" s="240">
        <v>2.06953162374876E-5</v>
      </c>
      <c r="Q108" s="239">
        <v>11174</v>
      </c>
      <c r="R108" s="238">
        <v>9103</v>
      </c>
      <c r="S108" s="237">
        <v>5060</v>
      </c>
      <c r="T108" s="236">
        <v>84322</v>
      </c>
      <c r="U108" s="235">
        <v>11174</v>
      </c>
      <c r="V108" s="234">
        <v>100556</v>
      </c>
    </row>
    <row r="109" spans="1:22" s="4" customFormat="1" ht="15" x14ac:dyDescent="0.2">
      <c r="A109" s="250" t="s">
        <v>32</v>
      </c>
      <c r="B109" s="250" t="s">
        <v>110</v>
      </c>
      <c r="C109" s="250" t="s">
        <v>560</v>
      </c>
      <c r="D109" s="250" t="s">
        <v>561</v>
      </c>
      <c r="E109" s="249" t="s">
        <v>781</v>
      </c>
      <c r="F109" s="216" t="s">
        <v>562</v>
      </c>
      <c r="G109" s="248" t="s">
        <v>815</v>
      </c>
      <c r="H109" s="247" t="s">
        <v>769</v>
      </c>
      <c r="I109" s="246">
        <v>39</v>
      </c>
      <c r="J109" s="245">
        <v>17940</v>
      </c>
      <c r="K109" s="244">
        <v>57816</v>
      </c>
      <c r="L109" s="241">
        <v>208699</v>
      </c>
      <c r="M109" s="243">
        <v>2.1365309791558999E-5</v>
      </c>
      <c r="N109" s="242">
        <v>61003</v>
      </c>
      <c r="O109" s="241">
        <v>2784597</v>
      </c>
      <c r="P109" s="240">
        <v>4.3952846586323494E-5</v>
      </c>
      <c r="Q109" s="239">
        <v>23731</v>
      </c>
      <c r="R109" s="238">
        <v>19332</v>
      </c>
      <c r="S109" s="237">
        <v>17940</v>
      </c>
      <c r="T109" s="236">
        <v>138151</v>
      </c>
      <c r="U109" s="235">
        <v>23731</v>
      </c>
      <c r="V109" s="234">
        <v>179822</v>
      </c>
    </row>
    <row r="110" spans="1:22" s="4" customFormat="1" ht="15" x14ac:dyDescent="0.2">
      <c r="A110" s="250" t="s">
        <v>32</v>
      </c>
      <c r="B110" s="250" t="s">
        <v>110</v>
      </c>
      <c r="C110" s="250" t="s">
        <v>570</v>
      </c>
      <c r="D110" s="250" t="s">
        <v>571</v>
      </c>
      <c r="E110" s="249" t="s">
        <v>781</v>
      </c>
      <c r="F110" s="216" t="s">
        <v>572</v>
      </c>
      <c r="G110" s="248" t="s">
        <v>573</v>
      </c>
      <c r="H110" s="247" t="s">
        <v>769</v>
      </c>
      <c r="I110" s="246">
        <v>53</v>
      </c>
      <c r="J110" s="245">
        <v>24381</v>
      </c>
      <c r="K110" s="244">
        <v>78570</v>
      </c>
      <c r="L110" s="241">
        <v>417144</v>
      </c>
      <c r="M110" s="243">
        <v>4.270461663778977E-5</v>
      </c>
      <c r="N110" s="242">
        <v>121931</v>
      </c>
      <c r="O110" s="241">
        <v>3734392</v>
      </c>
      <c r="P110" s="240">
        <v>5.8944672665090773E-5</v>
      </c>
      <c r="Q110" s="239">
        <v>31826</v>
      </c>
      <c r="R110" s="238">
        <v>25926</v>
      </c>
      <c r="S110" s="237">
        <v>24381</v>
      </c>
      <c r="T110" s="236">
        <v>226427</v>
      </c>
      <c r="U110" s="235">
        <v>31826</v>
      </c>
      <c r="V110" s="234">
        <v>282634</v>
      </c>
    </row>
    <row r="111" spans="1:22" s="4" customFormat="1" ht="15" x14ac:dyDescent="0.2">
      <c r="A111" s="250" t="s">
        <v>32</v>
      </c>
      <c r="B111" s="250" t="s">
        <v>110</v>
      </c>
      <c r="C111" s="250" t="s">
        <v>575</v>
      </c>
      <c r="D111" s="250" t="s">
        <v>576</v>
      </c>
      <c r="E111" s="249" t="s">
        <v>781</v>
      </c>
      <c r="F111" s="216" t="s">
        <v>577</v>
      </c>
      <c r="G111" s="248" t="s">
        <v>578</v>
      </c>
      <c r="H111" s="247" t="s">
        <v>768</v>
      </c>
      <c r="I111" s="246">
        <v>0</v>
      </c>
      <c r="J111" s="245">
        <v>0</v>
      </c>
      <c r="K111" s="244">
        <v>0</v>
      </c>
      <c r="L111" s="241">
        <v>0</v>
      </c>
      <c r="M111" s="243">
        <v>0</v>
      </c>
      <c r="N111" s="242">
        <v>0</v>
      </c>
      <c r="O111" s="241">
        <v>2458980</v>
      </c>
      <c r="P111" s="240">
        <v>3.8813218106188345E-5</v>
      </c>
      <c r="Q111" s="239">
        <v>20956</v>
      </c>
      <c r="R111" s="238">
        <v>17072</v>
      </c>
      <c r="S111" s="237">
        <v>0</v>
      </c>
      <c r="T111" s="236">
        <v>17072</v>
      </c>
      <c r="U111" s="235">
        <v>20956</v>
      </c>
      <c r="V111" s="234">
        <v>38028</v>
      </c>
    </row>
    <row r="112" spans="1:22" s="4" customFormat="1" ht="15" x14ac:dyDescent="0.2">
      <c r="A112" s="250" t="s">
        <v>32</v>
      </c>
      <c r="B112" s="250" t="s">
        <v>110</v>
      </c>
      <c r="C112" s="250" t="s">
        <v>431</v>
      </c>
      <c r="D112" s="250" t="s">
        <v>432</v>
      </c>
      <c r="E112" s="249" t="s">
        <v>781</v>
      </c>
      <c r="F112" s="216" t="s">
        <v>433</v>
      </c>
      <c r="G112" s="248" t="s">
        <v>434</v>
      </c>
      <c r="H112" s="247" t="s">
        <v>769</v>
      </c>
      <c r="I112" s="246">
        <v>100</v>
      </c>
      <c r="J112" s="245">
        <v>46001</v>
      </c>
      <c r="K112" s="244">
        <v>148246</v>
      </c>
      <c r="L112" s="241">
        <v>408051</v>
      </c>
      <c r="M112" s="243">
        <v>4.1773731669799286E-5</v>
      </c>
      <c r="N112" s="242">
        <v>119273</v>
      </c>
      <c r="O112" s="241">
        <v>5226797</v>
      </c>
      <c r="P112" s="240">
        <v>8.2501204547320815E-5</v>
      </c>
      <c r="Q112" s="239">
        <v>44545</v>
      </c>
      <c r="R112" s="238">
        <v>36288</v>
      </c>
      <c r="S112" s="237">
        <v>46001</v>
      </c>
      <c r="T112" s="236">
        <v>303807</v>
      </c>
      <c r="U112" s="235">
        <v>44545</v>
      </c>
      <c r="V112" s="234">
        <v>394353</v>
      </c>
    </row>
    <row r="113" spans="1:22" s="4" customFormat="1" ht="15" x14ac:dyDescent="0.2">
      <c r="A113" s="250" t="s">
        <v>32</v>
      </c>
      <c r="B113" s="250" t="s">
        <v>110</v>
      </c>
      <c r="C113" s="250" t="s">
        <v>491</v>
      </c>
      <c r="D113" s="250" t="s">
        <v>492</v>
      </c>
      <c r="E113" s="249" t="s">
        <v>781</v>
      </c>
      <c r="F113" s="216" t="s">
        <v>493</v>
      </c>
      <c r="G113" s="248" t="s">
        <v>494</v>
      </c>
      <c r="H113" s="247" t="s">
        <v>769</v>
      </c>
      <c r="I113" s="246">
        <v>77</v>
      </c>
      <c r="J113" s="245">
        <v>35421</v>
      </c>
      <c r="K113" s="244">
        <v>114149</v>
      </c>
      <c r="L113" s="241">
        <v>791208</v>
      </c>
      <c r="M113" s="243">
        <v>8.099896994983116E-5</v>
      </c>
      <c r="N113" s="242">
        <v>231270</v>
      </c>
      <c r="O113" s="241">
        <v>4481890</v>
      </c>
      <c r="P113" s="240">
        <v>7.0743387135293695E-5</v>
      </c>
      <c r="Q113" s="239">
        <v>38196</v>
      </c>
      <c r="R113" s="238">
        <v>31116</v>
      </c>
      <c r="S113" s="237">
        <v>35421</v>
      </c>
      <c r="T113" s="236">
        <v>376535</v>
      </c>
      <c r="U113" s="235">
        <v>38196</v>
      </c>
      <c r="V113" s="234">
        <v>450152</v>
      </c>
    </row>
    <row r="114" spans="1:22" s="4" customFormat="1" ht="30" x14ac:dyDescent="0.2">
      <c r="A114" s="250" t="s">
        <v>32</v>
      </c>
      <c r="B114" s="250" t="s">
        <v>110</v>
      </c>
      <c r="C114" s="250" t="s">
        <v>681</v>
      </c>
      <c r="D114" s="250" t="s">
        <v>682</v>
      </c>
      <c r="E114" s="249" t="s">
        <v>781</v>
      </c>
      <c r="F114" s="216" t="s">
        <v>683</v>
      </c>
      <c r="G114" s="248" t="s">
        <v>684</v>
      </c>
      <c r="H114" s="247" t="s">
        <v>768</v>
      </c>
      <c r="I114" s="246">
        <v>0</v>
      </c>
      <c r="J114" s="245">
        <v>0</v>
      </c>
      <c r="K114" s="244">
        <v>0</v>
      </c>
      <c r="L114" s="241">
        <v>0</v>
      </c>
      <c r="M114" s="243">
        <v>0</v>
      </c>
      <c r="N114" s="242">
        <v>0</v>
      </c>
      <c r="O114" s="241">
        <v>1108283</v>
      </c>
      <c r="P114" s="240">
        <v>1.7493444355944635E-5</v>
      </c>
      <c r="Q114" s="239">
        <v>9445</v>
      </c>
      <c r="R114" s="238">
        <v>7694</v>
      </c>
      <c r="S114" s="237">
        <v>0</v>
      </c>
      <c r="T114" s="236">
        <v>7694</v>
      </c>
      <c r="U114" s="235">
        <v>9445</v>
      </c>
      <c r="V114" s="234">
        <v>17139</v>
      </c>
    </row>
    <row r="115" spans="1:22" s="4" customFormat="1" ht="15" x14ac:dyDescent="0.2">
      <c r="A115" s="250" t="s">
        <v>32</v>
      </c>
      <c r="B115" s="250" t="s">
        <v>110</v>
      </c>
      <c r="C115" s="250" t="s">
        <v>161</v>
      </c>
      <c r="D115" s="250" t="s">
        <v>162</v>
      </c>
      <c r="E115" s="249" t="s">
        <v>781</v>
      </c>
      <c r="F115" s="216" t="s">
        <v>163</v>
      </c>
      <c r="G115" s="248" t="s">
        <v>164</v>
      </c>
      <c r="H115" s="247" t="s">
        <v>768</v>
      </c>
      <c r="I115" s="246">
        <v>0</v>
      </c>
      <c r="J115" s="245">
        <v>0</v>
      </c>
      <c r="K115" s="244">
        <v>0</v>
      </c>
      <c r="L115" s="241">
        <v>0</v>
      </c>
      <c r="M115" s="243">
        <v>0</v>
      </c>
      <c r="N115" s="242">
        <v>0</v>
      </c>
      <c r="O115" s="241">
        <v>18172150</v>
      </c>
      <c r="P115" s="240">
        <v>2.8683422451926025E-4</v>
      </c>
      <c r="Q115" s="239">
        <v>154869</v>
      </c>
      <c r="R115" s="238">
        <v>126162</v>
      </c>
      <c r="S115" s="237">
        <v>0</v>
      </c>
      <c r="T115" s="236">
        <v>126162</v>
      </c>
      <c r="U115" s="235">
        <v>154869</v>
      </c>
      <c r="V115" s="234">
        <v>281031</v>
      </c>
    </row>
    <row r="116" spans="1:22" s="4" customFormat="1" ht="15" x14ac:dyDescent="0.2">
      <c r="A116" s="250" t="s">
        <v>32</v>
      </c>
      <c r="B116" s="250" t="s">
        <v>110</v>
      </c>
      <c r="C116" s="250" t="s">
        <v>231</v>
      </c>
      <c r="D116" s="250" t="s">
        <v>232</v>
      </c>
      <c r="E116" s="249" t="s">
        <v>781</v>
      </c>
      <c r="F116" s="216" t="s">
        <v>233</v>
      </c>
      <c r="G116" s="248" t="s">
        <v>234</v>
      </c>
      <c r="H116" s="247" t="s">
        <v>769</v>
      </c>
      <c r="I116" s="246">
        <v>47</v>
      </c>
      <c r="J116" s="245">
        <v>21621</v>
      </c>
      <c r="K116" s="244">
        <v>69675</v>
      </c>
      <c r="L116" s="241">
        <v>1557861</v>
      </c>
      <c r="M116" s="243">
        <v>1.5948415122826604E-4</v>
      </c>
      <c r="N116" s="242">
        <v>455363</v>
      </c>
      <c r="O116" s="241">
        <v>8715835</v>
      </c>
      <c r="P116" s="240">
        <v>1.3757314204773934E-4</v>
      </c>
      <c r="Q116" s="239">
        <v>74279</v>
      </c>
      <c r="R116" s="238">
        <v>60511</v>
      </c>
      <c r="S116" s="237">
        <v>21621</v>
      </c>
      <c r="T116" s="236">
        <v>585549</v>
      </c>
      <c r="U116" s="235">
        <v>74279</v>
      </c>
      <c r="V116" s="234">
        <v>681449</v>
      </c>
    </row>
    <row r="117" spans="1:22" s="4" customFormat="1" ht="15" x14ac:dyDescent="0.2">
      <c r="A117" s="250" t="s">
        <v>32</v>
      </c>
      <c r="B117" s="250" t="s">
        <v>110</v>
      </c>
      <c r="C117" s="250" t="s">
        <v>261</v>
      </c>
      <c r="D117" s="250" t="s">
        <v>262</v>
      </c>
      <c r="E117" s="249" t="s">
        <v>781</v>
      </c>
      <c r="F117" s="216" t="s">
        <v>263</v>
      </c>
      <c r="G117" s="248" t="s">
        <v>264</v>
      </c>
      <c r="H117" s="247" t="s">
        <v>769</v>
      </c>
      <c r="I117" s="246">
        <v>70</v>
      </c>
      <c r="J117" s="245">
        <v>32201</v>
      </c>
      <c r="K117" s="244">
        <v>103772</v>
      </c>
      <c r="L117" s="241">
        <v>379345</v>
      </c>
      <c r="M117" s="243">
        <v>3.8834989352507432E-5</v>
      </c>
      <c r="N117" s="242">
        <v>110883</v>
      </c>
      <c r="O117" s="241">
        <v>4929712</v>
      </c>
      <c r="P117" s="240">
        <v>7.7811933019664232E-5</v>
      </c>
      <c r="Q117" s="239">
        <v>42013</v>
      </c>
      <c r="R117" s="238">
        <v>34225</v>
      </c>
      <c r="S117" s="237">
        <v>32201</v>
      </c>
      <c r="T117" s="236">
        <v>248880</v>
      </c>
      <c r="U117" s="235">
        <v>42013</v>
      </c>
      <c r="V117" s="234">
        <v>323094</v>
      </c>
    </row>
    <row r="118" spans="1:22" s="4" customFormat="1" ht="15" x14ac:dyDescent="0.2">
      <c r="A118" s="250" t="s">
        <v>32</v>
      </c>
      <c r="B118" s="250" t="s">
        <v>110</v>
      </c>
      <c r="C118" s="250" t="s">
        <v>286</v>
      </c>
      <c r="D118" s="250" t="s">
        <v>287</v>
      </c>
      <c r="E118" s="249" t="s">
        <v>781</v>
      </c>
      <c r="F118" s="216" t="s">
        <v>288</v>
      </c>
      <c r="G118" s="248" t="s">
        <v>289</v>
      </c>
      <c r="H118" s="247" t="s">
        <v>768</v>
      </c>
      <c r="I118" s="246">
        <v>0</v>
      </c>
      <c r="J118" s="245">
        <v>0</v>
      </c>
      <c r="K118" s="244">
        <v>0</v>
      </c>
      <c r="L118" s="241">
        <v>0</v>
      </c>
      <c r="M118" s="243">
        <v>0</v>
      </c>
      <c r="N118" s="242">
        <v>0</v>
      </c>
      <c r="O118" s="241">
        <v>6314422</v>
      </c>
      <c r="P118" s="240">
        <v>9.9668577337153625E-5</v>
      </c>
      <c r="Q118" s="239">
        <v>53814</v>
      </c>
      <c r="R118" s="238">
        <v>43839</v>
      </c>
      <c r="S118" s="237">
        <v>0</v>
      </c>
      <c r="T118" s="236">
        <v>43839</v>
      </c>
      <c r="U118" s="235">
        <v>53814</v>
      </c>
      <c r="V118" s="234">
        <v>97653</v>
      </c>
    </row>
    <row r="119" spans="1:22" s="4" customFormat="1" ht="15" x14ac:dyDescent="0.2">
      <c r="A119" s="250" t="s">
        <v>32</v>
      </c>
      <c r="B119" s="250" t="s">
        <v>110</v>
      </c>
      <c r="C119" s="250" t="s">
        <v>166</v>
      </c>
      <c r="D119" s="250" t="s">
        <v>167</v>
      </c>
      <c r="E119" s="249" t="s">
        <v>781</v>
      </c>
      <c r="F119" s="216" t="s">
        <v>168</v>
      </c>
      <c r="G119" s="248" t="s">
        <v>169</v>
      </c>
      <c r="H119" s="247" t="s">
        <v>769</v>
      </c>
      <c r="I119" s="246">
        <v>105</v>
      </c>
      <c r="J119" s="245">
        <v>48301</v>
      </c>
      <c r="K119" s="244">
        <v>155658</v>
      </c>
      <c r="L119" s="241">
        <v>1027771</v>
      </c>
      <c r="M119" s="243">
        <v>1.0521682331865695E-4</v>
      </c>
      <c r="N119" s="242">
        <v>300418</v>
      </c>
      <c r="O119" s="241">
        <v>6008727</v>
      </c>
      <c r="P119" s="240">
        <v>9.4843403196261371E-5</v>
      </c>
      <c r="Q119" s="239">
        <v>51208</v>
      </c>
      <c r="R119" s="238">
        <v>41716</v>
      </c>
      <c r="S119" s="237">
        <v>48301</v>
      </c>
      <c r="T119" s="236">
        <v>497792</v>
      </c>
      <c r="U119" s="235">
        <v>51208</v>
      </c>
      <c r="V119" s="234">
        <v>597301</v>
      </c>
    </row>
    <row r="120" spans="1:22" s="4" customFormat="1" ht="15" x14ac:dyDescent="0.2">
      <c r="A120" s="250" t="s">
        <v>32</v>
      </c>
      <c r="B120" s="250" t="s">
        <v>110</v>
      </c>
      <c r="C120" s="250" t="s">
        <v>376</v>
      </c>
      <c r="D120" s="250" t="s">
        <v>377</v>
      </c>
      <c r="E120" s="249" t="s">
        <v>781</v>
      </c>
      <c r="F120" s="216" t="s">
        <v>378</v>
      </c>
      <c r="G120" s="248" t="s">
        <v>379</v>
      </c>
      <c r="H120" s="247" t="s">
        <v>769</v>
      </c>
      <c r="I120" s="246">
        <v>82</v>
      </c>
      <c r="J120" s="245">
        <v>37721</v>
      </c>
      <c r="K120" s="244">
        <v>121561</v>
      </c>
      <c r="L120" s="241">
        <v>973110</v>
      </c>
      <c r="M120" s="243">
        <v>9.9620969009262043E-5</v>
      </c>
      <c r="N120" s="242">
        <v>284440</v>
      </c>
      <c r="O120" s="241">
        <v>5854771</v>
      </c>
      <c r="P120" s="240">
        <v>9.2413319256271482E-5</v>
      </c>
      <c r="Q120" s="239">
        <v>49896</v>
      </c>
      <c r="R120" s="238">
        <v>40647</v>
      </c>
      <c r="S120" s="237">
        <v>37721</v>
      </c>
      <c r="T120" s="236">
        <v>446648</v>
      </c>
      <c r="U120" s="235">
        <v>49896</v>
      </c>
      <c r="V120" s="234">
        <v>534265</v>
      </c>
    </row>
    <row r="121" spans="1:22" s="4" customFormat="1" ht="15" x14ac:dyDescent="0.2">
      <c r="A121" s="250" t="s">
        <v>32</v>
      </c>
      <c r="B121" s="250" t="s">
        <v>110</v>
      </c>
      <c r="C121" s="250" t="s">
        <v>171</v>
      </c>
      <c r="D121" s="250" t="s">
        <v>172</v>
      </c>
      <c r="E121" s="249" t="s">
        <v>781</v>
      </c>
      <c r="F121" s="216" t="s">
        <v>173</v>
      </c>
      <c r="G121" s="248" t="s">
        <v>174</v>
      </c>
      <c r="H121" s="247" t="s">
        <v>769</v>
      </c>
      <c r="I121" s="246">
        <v>53</v>
      </c>
      <c r="J121" s="245">
        <v>24381</v>
      </c>
      <c r="K121" s="244">
        <v>78570</v>
      </c>
      <c r="L121" s="241">
        <v>683073</v>
      </c>
      <c r="M121" s="243">
        <v>6.9928779032240598E-5</v>
      </c>
      <c r="N121" s="242">
        <v>199663</v>
      </c>
      <c r="O121" s="241">
        <v>4026551</v>
      </c>
      <c r="P121" s="240">
        <v>6.3556190850958842E-5</v>
      </c>
      <c r="Q121" s="239">
        <v>34316</v>
      </c>
      <c r="R121" s="238">
        <v>27955</v>
      </c>
      <c r="S121" s="237">
        <v>24381</v>
      </c>
      <c r="T121" s="236">
        <v>306188</v>
      </c>
      <c r="U121" s="235">
        <v>34316</v>
      </c>
      <c r="V121" s="234">
        <v>364885</v>
      </c>
    </row>
    <row r="122" spans="1:22" s="4" customFormat="1" ht="15" x14ac:dyDescent="0.2">
      <c r="A122" s="250" t="s">
        <v>32</v>
      </c>
      <c r="B122" s="250" t="s">
        <v>110</v>
      </c>
      <c r="C122" s="250" t="s">
        <v>391</v>
      </c>
      <c r="D122" s="250" t="s">
        <v>392</v>
      </c>
      <c r="E122" s="249" t="s">
        <v>781</v>
      </c>
      <c r="F122" s="216" t="s">
        <v>393</v>
      </c>
      <c r="G122" s="248" t="s">
        <v>394</v>
      </c>
      <c r="H122" s="247" t="s">
        <v>769</v>
      </c>
      <c r="I122" s="246">
        <v>16</v>
      </c>
      <c r="J122" s="245">
        <v>7360</v>
      </c>
      <c r="K122" s="244">
        <v>23719</v>
      </c>
      <c r="L122" s="241">
        <v>563654</v>
      </c>
      <c r="M122" s="243">
        <v>5.7703402149753459E-5</v>
      </c>
      <c r="N122" s="242">
        <v>164756</v>
      </c>
      <c r="O122" s="241">
        <v>3104010</v>
      </c>
      <c r="P122" s="240">
        <v>4.8994549420405891E-5</v>
      </c>
      <c r="Q122" s="239">
        <v>26453</v>
      </c>
      <c r="R122" s="238">
        <v>21550</v>
      </c>
      <c r="S122" s="237">
        <v>7360</v>
      </c>
      <c r="T122" s="236">
        <v>210025</v>
      </c>
      <c r="U122" s="235">
        <v>26453</v>
      </c>
      <c r="V122" s="234">
        <v>243838</v>
      </c>
    </row>
    <row r="123" spans="1:22" s="4" customFormat="1" ht="15" x14ac:dyDescent="0.2">
      <c r="A123" s="250" t="s">
        <v>32</v>
      </c>
      <c r="B123" s="250" t="s">
        <v>110</v>
      </c>
      <c r="C123" s="250" t="s">
        <v>176</v>
      </c>
      <c r="D123" s="250" t="s">
        <v>177</v>
      </c>
      <c r="E123" s="249" t="s">
        <v>781</v>
      </c>
      <c r="F123" s="216" t="s">
        <v>178</v>
      </c>
      <c r="G123" s="248" t="s">
        <v>179</v>
      </c>
      <c r="H123" s="247" t="s">
        <v>769</v>
      </c>
      <c r="I123" s="246">
        <v>191</v>
      </c>
      <c r="J123" s="245">
        <v>87862</v>
      </c>
      <c r="K123" s="244">
        <v>283149</v>
      </c>
      <c r="L123" s="241">
        <v>2611818</v>
      </c>
      <c r="M123" s="243">
        <v>2.6738173488694266E-4</v>
      </c>
      <c r="N123" s="242">
        <v>763436</v>
      </c>
      <c r="O123" s="241">
        <v>18307838</v>
      </c>
      <c r="P123" s="240">
        <v>2.8897596131191106E-4</v>
      </c>
      <c r="Q123" s="239">
        <v>156026</v>
      </c>
      <c r="R123" s="238">
        <v>127104</v>
      </c>
      <c r="S123" s="237">
        <v>87862</v>
      </c>
      <c r="T123" s="236">
        <v>1173689</v>
      </c>
      <c r="U123" s="235">
        <v>156026</v>
      </c>
      <c r="V123" s="234">
        <v>1417577</v>
      </c>
    </row>
    <row r="124" spans="1:22" s="4" customFormat="1" ht="15" x14ac:dyDescent="0.2">
      <c r="A124" s="250" t="s">
        <v>32</v>
      </c>
      <c r="B124" s="250" t="s">
        <v>110</v>
      </c>
      <c r="C124" s="250" t="s">
        <v>201</v>
      </c>
      <c r="D124" s="250" t="s">
        <v>202</v>
      </c>
      <c r="E124" s="249" t="s">
        <v>781</v>
      </c>
      <c r="F124" s="216" t="s">
        <v>203</v>
      </c>
      <c r="G124" s="248" t="s">
        <v>204</v>
      </c>
      <c r="H124" s="247" t="s">
        <v>769</v>
      </c>
      <c r="I124" s="246">
        <v>18</v>
      </c>
      <c r="J124" s="245">
        <v>8280</v>
      </c>
      <c r="K124" s="244">
        <v>26684</v>
      </c>
      <c r="L124" s="241">
        <v>254171</v>
      </c>
      <c r="M124" s="243">
        <v>2.6020451248114953E-5</v>
      </c>
      <c r="N124" s="242">
        <v>74294</v>
      </c>
      <c r="O124" s="241">
        <v>1473574</v>
      </c>
      <c r="P124" s="240">
        <v>2.3259298187707255E-5</v>
      </c>
      <c r="Q124" s="239">
        <v>12558</v>
      </c>
      <c r="R124" s="238">
        <v>10230</v>
      </c>
      <c r="S124" s="237">
        <v>8280</v>
      </c>
      <c r="T124" s="236">
        <v>111208</v>
      </c>
      <c r="U124" s="235">
        <v>12558</v>
      </c>
      <c r="V124" s="234">
        <v>132046</v>
      </c>
    </row>
    <row r="125" spans="1:22" s="4" customFormat="1" ht="15" x14ac:dyDescent="0.2">
      <c r="A125" s="250" t="s">
        <v>32</v>
      </c>
      <c r="B125" s="250" t="s">
        <v>110</v>
      </c>
      <c r="C125" s="250" t="s">
        <v>196</v>
      </c>
      <c r="D125" s="250" t="s">
        <v>197</v>
      </c>
      <c r="E125" s="249" t="s">
        <v>781</v>
      </c>
      <c r="F125" s="216" t="s">
        <v>198</v>
      </c>
      <c r="G125" s="248" t="s">
        <v>199</v>
      </c>
      <c r="H125" s="247" t="s">
        <v>769</v>
      </c>
      <c r="I125" s="246">
        <v>40</v>
      </c>
      <c r="J125" s="245">
        <v>18400</v>
      </c>
      <c r="K125" s="244">
        <v>59298</v>
      </c>
      <c r="L125" s="241">
        <v>83753</v>
      </c>
      <c r="M125" s="243">
        <v>8.5741129136816222E-6</v>
      </c>
      <c r="N125" s="242">
        <v>24481</v>
      </c>
      <c r="O125" s="241">
        <v>1965843</v>
      </c>
      <c r="P125" s="240">
        <v>3.1029407771321284E-5</v>
      </c>
      <c r="Q125" s="239">
        <v>16754</v>
      </c>
      <c r="R125" s="238">
        <v>13648</v>
      </c>
      <c r="S125" s="237">
        <v>18400</v>
      </c>
      <c r="T125" s="236">
        <v>97427</v>
      </c>
      <c r="U125" s="235">
        <v>16754</v>
      </c>
      <c r="V125" s="234">
        <v>132581</v>
      </c>
    </row>
    <row r="126" spans="1:22" s="4" customFormat="1" ht="15" x14ac:dyDescent="0.2">
      <c r="A126" s="250" t="s">
        <v>32</v>
      </c>
      <c r="B126" s="250" t="s">
        <v>110</v>
      </c>
      <c r="C126" s="250" t="s">
        <v>251</v>
      </c>
      <c r="D126" s="250" t="s">
        <v>252</v>
      </c>
      <c r="E126" s="249" t="s">
        <v>781</v>
      </c>
      <c r="F126" s="216" t="s">
        <v>253</v>
      </c>
      <c r="G126" s="248" t="s">
        <v>254</v>
      </c>
      <c r="H126" s="247" t="s">
        <v>769</v>
      </c>
      <c r="I126" s="246">
        <v>19</v>
      </c>
      <c r="J126" s="245">
        <v>8740</v>
      </c>
      <c r="K126" s="244">
        <v>28167</v>
      </c>
      <c r="L126" s="241">
        <v>182603</v>
      </c>
      <c r="M126" s="243">
        <v>1.869376309358477E-5</v>
      </c>
      <c r="N126" s="242">
        <v>53375</v>
      </c>
      <c r="O126" s="241">
        <v>1085506</v>
      </c>
      <c r="P126" s="240">
        <v>1.713392590975774E-5</v>
      </c>
      <c r="Q126" s="239">
        <v>9251</v>
      </c>
      <c r="R126" s="238">
        <v>7536</v>
      </c>
      <c r="S126" s="237">
        <v>8740</v>
      </c>
      <c r="T126" s="236">
        <v>89078</v>
      </c>
      <c r="U126" s="235">
        <v>9251</v>
      </c>
      <c r="V126" s="234">
        <v>107069</v>
      </c>
    </row>
    <row r="127" spans="1:22" s="4" customFormat="1" ht="15" x14ac:dyDescent="0.2">
      <c r="A127" s="250" t="s">
        <v>32</v>
      </c>
      <c r="B127" s="250" t="s">
        <v>110</v>
      </c>
      <c r="C127" s="250" t="s">
        <v>266</v>
      </c>
      <c r="D127" s="250" t="s">
        <v>267</v>
      </c>
      <c r="E127" s="249" t="s">
        <v>781</v>
      </c>
      <c r="F127" s="216" t="s">
        <v>268</v>
      </c>
      <c r="G127" s="248" t="s">
        <v>269</v>
      </c>
      <c r="H127" s="247" t="s">
        <v>769</v>
      </c>
      <c r="I127" s="246">
        <v>51</v>
      </c>
      <c r="J127" s="245">
        <v>23461</v>
      </c>
      <c r="K127" s="244">
        <v>75605</v>
      </c>
      <c r="L127" s="241">
        <v>247495</v>
      </c>
      <c r="M127" s="243">
        <v>2.533700375594466E-5</v>
      </c>
      <c r="N127" s="242">
        <v>72343</v>
      </c>
      <c r="O127" s="241">
        <v>3140145</v>
      </c>
      <c r="P127" s="240">
        <v>4.9564914220553565E-5</v>
      </c>
      <c r="Q127" s="239">
        <v>26761</v>
      </c>
      <c r="R127" s="238">
        <v>21801</v>
      </c>
      <c r="S127" s="237">
        <v>23461</v>
      </c>
      <c r="T127" s="236">
        <v>169749</v>
      </c>
      <c r="U127" s="235">
        <v>26761</v>
      </c>
      <c r="V127" s="234">
        <v>219971</v>
      </c>
    </row>
    <row r="128" spans="1:22" s="4" customFormat="1" ht="15" x14ac:dyDescent="0.2">
      <c r="A128" s="250" t="s">
        <v>32</v>
      </c>
      <c r="B128" s="250" t="s">
        <v>110</v>
      </c>
      <c r="C128" s="250" t="s">
        <v>276</v>
      </c>
      <c r="D128" s="250" t="s">
        <v>277</v>
      </c>
      <c r="E128" s="249" t="s">
        <v>781</v>
      </c>
      <c r="F128" s="216" t="s">
        <v>278</v>
      </c>
      <c r="G128" s="248" t="s">
        <v>279</v>
      </c>
      <c r="H128" s="247" t="s">
        <v>769</v>
      </c>
      <c r="I128" s="246">
        <v>89</v>
      </c>
      <c r="J128" s="245">
        <v>40941</v>
      </c>
      <c r="K128" s="244">
        <v>131939</v>
      </c>
      <c r="L128" s="241">
        <v>362696</v>
      </c>
      <c r="M128" s="243">
        <v>3.7130567947902397E-5</v>
      </c>
      <c r="N128" s="242">
        <v>106016</v>
      </c>
      <c r="O128" s="241">
        <v>4912323</v>
      </c>
      <c r="P128" s="240">
        <v>7.7537460250610193E-5</v>
      </c>
      <c r="Q128" s="239">
        <v>41864</v>
      </c>
      <c r="R128" s="238">
        <v>34104</v>
      </c>
      <c r="S128" s="237">
        <v>40941</v>
      </c>
      <c r="T128" s="236">
        <v>272059</v>
      </c>
      <c r="U128" s="235">
        <v>41864</v>
      </c>
      <c r="V128" s="234">
        <v>354864</v>
      </c>
    </row>
    <row r="129" spans="1:22" s="4" customFormat="1" ht="15" x14ac:dyDescent="0.2">
      <c r="A129" s="250" t="s">
        <v>32</v>
      </c>
      <c r="B129" s="250" t="s">
        <v>110</v>
      </c>
      <c r="C129" s="250" t="s">
        <v>291</v>
      </c>
      <c r="D129" s="250" t="s">
        <v>292</v>
      </c>
      <c r="E129" s="249" t="s">
        <v>781</v>
      </c>
      <c r="F129" s="216" t="s">
        <v>293</v>
      </c>
      <c r="G129" s="248" t="s">
        <v>294</v>
      </c>
      <c r="H129" s="247" t="s">
        <v>769</v>
      </c>
      <c r="I129" s="246">
        <v>44</v>
      </c>
      <c r="J129" s="245">
        <v>20240</v>
      </c>
      <c r="K129" s="244">
        <v>65228</v>
      </c>
      <c r="L129" s="241">
        <v>500573</v>
      </c>
      <c r="M129" s="243">
        <v>5.124556044010783E-5</v>
      </c>
      <c r="N129" s="242">
        <v>146318</v>
      </c>
      <c r="O129" s="241">
        <v>2733880</v>
      </c>
      <c r="P129" s="240">
        <v>4.3152315478835204E-5</v>
      </c>
      <c r="Q129" s="239">
        <v>23299</v>
      </c>
      <c r="R129" s="238">
        <v>18980</v>
      </c>
      <c r="S129" s="237">
        <v>20240</v>
      </c>
      <c r="T129" s="236">
        <v>230526</v>
      </c>
      <c r="U129" s="235">
        <v>23299</v>
      </c>
      <c r="V129" s="234">
        <v>274065</v>
      </c>
    </row>
    <row r="130" spans="1:22" s="4" customFormat="1" ht="30" x14ac:dyDescent="0.2">
      <c r="A130" s="250" t="s">
        <v>32</v>
      </c>
      <c r="B130" s="250" t="s">
        <v>110</v>
      </c>
      <c r="C130" s="250" t="s">
        <v>306</v>
      </c>
      <c r="D130" s="250" t="s">
        <v>307</v>
      </c>
      <c r="E130" s="249" t="s">
        <v>781</v>
      </c>
      <c r="F130" s="216" t="s">
        <v>308</v>
      </c>
      <c r="G130" s="248" t="s">
        <v>309</v>
      </c>
      <c r="H130" s="247" t="s">
        <v>769</v>
      </c>
      <c r="I130" s="246">
        <v>70</v>
      </c>
      <c r="J130" s="245">
        <v>32201</v>
      </c>
      <c r="K130" s="244">
        <v>103772</v>
      </c>
      <c r="L130" s="241">
        <v>552144</v>
      </c>
      <c r="M130" s="243">
        <v>5.6525079705942779E-5</v>
      </c>
      <c r="N130" s="242">
        <v>161392</v>
      </c>
      <c r="O130" s="241">
        <v>7051017</v>
      </c>
      <c r="P130" s="240">
        <v>1.1129519585008493E-4</v>
      </c>
      <c r="Q130" s="239">
        <v>60091</v>
      </c>
      <c r="R130" s="238">
        <v>48953</v>
      </c>
      <c r="S130" s="237">
        <v>32201</v>
      </c>
      <c r="T130" s="236">
        <v>314117</v>
      </c>
      <c r="U130" s="235">
        <v>60091</v>
      </c>
      <c r="V130" s="234">
        <v>406409</v>
      </c>
    </row>
    <row r="131" spans="1:22" s="4" customFormat="1" ht="15" x14ac:dyDescent="0.2">
      <c r="A131" s="250" t="s">
        <v>32</v>
      </c>
      <c r="B131" s="250" t="s">
        <v>113</v>
      </c>
      <c r="C131" s="250" t="s">
        <v>26</v>
      </c>
      <c r="D131" s="250" t="s">
        <v>27</v>
      </c>
      <c r="E131" s="249" t="s">
        <v>27</v>
      </c>
      <c r="F131" s="216" t="s">
        <v>113</v>
      </c>
      <c r="G131" s="248" t="s">
        <v>114</v>
      </c>
      <c r="H131" s="247" t="s">
        <v>769</v>
      </c>
      <c r="I131" s="246">
        <v>1423</v>
      </c>
      <c r="J131" s="245">
        <v>654596</v>
      </c>
      <c r="K131" s="244">
        <v>2109534</v>
      </c>
      <c r="L131" s="241">
        <v>3046419</v>
      </c>
      <c r="M131" s="243">
        <v>3.1187349096014537E-4</v>
      </c>
      <c r="N131" s="242">
        <v>890470</v>
      </c>
      <c r="O131" s="241">
        <v>120192713</v>
      </c>
      <c r="P131" s="240">
        <v>1.8971549115663808E-3</v>
      </c>
      <c r="Q131" s="239">
        <v>1024323</v>
      </c>
      <c r="R131" s="238">
        <v>834452</v>
      </c>
      <c r="S131" s="237">
        <v>654596</v>
      </c>
      <c r="T131" s="236">
        <v>3834456</v>
      </c>
      <c r="U131" s="235">
        <v>1024323</v>
      </c>
      <c r="V131" s="234">
        <v>5513375</v>
      </c>
    </row>
    <row r="132" spans="1:22" s="4" customFormat="1" ht="15" x14ac:dyDescent="0.2">
      <c r="A132" s="250" t="s">
        <v>32</v>
      </c>
      <c r="B132" s="250" t="s">
        <v>116</v>
      </c>
      <c r="C132" s="250" t="s">
        <v>26</v>
      </c>
      <c r="D132" s="250" t="s">
        <v>27</v>
      </c>
      <c r="E132" s="249" t="s">
        <v>27</v>
      </c>
      <c r="F132" s="216" t="s">
        <v>116</v>
      </c>
      <c r="G132" s="248" t="s">
        <v>117</v>
      </c>
      <c r="H132" s="247" t="s">
        <v>769</v>
      </c>
      <c r="I132" s="246">
        <v>56</v>
      </c>
      <c r="J132" s="245">
        <v>25761</v>
      </c>
      <c r="K132" s="244">
        <v>83018</v>
      </c>
      <c r="L132" s="241">
        <v>245279</v>
      </c>
      <c r="M132" s="243">
        <v>2.511014341402594E-5</v>
      </c>
      <c r="N132" s="242">
        <v>71695</v>
      </c>
      <c r="O132" s="241">
        <v>4941113</v>
      </c>
      <c r="P132" s="240">
        <v>7.7991889546203143E-5</v>
      </c>
      <c r="Q132" s="239">
        <v>42110</v>
      </c>
      <c r="R132" s="238">
        <v>34304</v>
      </c>
      <c r="S132" s="237">
        <v>25761</v>
      </c>
      <c r="T132" s="236">
        <v>189017</v>
      </c>
      <c r="U132" s="235">
        <v>42110</v>
      </c>
      <c r="V132" s="234">
        <v>256888</v>
      </c>
    </row>
    <row r="133" spans="1:22" s="4" customFormat="1" ht="15" x14ac:dyDescent="0.2">
      <c r="A133" s="250" t="s">
        <v>32</v>
      </c>
      <c r="B133" s="250" t="s">
        <v>119</v>
      </c>
      <c r="C133" s="250" t="s">
        <v>26</v>
      </c>
      <c r="D133" s="250" t="s">
        <v>27</v>
      </c>
      <c r="E133" s="249" t="s">
        <v>27</v>
      </c>
      <c r="F133" s="216" t="s">
        <v>119</v>
      </c>
      <c r="G133" s="248" t="s">
        <v>120</v>
      </c>
      <c r="H133" s="247" t="s">
        <v>769</v>
      </c>
      <c r="I133" s="246">
        <v>1095</v>
      </c>
      <c r="J133" s="245">
        <v>503712</v>
      </c>
      <c r="K133" s="244">
        <v>1623289</v>
      </c>
      <c r="L133" s="241">
        <v>4592542</v>
      </c>
      <c r="M133" s="243">
        <v>4.7015597851808561E-4</v>
      </c>
      <c r="N133" s="242">
        <v>1342402</v>
      </c>
      <c r="O133" s="241">
        <v>59531686</v>
      </c>
      <c r="P133" s="240">
        <v>9.3966454096703483E-4</v>
      </c>
      <c r="Q133" s="239">
        <v>507349</v>
      </c>
      <c r="R133" s="238">
        <v>413306</v>
      </c>
      <c r="S133" s="237">
        <v>503712</v>
      </c>
      <c r="T133" s="236">
        <v>3378997</v>
      </c>
      <c r="U133" s="235">
        <v>507349</v>
      </c>
      <c r="V133" s="234">
        <v>4390058</v>
      </c>
    </row>
    <row r="134" spans="1:22" s="4" customFormat="1" ht="15" x14ac:dyDescent="0.2">
      <c r="A134" s="250" t="s">
        <v>32</v>
      </c>
      <c r="B134" s="250" t="s">
        <v>122</v>
      </c>
      <c r="C134" s="250" t="s">
        <v>26</v>
      </c>
      <c r="D134" s="250" t="s">
        <v>27</v>
      </c>
      <c r="E134" s="249" t="s">
        <v>27</v>
      </c>
      <c r="F134" s="216" t="s">
        <v>122</v>
      </c>
      <c r="G134" s="248" t="s">
        <v>123</v>
      </c>
      <c r="H134" s="247" t="s">
        <v>769</v>
      </c>
      <c r="I134" s="246">
        <v>631</v>
      </c>
      <c r="J134" s="245">
        <v>290267</v>
      </c>
      <c r="K134" s="244">
        <v>935430</v>
      </c>
      <c r="L134" s="241">
        <v>11186146</v>
      </c>
      <c r="M134" s="243">
        <v>1.1451682790219815E-3</v>
      </c>
      <c r="N134" s="242">
        <v>3269715</v>
      </c>
      <c r="O134" s="241">
        <v>46832352</v>
      </c>
      <c r="P134" s="240">
        <v>7.392147527030663E-4</v>
      </c>
      <c r="Q134" s="239">
        <v>399121</v>
      </c>
      <c r="R134" s="238">
        <v>325139</v>
      </c>
      <c r="S134" s="237">
        <v>290267</v>
      </c>
      <c r="T134" s="236">
        <v>4530284</v>
      </c>
      <c r="U134" s="235">
        <v>399121</v>
      </c>
      <c r="V134" s="234">
        <v>5219672</v>
      </c>
    </row>
    <row r="135" spans="1:22" s="4" customFormat="1" ht="15" x14ac:dyDescent="0.2">
      <c r="A135" s="250" t="s">
        <v>32</v>
      </c>
      <c r="B135" s="250" t="s">
        <v>125</v>
      </c>
      <c r="C135" s="250" t="s">
        <v>26</v>
      </c>
      <c r="D135" s="250" t="s">
        <v>27</v>
      </c>
      <c r="E135" s="249" t="s">
        <v>27</v>
      </c>
      <c r="F135" s="216" t="s">
        <v>125</v>
      </c>
      <c r="G135" s="248" t="s">
        <v>126</v>
      </c>
      <c r="H135" s="247" t="s">
        <v>769</v>
      </c>
      <c r="I135" s="246">
        <v>315</v>
      </c>
      <c r="J135" s="245">
        <v>144904</v>
      </c>
      <c r="K135" s="244">
        <v>466974</v>
      </c>
      <c r="L135" s="241">
        <v>889305</v>
      </c>
      <c r="M135" s="243">
        <v>9.104153265795416E-5</v>
      </c>
      <c r="N135" s="242">
        <v>259944</v>
      </c>
      <c r="O135" s="241">
        <v>25124527</v>
      </c>
      <c r="P135" s="240">
        <v>3.965724594204987E-4</v>
      </c>
      <c r="Q135" s="239">
        <v>214120</v>
      </c>
      <c r="R135" s="238">
        <v>174430</v>
      </c>
      <c r="S135" s="237">
        <v>144904</v>
      </c>
      <c r="T135" s="236">
        <v>901348</v>
      </c>
      <c r="U135" s="235">
        <v>214120</v>
      </c>
      <c r="V135" s="234">
        <v>1260372</v>
      </c>
    </row>
    <row r="136" spans="1:22" s="4" customFormat="1" ht="15" x14ac:dyDescent="0.2">
      <c r="A136" s="250" t="s">
        <v>32</v>
      </c>
      <c r="B136" s="250" t="s">
        <v>128</v>
      </c>
      <c r="C136" s="250" t="s">
        <v>26</v>
      </c>
      <c r="D136" s="250" t="s">
        <v>27</v>
      </c>
      <c r="E136" s="249" t="s">
        <v>27</v>
      </c>
      <c r="F136" s="216" t="s">
        <v>128</v>
      </c>
      <c r="G136" s="248" t="s">
        <v>129</v>
      </c>
      <c r="H136" s="247" t="s">
        <v>769</v>
      </c>
      <c r="I136" s="246">
        <v>868</v>
      </c>
      <c r="J136" s="245">
        <v>399290</v>
      </c>
      <c r="K136" s="244">
        <v>1286771</v>
      </c>
      <c r="L136" s="241">
        <v>13248536</v>
      </c>
      <c r="M136" s="243">
        <v>1.3563029814451526E-3</v>
      </c>
      <c r="N136" s="242">
        <v>3872553</v>
      </c>
      <c r="O136" s="241">
        <v>54049164</v>
      </c>
      <c r="P136" s="240">
        <v>8.5312690253240911E-4</v>
      </c>
      <c r="Q136" s="239">
        <v>460625</v>
      </c>
      <c r="R136" s="238">
        <v>375243</v>
      </c>
      <c r="S136" s="237">
        <v>399290</v>
      </c>
      <c r="T136" s="236">
        <v>5534567</v>
      </c>
      <c r="U136" s="235">
        <v>460625</v>
      </c>
      <c r="V136" s="234">
        <v>6394482</v>
      </c>
    </row>
    <row r="137" spans="1:22" s="4" customFormat="1" ht="15" x14ac:dyDescent="0.2">
      <c r="A137" s="250" t="s">
        <v>32</v>
      </c>
      <c r="B137" s="250" t="s">
        <v>128</v>
      </c>
      <c r="C137" s="250" t="s">
        <v>813</v>
      </c>
      <c r="D137" s="250" t="s">
        <v>812</v>
      </c>
      <c r="E137" s="249" t="s">
        <v>780</v>
      </c>
      <c r="F137" s="216" t="s">
        <v>128</v>
      </c>
      <c r="G137" s="248" t="s">
        <v>811</v>
      </c>
      <c r="H137" s="247" t="s">
        <v>769</v>
      </c>
      <c r="I137" s="246">
        <v>135</v>
      </c>
      <c r="J137" s="245">
        <v>62102</v>
      </c>
      <c r="K137" s="244">
        <v>200132</v>
      </c>
      <c r="L137" s="241">
        <v>1217940</v>
      </c>
      <c r="M137" s="243">
        <v>1.246851465868613E-4</v>
      </c>
      <c r="N137" s="242">
        <v>356004</v>
      </c>
      <c r="O137" s="241">
        <v>8053380</v>
      </c>
      <c r="P137" s="240">
        <v>1.2711676973054483E-4</v>
      </c>
      <c r="Q137" s="239">
        <v>68634</v>
      </c>
      <c r="R137" s="238">
        <v>55912</v>
      </c>
      <c r="S137" s="237">
        <v>62102</v>
      </c>
      <c r="T137" s="236">
        <v>612048</v>
      </c>
      <c r="U137" s="235">
        <v>68634</v>
      </c>
      <c r="V137" s="234">
        <v>742784</v>
      </c>
    </row>
    <row r="138" spans="1:22" s="4" customFormat="1" ht="15" x14ac:dyDescent="0.2">
      <c r="A138" s="250" t="s">
        <v>32</v>
      </c>
      <c r="B138" s="250" t="s">
        <v>128</v>
      </c>
      <c r="C138" s="250" t="s">
        <v>810</v>
      </c>
      <c r="D138" s="250" t="s">
        <v>809</v>
      </c>
      <c r="E138" s="249" t="s">
        <v>780</v>
      </c>
      <c r="F138" s="216" t="s">
        <v>128</v>
      </c>
      <c r="G138" s="248" t="s">
        <v>808</v>
      </c>
      <c r="H138" s="247" t="s">
        <v>769</v>
      </c>
      <c r="I138" s="246">
        <v>91</v>
      </c>
      <c r="J138" s="245">
        <v>41861</v>
      </c>
      <c r="K138" s="244">
        <v>134903</v>
      </c>
      <c r="L138" s="241">
        <v>2419365</v>
      </c>
      <c r="M138" s="243">
        <v>2.4767958985838522E-4</v>
      </c>
      <c r="N138" s="242">
        <v>707181</v>
      </c>
      <c r="O138" s="241">
        <v>11260131</v>
      </c>
      <c r="P138" s="240">
        <v>1.7773301141418501E-4</v>
      </c>
      <c r="Q138" s="239">
        <v>95963</v>
      </c>
      <c r="R138" s="238">
        <v>78175</v>
      </c>
      <c r="S138" s="237">
        <v>41861</v>
      </c>
      <c r="T138" s="236">
        <v>920259</v>
      </c>
      <c r="U138" s="235">
        <v>95963</v>
      </c>
      <c r="V138" s="234">
        <v>1058083</v>
      </c>
    </row>
    <row r="139" spans="1:22" s="4" customFormat="1" ht="15" x14ac:dyDescent="0.2">
      <c r="A139" s="250" t="s">
        <v>32</v>
      </c>
      <c r="B139" s="250" t="s">
        <v>131</v>
      </c>
      <c r="C139" s="250" t="s">
        <v>26</v>
      </c>
      <c r="D139" s="250" t="s">
        <v>27</v>
      </c>
      <c r="E139" s="249" t="s">
        <v>27</v>
      </c>
      <c r="F139" s="216" t="s">
        <v>131</v>
      </c>
      <c r="G139" s="248" t="s">
        <v>132</v>
      </c>
      <c r="H139" s="247" t="s">
        <v>769</v>
      </c>
      <c r="I139" s="246">
        <v>1</v>
      </c>
      <c r="J139" s="245">
        <v>460</v>
      </c>
      <c r="K139" s="244">
        <v>1482</v>
      </c>
      <c r="L139" s="241">
        <v>31584</v>
      </c>
      <c r="M139" s="243">
        <v>3.2333741151447753E-6</v>
      </c>
      <c r="N139" s="242">
        <v>9232</v>
      </c>
      <c r="O139" s="241">
        <v>390492</v>
      </c>
      <c r="P139" s="240">
        <v>6.1636333620939167E-6</v>
      </c>
      <c r="Q139" s="239">
        <v>3328</v>
      </c>
      <c r="R139" s="238">
        <v>2711</v>
      </c>
      <c r="S139" s="237">
        <v>460</v>
      </c>
      <c r="T139" s="236">
        <v>13425</v>
      </c>
      <c r="U139" s="235">
        <v>3328</v>
      </c>
      <c r="V139" s="234">
        <v>17213</v>
      </c>
    </row>
    <row r="140" spans="1:22" s="4" customFormat="1" ht="15" x14ac:dyDescent="0.2">
      <c r="A140" s="250" t="s">
        <v>32</v>
      </c>
      <c r="B140" s="250" t="s">
        <v>131</v>
      </c>
      <c r="C140" s="250" t="s">
        <v>515</v>
      </c>
      <c r="D140" s="250" t="s">
        <v>516</v>
      </c>
      <c r="E140" s="249" t="s">
        <v>781</v>
      </c>
      <c r="F140" s="216" t="s">
        <v>517</v>
      </c>
      <c r="G140" s="248" t="s">
        <v>518</v>
      </c>
      <c r="H140" s="247" t="s">
        <v>768</v>
      </c>
      <c r="I140" s="246">
        <v>0</v>
      </c>
      <c r="J140" s="245">
        <v>0</v>
      </c>
      <c r="K140" s="244">
        <v>0</v>
      </c>
      <c r="L140" s="241">
        <v>0</v>
      </c>
      <c r="M140" s="243">
        <v>0</v>
      </c>
      <c r="N140" s="242">
        <v>0</v>
      </c>
      <c r="O140" s="241">
        <v>2325681</v>
      </c>
      <c r="P140" s="240">
        <v>3.6709189948034641E-5</v>
      </c>
      <c r="Q140" s="239">
        <v>19820</v>
      </c>
      <c r="R140" s="238">
        <v>16146</v>
      </c>
      <c r="S140" s="237">
        <v>0</v>
      </c>
      <c r="T140" s="236">
        <v>16146</v>
      </c>
      <c r="U140" s="235">
        <v>19820</v>
      </c>
      <c r="V140" s="234">
        <v>35966</v>
      </c>
    </row>
    <row r="141" spans="1:22" s="4" customFormat="1" ht="30" x14ac:dyDescent="0.2">
      <c r="A141" s="250" t="s">
        <v>32</v>
      </c>
      <c r="B141" s="250" t="s">
        <v>131</v>
      </c>
      <c r="C141" s="250" t="s">
        <v>311</v>
      </c>
      <c r="D141" s="250" t="s">
        <v>312</v>
      </c>
      <c r="E141" s="249" t="s">
        <v>781</v>
      </c>
      <c r="F141" s="216" t="s">
        <v>313</v>
      </c>
      <c r="G141" s="248" t="s">
        <v>314</v>
      </c>
      <c r="H141" s="247" t="s">
        <v>768</v>
      </c>
      <c r="I141" s="246">
        <v>0</v>
      </c>
      <c r="J141" s="245">
        <v>0</v>
      </c>
      <c r="K141" s="244">
        <v>0</v>
      </c>
      <c r="L141" s="241">
        <v>0</v>
      </c>
      <c r="M141" s="243">
        <v>0</v>
      </c>
      <c r="N141" s="242">
        <v>0</v>
      </c>
      <c r="O141" s="241">
        <v>21493963</v>
      </c>
      <c r="P141" s="240">
        <v>3.3926663652625983E-4</v>
      </c>
      <c r="Q141" s="239">
        <v>183179</v>
      </c>
      <c r="R141" s="238">
        <v>149224</v>
      </c>
      <c r="S141" s="237">
        <v>0</v>
      </c>
      <c r="T141" s="236">
        <v>149224</v>
      </c>
      <c r="U141" s="235">
        <v>183179</v>
      </c>
      <c r="V141" s="234">
        <v>332403</v>
      </c>
    </row>
    <row r="142" spans="1:22" s="4" customFormat="1" ht="15" x14ac:dyDescent="0.2">
      <c r="A142" s="250" t="s">
        <v>32</v>
      </c>
      <c r="B142" s="250" t="s">
        <v>134</v>
      </c>
      <c r="C142" s="250" t="s">
        <v>26</v>
      </c>
      <c r="D142" s="250" t="s">
        <v>27</v>
      </c>
      <c r="E142" s="249" t="s">
        <v>27</v>
      </c>
      <c r="F142" s="216" t="s">
        <v>134</v>
      </c>
      <c r="G142" s="248" t="s">
        <v>135</v>
      </c>
      <c r="H142" s="247" t="s">
        <v>769</v>
      </c>
      <c r="I142" s="246">
        <v>5289</v>
      </c>
      <c r="J142" s="245">
        <v>2432999</v>
      </c>
      <c r="K142" s="244">
        <v>7840708</v>
      </c>
      <c r="L142" s="241">
        <v>54469979</v>
      </c>
      <c r="M142" s="243">
        <v>5.5762987636486664E-3</v>
      </c>
      <c r="N142" s="242">
        <v>15921599</v>
      </c>
      <c r="O142" s="241">
        <v>396090985</v>
      </c>
      <c r="P142" s="240">
        <v>6.2520092846220692E-3</v>
      </c>
      <c r="Q142" s="239">
        <v>3375622</v>
      </c>
      <c r="R142" s="238">
        <v>2749909</v>
      </c>
      <c r="S142" s="237">
        <v>2432999</v>
      </c>
      <c r="T142" s="236">
        <v>26512216</v>
      </c>
      <c r="U142" s="235">
        <v>3375622</v>
      </c>
      <c r="V142" s="234">
        <v>32320837</v>
      </c>
    </row>
    <row r="143" spans="1:22" s="4" customFormat="1" ht="15" x14ac:dyDescent="0.2">
      <c r="A143" s="250" t="s">
        <v>32</v>
      </c>
      <c r="B143" s="250" t="s">
        <v>134</v>
      </c>
      <c r="C143" s="250" t="s">
        <v>520</v>
      </c>
      <c r="D143" s="250" t="s">
        <v>521</v>
      </c>
      <c r="E143" s="249" t="s">
        <v>781</v>
      </c>
      <c r="F143" s="216" t="s">
        <v>522</v>
      </c>
      <c r="G143" s="248" t="s">
        <v>523</v>
      </c>
      <c r="H143" s="247" t="s">
        <v>769</v>
      </c>
      <c r="I143" s="246">
        <v>110</v>
      </c>
      <c r="J143" s="245">
        <v>50601</v>
      </c>
      <c r="K143" s="244">
        <v>163070</v>
      </c>
      <c r="L143" s="241">
        <v>1745788</v>
      </c>
      <c r="M143" s="243">
        <v>1.7872295243573857E-4</v>
      </c>
      <c r="N143" s="242">
        <v>510295</v>
      </c>
      <c r="O143" s="241">
        <v>10883645</v>
      </c>
      <c r="P143" s="240">
        <v>1.7179045261666472E-4</v>
      </c>
      <c r="Q143" s="239">
        <v>92754</v>
      </c>
      <c r="R143" s="238">
        <v>75561</v>
      </c>
      <c r="S143" s="237">
        <v>50601</v>
      </c>
      <c r="T143" s="236">
        <v>748926</v>
      </c>
      <c r="U143" s="235">
        <v>92754</v>
      </c>
      <c r="V143" s="234">
        <v>892281</v>
      </c>
    </row>
    <row r="144" spans="1:22" s="4" customFormat="1" ht="15" x14ac:dyDescent="0.2">
      <c r="A144" s="250" t="s">
        <v>32</v>
      </c>
      <c r="B144" s="250" t="s">
        <v>134</v>
      </c>
      <c r="C144" s="250" t="s">
        <v>271</v>
      </c>
      <c r="D144" s="250" t="s">
        <v>272</v>
      </c>
      <c r="E144" s="249" t="s">
        <v>781</v>
      </c>
      <c r="F144" s="216" t="s">
        <v>273</v>
      </c>
      <c r="G144" s="248" t="s">
        <v>274</v>
      </c>
      <c r="H144" s="247" t="s">
        <v>769</v>
      </c>
      <c r="I144" s="246">
        <v>19</v>
      </c>
      <c r="J144" s="245">
        <v>8740</v>
      </c>
      <c r="K144" s="244">
        <v>28167</v>
      </c>
      <c r="L144" s="241">
        <v>438769</v>
      </c>
      <c r="M144" s="243">
        <v>4.4918450073706873E-5</v>
      </c>
      <c r="N144" s="242">
        <v>128252</v>
      </c>
      <c r="O144" s="241">
        <v>2390500</v>
      </c>
      <c r="P144" s="240">
        <v>3.7732310910557727E-5</v>
      </c>
      <c r="Q144" s="239">
        <v>20373</v>
      </c>
      <c r="R144" s="238">
        <v>16596</v>
      </c>
      <c r="S144" s="237">
        <v>8740</v>
      </c>
      <c r="T144" s="236">
        <v>173015</v>
      </c>
      <c r="U144" s="235">
        <v>20373</v>
      </c>
      <c r="V144" s="234">
        <v>202128</v>
      </c>
    </row>
    <row r="145" spans="1:22" s="4" customFormat="1" ht="15" x14ac:dyDescent="0.2">
      <c r="A145" s="250" t="s">
        <v>32</v>
      </c>
      <c r="B145" s="250" t="s">
        <v>137</v>
      </c>
      <c r="C145" s="250" t="s">
        <v>26</v>
      </c>
      <c r="D145" s="250" t="s">
        <v>27</v>
      </c>
      <c r="E145" s="249" t="s">
        <v>27</v>
      </c>
      <c r="F145" s="216" t="s">
        <v>137</v>
      </c>
      <c r="G145" s="248" t="s">
        <v>138</v>
      </c>
      <c r="H145" s="247" t="s">
        <v>769</v>
      </c>
      <c r="I145" s="246">
        <v>25</v>
      </c>
      <c r="J145" s="245">
        <v>11500</v>
      </c>
      <c r="K145" s="244">
        <v>37061</v>
      </c>
      <c r="L145" s="241">
        <v>650282</v>
      </c>
      <c r="M145" s="243">
        <v>6.6571839739886483E-5</v>
      </c>
      <c r="N145" s="242">
        <v>190078</v>
      </c>
      <c r="O145" s="241">
        <v>2274100</v>
      </c>
      <c r="P145" s="240">
        <v>3.5895021226395873E-5</v>
      </c>
      <c r="Q145" s="239">
        <v>19381</v>
      </c>
      <c r="R145" s="238">
        <v>15788</v>
      </c>
      <c r="S145" s="237">
        <v>11500</v>
      </c>
      <c r="T145" s="236">
        <v>242927</v>
      </c>
      <c r="U145" s="235">
        <v>19381</v>
      </c>
      <c r="V145" s="234">
        <v>273808</v>
      </c>
    </row>
    <row r="146" spans="1:22" s="4" customFormat="1" ht="15" x14ac:dyDescent="0.2">
      <c r="A146" s="250" t="s">
        <v>32</v>
      </c>
      <c r="B146" s="250" t="s">
        <v>140</v>
      </c>
      <c r="C146" s="250" t="s">
        <v>26</v>
      </c>
      <c r="D146" s="250" t="s">
        <v>27</v>
      </c>
      <c r="E146" s="249" t="s">
        <v>27</v>
      </c>
      <c r="F146" s="216" t="s">
        <v>140</v>
      </c>
      <c r="G146" s="248" t="s">
        <v>141</v>
      </c>
      <c r="H146" s="247" t="s">
        <v>769</v>
      </c>
      <c r="I146" s="246">
        <v>3213</v>
      </c>
      <c r="J146" s="245">
        <v>1478016</v>
      </c>
      <c r="K146" s="244">
        <v>4763130</v>
      </c>
      <c r="L146" s="241">
        <v>29338290</v>
      </c>
      <c r="M146" s="243">
        <v>3.0034722476130577E-3</v>
      </c>
      <c r="N146" s="242">
        <v>8575595</v>
      </c>
      <c r="O146" s="241">
        <v>203373338</v>
      </c>
      <c r="P146" s="240">
        <v>3.2101008242350739E-3</v>
      </c>
      <c r="Q146" s="239">
        <v>1733217</v>
      </c>
      <c r="R146" s="238">
        <v>1411944</v>
      </c>
      <c r="S146" s="237">
        <v>1478016</v>
      </c>
      <c r="T146" s="236">
        <v>14750669</v>
      </c>
      <c r="U146" s="235">
        <v>1733217</v>
      </c>
      <c r="V146" s="234">
        <v>17961902</v>
      </c>
    </row>
    <row r="147" spans="1:22" s="4" customFormat="1" ht="15" x14ac:dyDescent="0.2">
      <c r="A147" s="250" t="s">
        <v>32</v>
      </c>
      <c r="B147" s="250" t="s">
        <v>140</v>
      </c>
      <c r="C147" s="250" t="s">
        <v>351</v>
      </c>
      <c r="D147" s="250" t="s">
        <v>352</v>
      </c>
      <c r="E147" s="249" t="s">
        <v>781</v>
      </c>
      <c r="F147" s="216" t="s">
        <v>353</v>
      </c>
      <c r="G147" s="248" t="s">
        <v>354</v>
      </c>
      <c r="H147" s="247" t="s">
        <v>768</v>
      </c>
      <c r="I147" s="246">
        <v>0</v>
      </c>
      <c r="J147" s="245">
        <v>0</v>
      </c>
      <c r="K147" s="244">
        <v>0</v>
      </c>
      <c r="L147" s="241">
        <v>0</v>
      </c>
      <c r="M147" s="243">
        <v>0</v>
      </c>
      <c r="N147" s="242">
        <v>0</v>
      </c>
      <c r="O147" s="241">
        <v>14869796</v>
      </c>
      <c r="P147" s="240">
        <v>2.3470895873188354E-4</v>
      </c>
      <c r="Q147" s="239">
        <v>126725</v>
      </c>
      <c r="R147" s="238">
        <v>103235</v>
      </c>
      <c r="S147" s="237">
        <v>0</v>
      </c>
      <c r="T147" s="236">
        <v>103235</v>
      </c>
      <c r="U147" s="235">
        <v>126725</v>
      </c>
      <c r="V147" s="234">
        <v>229960</v>
      </c>
    </row>
    <row r="148" spans="1:22" s="4" customFormat="1" ht="15" x14ac:dyDescent="0.2">
      <c r="A148" s="250" t="s">
        <v>32</v>
      </c>
      <c r="B148" s="250" t="s">
        <v>140</v>
      </c>
      <c r="C148" s="250" t="s">
        <v>421</v>
      </c>
      <c r="D148" s="250" t="s">
        <v>422</v>
      </c>
      <c r="E148" s="249" t="s">
        <v>781</v>
      </c>
      <c r="F148" s="216" t="s">
        <v>423</v>
      </c>
      <c r="G148" s="248" t="s">
        <v>424</v>
      </c>
      <c r="H148" s="247" t="s">
        <v>769</v>
      </c>
      <c r="I148" s="246">
        <v>40</v>
      </c>
      <c r="J148" s="245">
        <v>18400</v>
      </c>
      <c r="K148" s="244">
        <v>59298</v>
      </c>
      <c r="L148" s="241">
        <v>181708</v>
      </c>
      <c r="M148" s="243">
        <v>1.8602138542132941E-5</v>
      </c>
      <c r="N148" s="242">
        <v>53113</v>
      </c>
      <c r="O148" s="241">
        <v>1914240</v>
      </c>
      <c r="P148" s="240">
        <v>3.0214891795618501E-5</v>
      </c>
      <c r="Q148" s="239">
        <v>16314</v>
      </c>
      <c r="R148" s="238">
        <v>13290</v>
      </c>
      <c r="S148" s="237">
        <v>18400</v>
      </c>
      <c r="T148" s="236">
        <v>125701</v>
      </c>
      <c r="U148" s="235">
        <v>16314</v>
      </c>
      <c r="V148" s="234">
        <v>160415</v>
      </c>
    </row>
    <row r="149" spans="1:22" s="4" customFormat="1" ht="15" x14ac:dyDescent="0.2">
      <c r="A149" s="250" t="s">
        <v>32</v>
      </c>
      <c r="B149" s="250" t="s">
        <v>140</v>
      </c>
      <c r="C149" s="250" t="s">
        <v>510</v>
      </c>
      <c r="D149" s="250" t="s">
        <v>511</v>
      </c>
      <c r="E149" s="249" t="s">
        <v>781</v>
      </c>
      <c r="F149" s="216" t="s">
        <v>512</v>
      </c>
      <c r="G149" s="248" t="s">
        <v>513</v>
      </c>
      <c r="H149" s="247" t="s">
        <v>768</v>
      </c>
      <c r="I149" s="246">
        <v>0</v>
      </c>
      <c r="J149" s="245">
        <v>0</v>
      </c>
      <c r="K149" s="244">
        <v>0</v>
      </c>
      <c r="L149" s="241">
        <v>0</v>
      </c>
      <c r="M149" s="243">
        <v>0</v>
      </c>
      <c r="N149" s="242">
        <v>0</v>
      </c>
      <c r="O149" s="241">
        <v>806852</v>
      </c>
      <c r="P149" s="240">
        <v>1.2735574366369096E-5</v>
      </c>
      <c r="Q149" s="239">
        <v>6876</v>
      </c>
      <c r="R149" s="238">
        <v>5602</v>
      </c>
      <c r="S149" s="237">
        <v>0</v>
      </c>
      <c r="T149" s="236">
        <v>5602</v>
      </c>
      <c r="U149" s="235">
        <v>6876</v>
      </c>
      <c r="V149" s="234">
        <v>12478</v>
      </c>
    </row>
    <row r="150" spans="1:22" s="4" customFormat="1" ht="15" x14ac:dyDescent="0.2">
      <c r="A150" s="250" t="s">
        <v>32</v>
      </c>
      <c r="B150" s="250" t="s">
        <v>140</v>
      </c>
      <c r="C150" s="250" t="s">
        <v>540</v>
      </c>
      <c r="D150" s="250" t="s">
        <v>541</v>
      </c>
      <c r="E150" s="249" t="s">
        <v>781</v>
      </c>
      <c r="F150" s="216" t="s">
        <v>542</v>
      </c>
      <c r="G150" s="248" t="s">
        <v>543</v>
      </c>
      <c r="H150" s="247" t="s">
        <v>769</v>
      </c>
      <c r="I150" s="246">
        <v>71</v>
      </c>
      <c r="J150" s="245">
        <v>32661</v>
      </c>
      <c r="K150" s="244">
        <v>105254</v>
      </c>
      <c r="L150" s="241">
        <v>398364</v>
      </c>
      <c r="M150" s="243">
        <v>4.0782036664308928E-5</v>
      </c>
      <c r="N150" s="242">
        <v>116442</v>
      </c>
      <c r="O150" s="241">
        <v>5260021</v>
      </c>
      <c r="P150" s="240">
        <v>8.3025621321088788E-5</v>
      </c>
      <c r="Q150" s="239">
        <v>44828</v>
      </c>
      <c r="R150" s="238">
        <v>36518</v>
      </c>
      <c r="S150" s="237">
        <v>32661</v>
      </c>
      <c r="T150" s="236">
        <v>258214</v>
      </c>
      <c r="U150" s="235">
        <v>44828</v>
      </c>
      <c r="V150" s="234">
        <v>335703</v>
      </c>
    </row>
    <row r="151" spans="1:22" s="4" customFormat="1" ht="15" x14ac:dyDescent="0.2">
      <c r="A151" s="250" t="s">
        <v>32</v>
      </c>
      <c r="B151" s="250" t="s">
        <v>140</v>
      </c>
      <c r="C151" s="250" t="s">
        <v>181</v>
      </c>
      <c r="D151" s="250" t="s">
        <v>182</v>
      </c>
      <c r="E151" s="249" t="s">
        <v>781</v>
      </c>
      <c r="F151" s="216" t="s">
        <v>183</v>
      </c>
      <c r="G151" s="248" t="s">
        <v>184</v>
      </c>
      <c r="H151" s="247" t="s">
        <v>769</v>
      </c>
      <c r="I151" s="246">
        <v>121</v>
      </c>
      <c r="J151" s="245">
        <v>55661</v>
      </c>
      <c r="K151" s="244">
        <v>179377</v>
      </c>
      <c r="L151" s="241">
        <v>1754633</v>
      </c>
      <c r="M151" s="243">
        <v>1.7962844870120386E-4</v>
      </c>
      <c r="N151" s="242">
        <v>512880</v>
      </c>
      <c r="O151" s="241">
        <v>13503881</v>
      </c>
      <c r="P151" s="240">
        <v>2.1314897987499402E-4</v>
      </c>
      <c r="Q151" s="239">
        <v>115085</v>
      </c>
      <c r="R151" s="238">
        <v>93752</v>
      </c>
      <c r="S151" s="237">
        <v>55661</v>
      </c>
      <c r="T151" s="236">
        <v>786009</v>
      </c>
      <c r="U151" s="235">
        <v>115085</v>
      </c>
      <c r="V151" s="234">
        <v>956755</v>
      </c>
    </row>
    <row r="152" spans="1:22" s="4" customFormat="1" ht="15" x14ac:dyDescent="0.2">
      <c r="A152" s="250" t="s">
        <v>32</v>
      </c>
      <c r="B152" s="250" t="s">
        <v>143</v>
      </c>
      <c r="C152" s="250" t="s">
        <v>26</v>
      </c>
      <c r="D152" s="250" t="s">
        <v>27</v>
      </c>
      <c r="E152" s="249" t="s">
        <v>27</v>
      </c>
      <c r="F152" s="216" t="s">
        <v>143</v>
      </c>
      <c r="G152" s="248" t="s">
        <v>144</v>
      </c>
      <c r="H152" s="247" t="s">
        <v>769</v>
      </c>
      <c r="I152" s="246">
        <v>1606</v>
      </c>
      <c r="J152" s="245">
        <v>738778</v>
      </c>
      <c r="K152" s="244">
        <v>2380824</v>
      </c>
      <c r="L152" s="241">
        <v>4830040</v>
      </c>
      <c r="M152" s="243">
        <v>4.9446955139038342E-4</v>
      </c>
      <c r="N152" s="242">
        <v>1411823</v>
      </c>
      <c r="O152" s="241">
        <v>101152781</v>
      </c>
      <c r="P152" s="240">
        <v>1.5966233767661813E-3</v>
      </c>
      <c r="Q152" s="239">
        <v>862058</v>
      </c>
      <c r="R152" s="238">
        <v>702265</v>
      </c>
      <c r="S152" s="237">
        <v>738778</v>
      </c>
      <c r="T152" s="236">
        <v>4494912</v>
      </c>
      <c r="U152" s="235">
        <v>862058</v>
      </c>
      <c r="V152" s="234">
        <v>6095748</v>
      </c>
    </row>
    <row r="153" spans="1:22" s="4" customFormat="1" ht="15" x14ac:dyDescent="0.2">
      <c r="A153" s="250" t="s">
        <v>32</v>
      </c>
      <c r="B153" s="250" t="s">
        <v>146</v>
      </c>
      <c r="C153" s="250" t="s">
        <v>26</v>
      </c>
      <c r="D153" s="250" t="s">
        <v>27</v>
      </c>
      <c r="E153" s="249" t="s">
        <v>27</v>
      </c>
      <c r="F153" s="216" t="s">
        <v>146</v>
      </c>
      <c r="G153" s="248" t="s">
        <v>147</v>
      </c>
      <c r="H153" s="247" t="s">
        <v>769</v>
      </c>
      <c r="I153" s="246">
        <v>2544</v>
      </c>
      <c r="J153" s="245">
        <v>1170269</v>
      </c>
      <c r="K153" s="244">
        <v>3771367</v>
      </c>
      <c r="L153" s="241">
        <v>25001694</v>
      </c>
      <c r="M153" s="243">
        <v>2.5595184338389827E-3</v>
      </c>
      <c r="N153" s="242">
        <v>7308006</v>
      </c>
      <c r="O153" s="241">
        <v>172131883</v>
      </c>
      <c r="P153" s="240">
        <v>2.7169770872101009E-3</v>
      </c>
      <c r="Q153" s="239">
        <v>1466967</v>
      </c>
      <c r="R153" s="238">
        <v>1195046</v>
      </c>
      <c r="S153" s="237">
        <v>1170269</v>
      </c>
      <c r="T153" s="236">
        <v>12274419</v>
      </c>
      <c r="U153" s="235">
        <v>1466967</v>
      </c>
      <c r="V153" s="234">
        <v>14911655</v>
      </c>
    </row>
    <row r="154" spans="1:22" s="4" customFormat="1" ht="15" x14ac:dyDescent="0.2">
      <c r="A154" s="250" t="s">
        <v>32</v>
      </c>
      <c r="B154" s="250" t="s">
        <v>146</v>
      </c>
      <c r="C154" s="250" t="s">
        <v>316</v>
      </c>
      <c r="D154" s="250" t="s">
        <v>317</v>
      </c>
      <c r="E154" s="249" t="s">
        <v>781</v>
      </c>
      <c r="F154" s="216" t="s">
        <v>318</v>
      </c>
      <c r="G154" s="248" t="s">
        <v>319</v>
      </c>
      <c r="H154" s="247" t="s">
        <v>768</v>
      </c>
      <c r="I154" s="246">
        <v>0</v>
      </c>
      <c r="J154" s="245">
        <v>0</v>
      </c>
      <c r="K154" s="244">
        <v>0</v>
      </c>
      <c r="L154" s="241">
        <v>0</v>
      </c>
      <c r="M154" s="243">
        <v>0</v>
      </c>
      <c r="N154" s="242">
        <v>0</v>
      </c>
      <c r="O154" s="241">
        <v>13598840</v>
      </c>
      <c r="P154" s="240">
        <v>2.1464783890522019E-4</v>
      </c>
      <c r="Q154" s="239">
        <v>115894</v>
      </c>
      <c r="R154" s="238">
        <v>94412</v>
      </c>
      <c r="S154" s="237">
        <v>0</v>
      </c>
      <c r="T154" s="236">
        <v>94412</v>
      </c>
      <c r="U154" s="235">
        <v>115894</v>
      </c>
      <c r="V154" s="234">
        <v>210306</v>
      </c>
    </row>
    <row r="155" spans="1:22" s="4" customFormat="1" ht="15" x14ac:dyDescent="0.2">
      <c r="A155" s="250" t="s">
        <v>32</v>
      </c>
      <c r="B155" s="250" t="s">
        <v>146</v>
      </c>
      <c r="C155" s="250" t="s">
        <v>241</v>
      </c>
      <c r="D155" s="250" t="s">
        <v>242</v>
      </c>
      <c r="E155" s="249" t="s">
        <v>781</v>
      </c>
      <c r="F155" s="216" t="s">
        <v>243</v>
      </c>
      <c r="G155" s="248" t="s">
        <v>244</v>
      </c>
      <c r="H155" s="247" t="s">
        <v>768</v>
      </c>
      <c r="I155" s="246">
        <v>0</v>
      </c>
      <c r="J155" s="245">
        <v>0</v>
      </c>
      <c r="K155" s="244">
        <v>0</v>
      </c>
      <c r="L155" s="241">
        <v>0</v>
      </c>
      <c r="M155" s="243">
        <v>0</v>
      </c>
      <c r="N155" s="242">
        <v>0</v>
      </c>
      <c r="O155" s="241">
        <v>7503148</v>
      </c>
      <c r="P155" s="240">
        <v>1.1843175617817585E-4</v>
      </c>
      <c r="Q155" s="239">
        <v>63944</v>
      </c>
      <c r="R155" s="238">
        <v>52091</v>
      </c>
      <c r="S155" s="237">
        <v>0</v>
      </c>
      <c r="T155" s="236">
        <v>52091</v>
      </c>
      <c r="U155" s="235">
        <v>63944</v>
      </c>
      <c r="V155" s="234">
        <v>116035</v>
      </c>
    </row>
    <row r="156" spans="1:22" s="4" customFormat="1" ht="15" x14ac:dyDescent="0.2">
      <c r="A156" s="250" t="s">
        <v>32</v>
      </c>
      <c r="B156" s="250" t="s">
        <v>149</v>
      </c>
      <c r="C156" s="250" t="s">
        <v>26</v>
      </c>
      <c r="D156" s="250" t="s">
        <v>27</v>
      </c>
      <c r="E156" s="249" t="s">
        <v>27</v>
      </c>
      <c r="F156" s="216" t="s">
        <v>149</v>
      </c>
      <c r="G156" s="248" t="s">
        <v>150</v>
      </c>
      <c r="H156" s="247" t="s">
        <v>769</v>
      </c>
      <c r="I156" s="246">
        <v>2927</v>
      </c>
      <c r="J156" s="245">
        <v>1346453</v>
      </c>
      <c r="K156" s="244">
        <v>4339148</v>
      </c>
      <c r="L156" s="241">
        <v>13966374</v>
      </c>
      <c r="M156" s="243">
        <v>1.4297907856519439E-3</v>
      </c>
      <c r="N156" s="242">
        <v>4082377</v>
      </c>
      <c r="O156" s="241">
        <v>188055333</v>
      </c>
      <c r="P156" s="240">
        <v>2.9683172111041483E-3</v>
      </c>
      <c r="Q156" s="239">
        <v>1602672</v>
      </c>
      <c r="R156" s="238">
        <v>1305597</v>
      </c>
      <c r="S156" s="237">
        <v>1346453</v>
      </c>
      <c r="T156" s="236">
        <v>9727122</v>
      </c>
      <c r="U156" s="235">
        <v>1602672</v>
      </c>
      <c r="V156" s="234">
        <v>12676247</v>
      </c>
    </row>
    <row r="157" spans="1:22" s="4" customFormat="1" ht="15" x14ac:dyDescent="0.2">
      <c r="A157" s="250" t="s">
        <v>32</v>
      </c>
      <c r="B157" s="250" t="s">
        <v>149</v>
      </c>
      <c r="C157" s="250" t="s">
        <v>686</v>
      </c>
      <c r="D157" s="250" t="s">
        <v>687</v>
      </c>
      <c r="E157" s="249" t="s">
        <v>781</v>
      </c>
      <c r="F157" s="216" t="s">
        <v>688</v>
      </c>
      <c r="G157" s="248" t="s">
        <v>689</v>
      </c>
      <c r="H157" s="247" t="s">
        <v>768</v>
      </c>
      <c r="I157" s="246">
        <v>0</v>
      </c>
      <c r="J157" s="245">
        <v>0</v>
      </c>
      <c r="K157" s="244">
        <v>0</v>
      </c>
      <c r="L157" s="241">
        <v>0</v>
      </c>
      <c r="M157" s="243">
        <v>0</v>
      </c>
      <c r="N157" s="242">
        <v>0</v>
      </c>
      <c r="O157" s="241">
        <v>1116185</v>
      </c>
      <c r="P157" s="240">
        <v>1.7618171702029232E-5</v>
      </c>
      <c r="Q157" s="239">
        <v>9513</v>
      </c>
      <c r="R157" s="238">
        <v>7749</v>
      </c>
      <c r="S157" s="237">
        <v>0</v>
      </c>
      <c r="T157" s="236">
        <v>7749</v>
      </c>
      <c r="U157" s="235">
        <v>9513</v>
      </c>
      <c r="V157" s="234">
        <v>17262</v>
      </c>
    </row>
    <row r="158" spans="1:22" s="4" customFormat="1" ht="15" x14ac:dyDescent="0.2">
      <c r="A158" s="250" t="s">
        <v>32</v>
      </c>
      <c r="B158" s="250" t="s">
        <v>152</v>
      </c>
      <c r="C158" s="250" t="s">
        <v>26</v>
      </c>
      <c r="D158" s="250" t="s">
        <v>27</v>
      </c>
      <c r="E158" s="249" t="s">
        <v>27</v>
      </c>
      <c r="F158" s="216" t="s">
        <v>152</v>
      </c>
      <c r="G158" s="248" t="s">
        <v>153</v>
      </c>
      <c r="H158" s="247" t="s">
        <v>769</v>
      </c>
      <c r="I158" s="246">
        <v>30</v>
      </c>
      <c r="J158" s="245">
        <v>13800</v>
      </c>
      <c r="K158" s="244">
        <v>44474</v>
      </c>
      <c r="L158" s="241">
        <v>498043</v>
      </c>
      <c r="M158" s="243">
        <v>5.0986554724830587E-5</v>
      </c>
      <c r="N158" s="242">
        <v>145578</v>
      </c>
      <c r="O158" s="241">
        <v>2686845</v>
      </c>
      <c r="P158" s="240">
        <v>4.2409902074242825E-5</v>
      </c>
      <c r="Q158" s="239">
        <v>22898</v>
      </c>
      <c r="R158" s="238">
        <v>18654</v>
      </c>
      <c r="S158" s="237">
        <v>13800</v>
      </c>
      <c r="T158" s="236">
        <v>208706</v>
      </c>
      <c r="U158" s="235">
        <v>22898</v>
      </c>
      <c r="V158" s="234">
        <v>245404</v>
      </c>
    </row>
    <row r="159" spans="1:22" s="4" customFormat="1" ht="15" x14ac:dyDescent="0.2">
      <c r="A159" s="250" t="s">
        <v>32</v>
      </c>
      <c r="B159" s="250" t="s">
        <v>152</v>
      </c>
      <c r="C159" s="250" t="s">
        <v>476</v>
      </c>
      <c r="D159" s="250" t="s">
        <v>477</v>
      </c>
      <c r="E159" s="249" t="s">
        <v>781</v>
      </c>
      <c r="F159" s="216" t="s">
        <v>478</v>
      </c>
      <c r="G159" s="248" t="s">
        <v>479</v>
      </c>
      <c r="H159" s="247" t="s">
        <v>769</v>
      </c>
      <c r="I159" s="246">
        <v>5</v>
      </c>
      <c r="J159" s="245">
        <v>2300</v>
      </c>
      <c r="K159" s="244">
        <v>7412</v>
      </c>
      <c r="L159" s="241">
        <v>133096</v>
      </c>
      <c r="M159" s="243">
        <v>1.36255433519918E-5</v>
      </c>
      <c r="N159" s="242">
        <v>38904</v>
      </c>
      <c r="O159" s="241">
        <v>560784</v>
      </c>
      <c r="P159" s="240">
        <v>8.8515692288919484E-6</v>
      </c>
      <c r="Q159" s="239">
        <v>4779</v>
      </c>
      <c r="R159" s="238">
        <v>3893</v>
      </c>
      <c r="S159" s="237">
        <v>2300</v>
      </c>
      <c r="T159" s="236">
        <v>50209</v>
      </c>
      <c r="U159" s="235">
        <v>4779</v>
      </c>
      <c r="V159" s="234">
        <v>57288</v>
      </c>
    </row>
    <row r="160" spans="1:22" s="4" customFormat="1" ht="30" x14ac:dyDescent="0.2">
      <c r="A160" s="250" t="s">
        <v>32</v>
      </c>
      <c r="B160" s="250" t="s">
        <v>152</v>
      </c>
      <c r="C160" s="250" t="s">
        <v>585</v>
      </c>
      <c r="D160" s="250" t="s">
        <v>586</v>
      </c>
      <c r="E160" s="249" t="s">
        <v>781</v>
      </c>
      <c r="F160" s="216" t="s">
        <v>587</v>
      </c>
      <c r="G160" s="248" t="s">
        <v>588</v>
      </c>
      <c r="H160" s="247" t="s">
        <v>768</v>
      </c>
      <c r="I160" s="246">
        <v>0</v>
      </c>
      <c r="J160" s="245">
        <v>0</v>
      </c>
      <c r="K160" s="244">
        <v>0</v>
      </c>
      <c r="L160" s="241">
        <v>0</v>
      </c>
      <c r="M160" s="243">
        <v>0</v>
      </c>
      <c r="N160" s="242">
        <v>0</v>
      </c>
      <c r="O160" s="241">
        <v>2526895</v>
      </c>
      <c r="P160" s="240">
        <v>3.9885207186083985E-5</v>
      </c>
      <c r="Q160" s="239">
        <v>21535</v>
      </c>
      <c r="R160" s="238">
        <v>17543</v>
      </c>
      <c r="S160" s="237">
        <v>0</v>
      </c>
      <c r="T160" s="236">
        <v>17543</v>
      </c>
      <c r="U160" s="235">
        <v>21535</v>
      </c>
      <c r="V160" s="234">
        <v>39078</v>
      </c>
    </row>
    <row r="161" spans="1:22" s="4" customFormat="1" ht="15" x14ac:dyDescent="0.2">
      <c r="A161" s="250" t="s">
        <v>32</v>
      </c>
      <c r="B161" s="250" t="s">
        <v>152</v>
      </c>
      <c r="C161" s="250" t="s">
        <v>711</v>
      </c>
      <c r="D161" s="250" t="s">
        <v>712</v>
      </c>
      <c r="E161" s="249" t="s">
        <v>781</v>
      </c>
      <c r="F161" s="216" t="s">
        <v>713</v>
      </c>
      <c r="G161" s="248" t="s">
        <v>714</v>
      </c>
      <c r="H161" s="247" t="s">
        <v>768</v>
      </c>
      <c r="I161" s="246">
        <v>0</v>
      </c>
      <c r="J161" s="245">
        <v>0</v>
      </c>
      <c r="K161" s="244">
        <v>0</v>
      </c>
      <c r="L161" s="241">
        <v>0</v>
      </c>
      <c r="M161" s="243">
        <v>0</v>
      </c>
      <c r="N161" s="242">
        <v>0</v>
      </c>
      <c r="O161" s="241">
        <v>1267886</v>
      </c>
      <c r="P161" s="240">
        <v>2.0012662100457391E-5</v>
      </c>
      <c r="Q161" s="239">
        <v>10805</v>
      </c>
      <c r="R161" s="238">
        <v>8802</v>
      </c>
      <c r="S161" s="237">
        <v>0</v>
      </c>
      <c r="T161" s="236">
        <v>8802</v>
      </c>
      <c r="U161" s="235">
        <v>10805</v>
      </c>
      <c r="V161" s="234">
        <v>19607</v>
      </c>
    </row>
    <row r="162" spans="1:22" s="4" customFormat="1" ht="15" x14ac:dyDescent="0.2">
      <c r="A162" s="250" t="s">
        <v>32</v>
      </c>
      <c r="B162" s="250" t="s">
        <v>152</v>
      </c>
      <c r="C162" s="250" t="s">
        <v>741</v>
      </c>
      <c r="D162" s="250" t="s">
        <v>742</v>
      </c>
      <c r="E162" s="249" t="s">
        <v>781</v>
      </c>
      <c r="F162" s="216" t="s">
        <v>743</v>
      </c>
      <c r="G162" s="248" t="s">
        <v>937</v>
      </c>
      <c r="H162" s="247" t="s">
        <v>768</v>
      </c>
      <c r="I162" s="246">
        <v>0</v>
      </c>
      <c r="J162" s="245">
        <v>0</v>
      </c>
      <c r="K162" s="244">
        <v>0</v>
      </c>
      <c r="L162" s="241">
        <v>0</v>
      </c>
      <c r="M162" s="243">
        <v>0</v>
      </c>
      <c r="N162" s="242">
        <v>0</v>
      </c>
      <c r="O162" s="241">
        <v>3315379</v>
      </c>
      <c r="P162" s="240">
        <v>5.233085597755029E-5</v>
      </c>
      <c r="Q162" s="239">
        <v>28255</v>
      </c>
      <c r="R162" s="238">
        <v>23017</v>
      </c>
      <c r="S162" s="237">
        <v>0</v>
      </c>
      <c r="T162" s="236">
        <v>23017</v>
      </c>
      <c r="U162" s="235">
        <v>28255</v>
      </c>
      <c r="V162" s="234">
        <v>51272</v>
      </c>
    </row>
    <row r="163" spans="1:22" s="4" customFormat="1" ht="15" x14ac:dyDescent="0.2">
      <c r="A163" s="250" t="s">
        <v>32</v>
      </c>
      <c r="B163" s="250" t="s">
        <v>152</v>
      </c>
      <c r="C163" s="250" t="s">
        <v>751</v>
      </c>
      <c r="D163" s="250" t="s">
        <v>752</v>
      </c>
      <c r="E163" s="249" t="s">
        <v>781</v>
      </c>
      <c r="F163" s="216" t="s">
        <v>753</v>
      </c>
      <c r="G163" s="248" t="s">
        <v>29</v>
      </c>
      <c r="H163" s="247" t="s">
        <v>768</v>
      </c>
      <c r="I163" s="246">
        <v>0</v>
      </c>
      <c r="J163" s="245">
        <v>0</v>
      </c>
      <c r="K163" s="244">
        <v>0</v>
      </c>
      <c r="L163" s="241">
        <v>0</v>
      </c>
      <c r="M163" s="243">
        <v>0</v>
      </c>
      <c r="N163" s="242">
        <v>0</v>
      </c>
      <c r="O163" s="241">
        <v>9503558</v>
      </c>
      <c r="P163" s="240">
        <v>1.5000677900544579E-4</v>
      </c>
      <c r="Q163" s="239">
        <v>80993</v>
      </c>
      <c r="R163" s="238">
        <v>65980</v>
      </c>
      <c r="S163" s="237">
        <v>0</v>
      </c>
      <c r="T163" s="236">
        <v>65980</v>
      </c>
      <c r="U163" s="235">
        <v>80993</v>
      </c>
      <c r="V163" s="234">
        <v>146973</v>
      </c>
    </row>
    <row r="164" spans="1:22" s="4" customFormat="1" ht="30" x14ac:dyDescent="0.2">
      <c r="A164" s="250" t="s">
        <v>32</v>
      </c>
      <c r="B164" s="250" t="s">
        <v>152</v>
      </c>
      <c r="C164" s="250" t="s">
        <v>746</v>
      </c>
      <c r="D164" s="250" t="s">
        <v>747</v>
      </c>
      <c r="E164" s="249" t="s">
        <v>781</v>
      </c>
      <c r="F164" s="216" t="s">
        <v>748</v>
      </c>
      <c r="G164" s="248" t="s">
        <v>749</v>
      </c>
      <c r="H164" s="247" t="s">
        <v>768</v>
      </c>
      <c r="I164" s="246">
        <v>0</v>
      </c>
      <c r="J164" s="245">
        <v>0</v>
      </c>
      <c r="K164" s="244">
        <v>0</v>
      </c>
      <c r="L164" s="241">
        <v>0</v>
      </c>
      <c r="M164" s="243">
        <v>0</v>
      </c>
      <c r="N164" s="242">
        <v>0</v>
      </c>
      <c r="O164" s="241">
        <v>186230</v>
      </c>
      <c r="P164" s="240">
        <v>2.9395056519026003E-6</v>
      </c>
      <c r="Q164" s="239">
        <v>1587</v>
      </c>
      <c r="R164" s="238">
        <v>1293</v>
      </c>
      <c r="S164" s="237">
        <v>0</v>
      </c>
      <c r="T164" s="236">
        <v>1293</v>
      </c>
      <c r="U164" s="235">
        <v>1587</v>
      </c>
      <c r="V164" s="234">
        <v>2880</v>
      </c>
    </row>
    <row r="165" spans="1:22" s="4" customFormat="1" ht="15" x14ac:dyDescent="0.2">
      <c r="A165" s="250" t="s">
        <v>32</v>
      </c>
      <c r="B165" s="250" t="s">
        <v>152</v>
      </c>
      <c r="C165" s="250" t="s">
        <v>446</v>
      </c>
      <c r="D165" s="250" t="s">
        <v>447</v>
      </c>
      <c r="E165" s="249" t="s">
        <v>781</v>
      </c>
      <c r="F165" s="216" t="s">
        <v>448</v>
      </c>
      <c r="G165" s="248" t="s">
        <v>449</v>
      </c>
      <c r="H165" s="247" t="s">
        <v>769</v>
      </c>
      <c r="I165" s="246">
        <v>10</v>
      </c>
      <c r="J165" s="245">
        <v>4600</v>
      </c>
      <c r="K165" s="244">
        <v>14825</v>
      </c>
      <c r="L165" s="241">
        <v>150169</v>
      </c>
      <c r="M165" s="243">
        <v>1.5373371248010883E-5</v>
      </c>
      <c r="N165" s="242">
        <v>43894</v>
      </c>
      <c r="O165" s="241">
        <v>647865</v>
      </c>
      <c r="P165" s="240">
        <v>1.022607973564881E-5</v>
      </c>
      <c r="Q165" s="239">
        <v>5521</v>
      </c>
      <c r="R165" s="238">
        <v>4498</v>
      </c>
      <c r="S165" s="237">
        <v>4600</v>
      </c>
      <c r="T165" s="236">
        <v>63217</v>
      </c>
      <c r="U165" s="235">
        <v>5521</v>
      </c>
      <c r="V165" s="234">
        <v>73338</v>
      </c>
    </row>
    <row r="166" spans="1:22" s="4" customFormat="1" ht="15" x14ac:dyDescent="0.2">
      <c r="A166" s="250" t="s">
        <v>32</v>
      </c>
      <c r="B166" s="250" t="s">
        <v>155</v>
      </c>
      <c r="C166" s="250" t="s">
        <v>26</v>
      </c>
      <c r="D166" s="250" t="s">
        <v>27</v>
      </c>
      <c r="E166" s="249" t="s">
        <v>27</v>
      </c>
      <c r="F166" s="216" t="s">
        <v>155</v>
      </c>
      <c r="G166" s="248" t="s">
        <v>156</v>
      </c>
      <c r="H166" s="247" t="s">
        <v>769</v>
      </c>
      <c r="I166" s="246">
        <v>662</v>
      </c>
      <c r="J166" s="245">
        <v>304527</v>
      </c>
      <c r="K166" s="244">
        <v>981386</v>
      </c>
      <c r="L166" s="241">
        <v>4060519</v>
      </c>
      <c r="M166" s="243">
        <v>4.156907620521007E-4</v>
      </c>
      <c r="N166" s="242">
        <v>1186891</v>
      </c>
      <c r="O166" s="241">
        <v>37605816</v>
      </c>
      <c r="P166" s="240">
        <v>5.9358056530316931E-4</v>
      </c>
      <c r="Q166" s="239">
        <v>320490</v>
      </c>
      <c r="R166" s="238">
        <v>261083</v>
      </c>
      <c r="S166" s="237">
        <v>304527</v>
      </c>
      <c r="T166" s="236">
        <v>2429360</v>
      </c>
      <c r="U166" s="235">
        <v>320490</v>
      </c>
      <c r="V166" s="234">
        <v>3054377</v>
      </c>
    </row>
    <row r="167" spans="1:22" s="4" customFormat="1" ht="15" x14ac:dyDescent="0.2">
      <c r="A167" s="250" t="s">
        <v>32</v>
      </c>
      <c r="B167" s="250" t="s">
        <v>396</v>
      </c>
      <c r="C167" s="250" t="s">
        <v>805</v>
      </c>
      <c r="D167" s="250" t="s">
        <v>397</v>
      </c>
      <c r="E167" s="249" t="s">
        <v>781</v>
      </c>
      <c r="F167" s="216" t="s">
        <v>398</v>
      </c>
      <c r="G167" s="248" t="s">
        <v>804</v>
      </c>
      <c r="H167" s="247" t="s">
        <v>769</v>
      </c>
      <c r="I167" s="246">
        <v>68</v>
      </c>
      <c r="J167" s="245">
        <v>31281</v>
      </c>
      <c r="K167" s="244">
        <v>100807</v>
      </c>
      <c r="L167" s="241">
        <v>567848</v>
      </c>
      <c r="M167" s="243">
        <v>5.8132757869070741E-5</v>
      </c>
      <c r="N167" s="242">
        <v>165982</v>
      </c>
      <c r="O167" s="241">
        <v>5733856</v>
      </c>
      <c r="P167" s="240">
        <v>9.0504763567607986E-5</v>
      </c>
      <c r="Q167" s="239">
        <v>48866</v>
      </c>
      <c r="R167" s="238">
        <v>39808</v>
      </c>
      <c r="S167" s="237">
        <v>31281</v>
      </c>
      <c r="T167" s="236">
        <v>306597</v>
      </c>
      <c r="U167" s="235">
        <v>48866</v>
      </c>
      <c r="V167" s="234">
        <v>386744</v>
      </c>
    </row>
    <row r="168" spans="1:22" s="4" customFormat="1" ht="15" x14ac:dyDescent="0.2">
      <c r="A168" s="250" t="s">
        <v>32</v>
      </c>
      <c r="B168" s="250" t="s">
        <v>396</v>
      </c>
      <c r="C168" s="250" t="s">
        <v>803</v>
      </c>
      <c r="D168" s="250" t="s">
        <v>397</v>
      </c>
      <c r="E168" s="249" t="s">
        <v>781</v>
      </c>
      <c r="F168" s="216" t="s">
        <v>398</v>
      </c>
      <c r="G168" s="248" t="s">
        <v>802</v>
      </c>
      <c r="H168" s="247" t="s">
        <v>769</v>
      </c>
      <c r="I168" s="246">
        <v>61</v>
      </c>
      <c r="J168" s="245">
        <v>28061</v>
      </c>
      <c r="K168" s="244">
        <v>90430</v>
      </c>
      <c r="L168" s="241">
        <v>337094</v>
      </c>
      <c r="M168" s="243">
        <v>3.450959390737756E-5</v>
      </c>
      <c r="N168" s="242">
        <v>98533</v>
      </c>
      <c r="O168" s="241">
        <v>3977421</v>
      </c>
      <c r="P168" s="240">
        <v>6.2780709388906685E-5</v>
      </c>
      <c r="Q168" s="239">
        <v>33897</v>
      </c>
      <c r="R168" s="238">
        <v>27614</v>
      </c>
      <c r="S168" s="237">
        <v>28061</v>
      </c>
      <c r="T168" s="236">
        <v>216577</v>
      </c>
      <c r="U168" s="235">
        <v>33897</v>
      </c>
      <c r="V168" s="234">
        <v>278535</v>
      </c>
    </row>
    <row r="169" spans="1:22" s="4" customFormat="1" ht="15" x14ac:dyDescent="0.2">
      <c r="A169" s="250" t="s">
        <v>32</v>
      </c>
      <c r="B169" s="250" t="s">
        <v>396</v>
      </c>
      <c r="C169" s="250" t="s">
        <v>801</v>
      </c>
      <c r="D169" s="250" t="s">
        <v>397</v>
      </c>
      <c r="E169" s="249" t="s">
        <v>781</v>
      </c>
      <c r="F169" s="216" t="s">
        <v>398</v>
      </c>
      <c r="G169" s="248" t="s">
        <v>800</v>
      </c>
      <c r="H169" s="247" t="s">
        <v>769</v>
      </c>
      <c r="I169" s="246">
        <v>66</v>
      </c>
      <c r="J169" s="245">
        <v>30361</v>
      </c>
      <c r="K169" s="244">
        <v>97842</v>
      </c>
      <c r="L169" s="241">
        <v>296497</v>
      </c>
      <c r="M169" s="243">
        <v>3.0353524728282688E-5</v>
      </c>
      <c r="N169" s="242">
        <v>86666</v>
      </c>
      <c r="O169" s="241">
        <v>2850304</v>
      </c>
      <c r="P169" s="240">
        <v>4.4989983985612357E-5</v>
      </c>
      <c r="Q169" s="239">
        <v>24291</v>
      </c>
      <c r="R169" s="238">
        <v>19789</v>
      </c>
      <c r="S169" s="237">
        <v>30361</v>
      </c>
      <c r="T169" s="236">
        <v>204297</v>
      </c>
      <c r="U169" s="235">
        <v>24291</v>
      </c>
      <c r="V169" s="234">
        <v>258949</v>
      </c>
    </row>
    <row r="170" spans="1:22" s="4" customFormat="1" ht="15" x14ac:dyDescent="0.2">
      <c r="A170" s="250" t="s">
        <v>32</v>
      </c>
      <c r="B170" s="250" t="s">
        <v>396</v>
      </c>
      <c r="C170" s="250" t="s">
        <v>799</v>
      </c>
      <c r="D170" s="250" t="s">
        <v>397</v>
      </c>
      <c r="E170" s="249" t="s">
        <v>781</v>
      </c>
      <c r="F170" s="216" t="s">
        <v>398</v>
      </c>
      <c r="G170" s="248" t="s">
        <v>798</v>
      </c>
      <c r="H170" s="247" t="s">
        <v>769</v>
      </c>
      <c r="I170" s="246">
        <v>46</v>
      </c>
      <c r="J170" s="245">
        <v>21161</v>
      </c>
      <c r="K170" s="244">
        <v>68193</v>
      </c>
      <c r="L170" s="241">
        <v>312807</v>
      </c>
      <c r="M170" s="243">
        <v>3.202324141451658E-5</v>
      </c>
      <c r="N170" s="242">
        <v>91434</v>
      </c>
      <c r="O170" s="241">
        <v>2914762</v>
      </c>
      <c r="P170" s="240">
        <v>4.6007406824630436E-5</v>
      </c>
      <c r="Q170" s="239">
        <v>24841</v>
      </c>
      <c r="R170" s="238">
        <v>20236</v>
      </c>
      <c r="S170" s="237">
        <v>21161</v>
      </c>
      <c r="T170" s="236">
        <v>179863</v>
      </c>
      <c r="U170" s="235">
        <v>24841</v>
      </c>
      <c r="V170" s="234">
        <v>225865</v>
      </c>
    </row>
    <row r="171" spans="1:22" s="4" customFormat="1" ht="15" x14ac:dyDescent="0.2">
      <c r="A171" s="250" t="s">
        <v>32</v>
      </c>
      <c r="B171" s="250" t="s">
        <v>396</v>
      </c>
      <c r="C171" s="250" t="s">
        <v>797</v>
      </c>
      <c r="D171" s="250" t="s">
        <v>397</v>
      </c>
      <c r="E171" s="249" t="s">
        <v>781</v>
      </c>
      <c r="F171" s="216" t="s">
        <v>398</v>
      </c>
      <c r="G171" s="248" t="s">
        <v>796</v>
      </c>
      <c r="H171" s="247" t="s">
        <v>769</v>
      </c>
      <c r="I171" s="246">
        <v>63</v>
      </c>
      <c r="J171" s="245">
        <v>28981</v>
      </c>
      <c r="K171" s="244">
        <v>93395</v>
      </c>
      <c r="L171" s="241">
        <v>508868</v>
      </c>
      <c r="M171" s="243">
        <v>5.2094751115295449E-5</v>
      </c>
      <c r="N171" s="242">
        <v>148742</v>
      </c>
      <c r="O171" s="241">
        <v>3894548</v>
      </c>
      <c r="P171" s="240">
        <v>6.1472619114030859E-5</v>
      </c>
      <c r="Q171" s="239">
        <v>33191</v>
      </c>
      <c r="R171" s="238">
        <v>27038</v>
      </c>
      <c r="S171" s="237">
        <v>28981</v>
      </c>
      <c r="T171" s="236">
        <v>269175</v>
      </c>
      <c r="U171" s="235">
        <v>33191</v>
      </c>
      <c r="V171" s="234">
        <v>331347</v>
      </c>
    </row>
    <row r="172" spans="1:22" s="4" customFormat="1" ht="15" x14ac:dyDescent="0.2">
      <c r="A172" s="250" t="s">
        <v>32</v>
      </c>
      <c r="B172" s="250" t="s">
        <v>396</v>
      </c>
      <c r="C172" s="250" t="s">
        <v>795</v>
      </c>
      <c r="D172" s="250" t="s">
        <v>397</v>
      </c>
      <c r="E172" s="249" t="s">
        <v>781</v>
      </c>
      <c r="F172" s="216" t="s">
        <v>398</v>
      </c>
      <c r="G172" s="248" t="s">
        <v>794</v>
      </c>
      <c r="H172" s="247" t="s">
        <v>769</v>
      </c>
      <c r="I172" s="246">
        <v>52</v>
      </c>
      <c r="J172" s="245">
        <v>23921</v>
      </c>
      <c r="K172" s="244">
        <v>77088</v>
      </c>
      <c r="L172" s="241">
        <v>413730</v>
      </c>
      <c r="M172" s="243">
        <v>4.235511248286626E-5</v>
      </c>
      <c r="N172" s="242">
        <v>120933</v>
      </c>
      <c r="O172" s="241">
        <v>3758352</v>
      </c>
      <c r="P172" s="240">
        <v>5.9322863909356391E-5</v>
      </c>
      <c r="Q172" s="239">
        <v>32030</v>
      </c>
      <c r="R172" s="238">
        <v>26093</v>
      </c>
      <c r="S172" s="237">
        <v>23921</v>
      </c>
      <c r="T172" s="236">
        <v>224114</v>
      </c>
      <c r="U172" s="235">
        <v>32030</v>
      </c>
      <c r="V172" s="234">
        <v>280065</v>
      </c>
    </row>
    <row r="173" spans="1:22" s="4" customFormat="1" ht="15" x14ac:dyDescent="0.2">
      <c r="A173" s="250" t="s">
        <v>32</v>
      </c>
      <c r="B173" s="250" t="s">
        <v>396</v>
      </c>
      <c r="C173" s="250" t="s">
        <v>793</v>
      </c>
      <c r="D173" s="250" t="s">
        <v>397</v>
      </c>
      <c r="E173" s="249" t="s">
        <v>781</v>
      </c>
      <c r="F173" s="216" t="s">
        <v>398</v>
      </c>
      <c r="G173" s="248" t="s">
        <v>792</v>
      </c>
      <c r="H173" s="247" t="s">
        <v>769</v>
      </c>
      <c r="I173" s="246">
        <v>40</v>
      </c>
      <c r="J173" s="245">
        <v>18400</v>
      </c>
      <c r="K173" s="244">
        <v>59298</v>
      </c>
      <c r="L173" s="241">
        <v>186119</v>
      </c>
      <c r="M173" s="243">
        <v>1.9053709376159778E-5</v>
      </c>
      <c r="N173" s="242">
        <v>54403</v>
      </c>
      <c r="O173" s="241">
        <v>2226008</v>
      </c>
      <c r="P173" s="240">
        <v>3.5135923842455046E-5</v>
      </c>
      <c r="Q173" s="239">
        <v>18971</v>
      </c>
      <c r="R173" s="238">
        <v>15454</v>
      </c>
      <c r="S173" s="237">
        <v>18400</v>
      </c>
      <c r="T173" s="236">
        <v>129155</v>
      </c>
      <c r="U173" s="235">
        <v>18971</v>
      </c>
      <c r="V173" s="234">
        <v>166526</v>
      </c>
    </row>
    <row r="174" spans="1:22" s="4" customFormat="1" ht="15" x14ac:dyDescent="0.2">
      <c r="A174" s="250" t="s">
        <v>32</v>
      </c>
      <c r="B174" s="250" t="s">
        <v>396</v>
      </c>
      <c r="C174" s="250" t="s">
        <v>791</v>
      </c>
      <c r="D174" s="250" t="s">
        <v>397</v>
      </c>
      <c r="E174" s="249" t="s">
        <v>781</v>
      </c>
      <c r="F174" s="216" t="s">
        <v>398</v>
      </c>
      <c r="G174" s="248" t="s">
        <v>790</v>
      </c>
      <c r="H174" s="247" t="s">
        <v>769</v>
      </c>
      <c r="I174" s="246">
        <v>13</v>
      </c>
      <c r="J174" s="245">
        <v>5980</v>
      </c>
      <c r="K174" s="244">
        <v>19272</v>
      </c>
      <c r="L174" s="241">
        <v>62920</v>
      </c>
      <c r="M174" s="243">
        <v>6.4413595277643508E-6</v>
      </c>
      <c r="N174" s="242">
        <v>18392</v>
      </c>
      <c r="O174" s="241">
        <v>916880</v>
      </c>
      <c r="P174" s="240">
        <v>1.4472286646171165E-5</v>
      </c>
      <c r="Q174" s="239">
        <v>7814</v>
      </c>
      <c r="R174" s="238">
        <v>6366</v>
      </c>
      <c r="S174" s="237">
        <v>5980</v>
      </c>
      <c r="T174" s="236">
        <v>44030</v>
      </c>
      <c r="U174" s="235">
        <v>7814</v>
      </c>
      <c r="V174" s="234">
        <v>57824</v>
      </c>
    </row>
    <row r="175" spans="1:22" s="4" customFormat="1" ht="15" x14ac:dyDescent="0.2">
      <c r="A175" s="250" t="s">
        <v>32</v>
      </c>
      <c r="B175" s="250" t="s">
        <v>396</v>
      </c>
      <c r="C175" s="250" t="s">
        <v>789</v>
      </c>
      <c r="D175" s="250" t="s">
        <v>397</v>
      </c>
      <c r="E175" s="249" t="s">
        <v>781</v>
      </c>
      <c r="F175" s="216" t="s">
        <v>398</v>
      </c>
      <c r="G175" s="248" t="s">
        <v>788</v>
      </c>
      <c r="H175" s="247" t="s">
        <v>769</v>
      </c>
      <c r="I175" s="246">
        <v>21</v>
      </c>
      <c r="J175" s="245">
        <v>9660</v>
      </c>
      <c r="K175" s="244">
        <v>31132</v>
      </c>
      <c r="L175" s="241">
        <v>114015</v>
      </c>
      <c r="M175" s="243">
        <v>1.1672148864559003E-5</v>
      </c>
      <c r="N175" s="242">
        <v>33327</v>
      </c>
      <c r="O175" s="241">
        <v>1792677</v>
      </c>
      <c r="P175" s="240">
        <v>2.8296107896342144E-5</v>
      </c>
      <c r="Q175" s="239">
        <v>15278</v>
      </c>
      <c r="R175" s="238">
        <v>12446</v>
      </c>
      <c r="S175" s="237">
        <v>9660</v>
      </c>
      <c r="T175" s="236">
        <v>76905</v>
      </c>
      <c r="U175" s="235">
        <v>15278</v>
      </c>
      <c r="V175" s="234">
        <v>101843</v>
      </c>
    </row>
    <row r="176" spans="1:22" s="4" customFormat="1" ht="15" x14ac:dyDescent="0.2">
      <c r="A176" s="250" t="s">
        <v>32</v>
      </c>
      <c r="B176" s="250" t="s">
        <v>158</v>
      </c>
      <c r="C176" s="250" t="s">
        <v>26</v>
      </c>
      <c r="D176" s="250" t="s">
        <v>27</v>
      </c>
      <c r="E176" s="249" t="s">
        <v>27</v>
      </c>
      <c r="F176" s="216" t="s">
        <v>158</v>
      </c>
      <c r="G176" s="248" t="s">
        <v>159</v>
      </c>
      <c r="H176" s="247" t="s">
        <v>769</v>
      </c>
      <c r="I176" s="246">
        <v>372</v>
      </c>
      <c r="J176" s="245">
        <v>171124</v>
      </c>
      <c r="K176" s="244">
        <v>551473</v>
      </c>
      <c r="L176" s="241">
        <v>1379345</v>
      </c>
      <c r="M176" s="243">
        <v>1.4120878985734455E-4</v>
      </c>
      <c r="N176" s="242">
        <v>403183</v>
      </c>
      <c r="O176" s="241">
        <v>21237301</v>
      </c>
      <c r="P176" s="240">
        <v>3.3521541277268293E-4</v>
      </c>
      <c r="Q176" s="239">
        <v>180992</v>
      </c>
      <c r="R176" s="238">
        <v>147442</v>
      </c>
      <c r="S176" s="237">
        <v>171124</v>
      </c>
      <c r="T176" s="236">
        <v>1102098</v>
      </c>
      <c r="U176" s="235">
        <v>180992</v>
      </c>
      <c r="V176" s="234">
        <v>1454214</v>
      </c>
    </row>
    <row r="177" spans="1:22" s="4" customFormat="1" ht="15" x14ac:dyDescent="0.2">
      <c r="A177" s="250" t="s">
        <v>32</v>
      </c>
      <c r="B177" s="250" t="s">
        <v>158</v>
      </c>
      <c r="C177" s="250" t="s">
        <v>787</v>
      </c>
      <c r="D177" s="250" t="s">
        <v>786</v>
      </c>
      <c r="E177" s="249" t="s">
        <v>780</v>
      </c>
      <c r="F177" s="216" t="s">
        <v>158</v>
      </c>
      <c r="G177" s="248" t="s">
        <v>785</v>
      </c>
      <c r="H177" s="247" t="s">
        <v>769</v>
      </c>
      <c r="I177" s="246">
        <v>11</v>
      </c>
      <c r="J177" s="245">
        <v>5060</v>
      </c>
      <c r="K177" s="244">
        <v>16307</v>
      </c>
      <c r="L177" s="241">
        <v>107644</v>
      </c>
      <c r="M177" s="243">
        <v>1.1019925381542685E-5</v>
      </c>
      <c r="N177" s="242">
        <v>31464</v>
      </c>
      <c r="O177" s="241">
        <v>852685</v>
      </c>
      <c r="P177" s="240">
        <v>1.3459015071645645E-5</v>
      </c>
      <c r="Q177" s="239">
        <v>7267</v>
      </c>
      <c r="R177" s="238">
        <v>5920</v>
      </c>
      <c r="S177" s="237">
        <v>5060</v>
      </c>
      <c r="T177" s="236">
        <v>53691</v>
      </c>
      <c r="U177" s="235">
        <v>7267</v>
      </c>
      <c r="V177" s="234">
        <v>66018</v>
      </c>
    </row>
    <row r="178" spans="1:22" s="4" customFormat="1" ht="15" x14ac:dyDescent="0.2">
      <c r="A178" s="250" t="s">
        <v>32</v>
      </c>
      <c r="B178" s="250" t="s">
        <v>600</v>
      </c>
      <c r="C178" s="250" t="s">
        <v>601</v>
      </c>
      <c r="D178" s="250" t="s">
        <v>602</v>
      </c>
      <c r="E178" s="249" t="s">
        <v>781</v>
      </c>
      <c r="F178" s="216" t="s">
        <v>603</v>
      </c>
      <c r="G178" s="248" t="s">
        <v>604</v>
      </c>
      <c r="H178" s="247" t="s">
        <v>768</v>
      </c>
      <c r="I178" s="246">
        <v>0</v>
      </c>
      <c r="J178" s="245">
        <v>0</v>
      </c>
      <c r="K178" s="244">
        <v>0</v>
      </c>
      <c r="L178" s="241">
        <v>0</v>
      </c>
      <c r="M178" s="243">
        <v>0</v>
      </c>
      <c r="N178" s="242">
        <v>0</v>
      </c>
      <c r="O178" s="241">
        <v>3171943</v>
      </c>
      <c r="P178" s="240">
        <v>5.0066822617263002E-5</v>
      </c>
      <c r="Q178" s="239">
        <v>27032</v>
      </c>
      <c r="R178" s="238">
        <v>22022</v>
      </c>
      <c r="S178" s="237">
        <v>0</v>
      </c>
      <c r="T178" s="236">
        <v>22022</v>
      </c>
      <c r="U178" s="235">
        <v>27032</v>
      </c>
      <c r="V178" s="234">
        <v>49054</v>
      </c>
    </row>
    <row r="179" spans="1:22" s="4" customFormat="1" ht="15" x14ac:dyDescent="0.2">
      <c r="A179" s="250" t="s">
        <v>32</v>
      </c>
      <c r="B179" s="250" t="s">
        <v>611</v>
      </c>
      <c r="C179" s="250" t="s">
        <v>612</v>
      </c>
      <c r="D179" s="250" t="s">
        <v>613</v>
      </c>
      <c r="E179" s="249" t="s">
        <v>781</v>
      </c>
      <c r="F179" s="216" t="s">
        <v>614</v>
      </c>
      <c r="G179" s="248" t="s">
        <v>615</v>
      </c>
      <c r="H179" s="247" t="s">
        <v>768</v>
      </c>
      <c r="I179" s="246">
        <v>0</v>
      </c>
      <c r="J179" s="245">
        <v>0</v>
      </c>
      <c r="K179" s="244">
        <v>0</v>
      </c>
      <c r="L179" s="241">
        <v>0</v>
      </c>
      <c r="M179" s="243">
        <v>0</v>
      </c>
      <c r="N179" s="242">
        <v>0</v>
      </c>
      <c r="O179" s="241">
        <v>3875024</v>
      </c>
      <c r="P179" s="240">
        <v>6.1164446916491552E-5</v>
      </c>
      <c r="Q179" s="239">
        <v>33024</v>
      </c>
      <c r="R179" s="238">
        <v>26903</v>
      </c>
      <c r="S179" s="237">
        <v>0</v>
      </c>
      <c r="T179" s="236">
        <v>26903</v>
      </c>
      <c r="U179" s="235">
        <v>33024</v>
      </c>
      <c r="V179" s="234">
        <v>59927</v>
      </c>
    </row>
    <row r="180" spans="1:22" s="4" customFormat="1" ht="15" x14ac:dyDescent="0.2">
      <c r="A180" s="250" t="s">
        <v>32</v>
      </c>
      <c r="B180" s="250" t="s">
        <v>627</v>
      </c>
      <c r="C180" s="250" t="s">
        <v>628</v>
      </c>
      <c r="D180" s="250" t="s">
        <v>629</v>
      </c>
      <c r="E180" s="249" t="s">
        <v>781</v>
      </c>
      <c r="F180" s="216" t="s">
        <v>630</v>
      </c>
      <c r="G180" s="248" t="s">
        <v>631</v>
      </c>
      <c r="H180" s="247" t="s">
        <v>768</v>
      </c>
      <c r="I180" s="246">
        <v>0</v>
      </c>
      <c r="J180" s="245">
        <v>0</v>
      </c>
      <c r="K180" s="244">
        <v>0</v>
      </c>
      <c r="L180" s="241">
        <v>0</v>
      </c>
      <c r="M180" s="243">
        <v>0</v>
      </c>
      <c r="N180" s="242">
        <v>0</v>
      </c>
      <c r="O180" s="241">
        <v>3440601</v>
      </c>
      <c r="P180" s="240">
        <v>5.4307394541382902E-5</v>
      </c>
      <c r="Q180" s="239">
        <v>29322</v>
      </c>
      <c r="R180" s="238">
        <v>23887</v>
      </c>
      <c r="S180" s="237">
        <v>0</v>
      </c>
      <c r="T180" s="236">
        <v>23887</v>
      </c>
      <c r="U180" s="235">
        <v>29322</v>
      </c>
      <c r="V180" s="234">
        <v>53209</v>
      </c>
    </row>
    <row r="181" spans="1:22" s="4" customFormat="1" ht="15" x14ac:dyDescent="0.2">
      <c r="A181" s="250" t="s">
        <v>32</v>
      </c>
      <c r="B181" s="250" t="s">
        <v>675</v>
      </c>
      <c r="C181" s="250" t="s">
        <v>676</v>
      </c>
      <c r="D181" s="250" t="s">
        <v>677</v>
      </c>
      <c r="E181" s="249" t="s">
        <v>781</v>
      </c>
      <c r="F181" s="216" t="s">
        <v>678</v>
      </c>
      <c r="G181" s="248" t="s">
        <v>679</v>
      </c>
      <c r="H181" s="247" t="s">
        <v>768</v>
      </c>
      <c r="I181" s="246">
        <v>0</v>
      </c>
      <c r="J181" s="245">
        <v>0</v>
      </c>
      <c r="K181" s="244">
        <v>0</v>
      </c>
      <c r="L181" s="241">
        <v>0</v>
      </c>
      <c r="M181" s="243">
        <v>0</v>
      </c>
      <c r="N181" s="242">
        <v>0</v>
      </c>
      <c r="O181" s="241">
        <v>1954654</v>
      </c>
      <c r="P181" s="240">
        <v>3.0852797511217447E-5</v>
      </c>
      <c r="Q181" s="239">
        <v>16658</v>
      </c>
      <c r="R181" s="238">
        <v>13570</v>
      </c>
      <c r="S181" s="237">
        <v>0</v>
      </c>
      <c r="T181" s="236">
        <v>13570</v>
      </c>
      <c r="U181" s="235">
        <v>16658</v>
      </c>
      <c r="V181" s="234">
        <v>30228</v>
      </c>
    </row>
    <row r="182" spans="1:22" s="4" customFormat="1" ht="15" x14ac:dyDescent="0.2">
      <c r="A182" s="250" t="s">
        <v>32</v>
      </c>
      <c r="B182" s="250" t="s">
        <v>669</v>
      </c>
      <c r="C182" s="250" t="s">
        <v>670</v>
      </c>
      <c r="D182" s="250" t="s">
        <v>671</v>
      </c>
      <c r="E182" s="249" t="s">
        <v>781</v>
      </c>
      <c r="F182" s="216" t="s">
        <v>672</v>
      </c>
      <c r="G182" s="248" t="s">
        <v>783</v>
      </c>
      <c r="H182" s="247" t="s">
        <v>769</v>
      </c>
      <c r="I182" s="246">
        <v>17</v>
      </c>
      <c r="J182" s="245">
        <v>7820</v>
      </c>
      <c r="K182" s="244">
        <v>25202</v>
      </c>
      <c r="L182" s="241">
        <v>271954</v>
      </c>
      <c r="M182" s="243">
        <v>2.7840964542492471E-5</v>
      </c>
      <c r="N182" s="242">
        <v>79492</v>
      </c>
      <c r="O182" s="241">
        <v>3283627</v>
      </c>
      <c r="P182" s="240">
        <v>5.1829673657520156E-5</v>
      </c>
      <c r="Q182" s="239">
        <v>27984</v>
      </c>
      <c r="R182" s="238">
        <v>22797</v>
      </c>
      <c r="S182" s="237">
        <v>7820</v>
      </c>
      <c r="T182" s="236">
        <v>127491</v>
      </c>
      <c r="U182" s="235">
        <v>27984</v>
      </c>
      <c r="V182" s="234">
        <v>163295</v>
      </c>
    </row>
    <row r="183" spans="1:22" s="4" customFormat="1" ht="30" x14ac:dyDescent="0.2">
      <c r="A183" s="250" t="s">
        <v>32</v>
      </c>
      <c r="B183" s="250" t="s">
        <v>663</v>
      </c>
      <c r="C183" s="250" t="s">
        <v>664</v>
      </c>
      <c r="D183" s="250" t="s">
        <v>665</v>
      </c>
      <c r="E183" s="249" t="s">
        <v>781</v>
      </c>
      <c r="F183" s="216" t="s">
        <v>666</v>
      </c>
      <c r="G183" s="248" t="s">
        <v>667</v>
      </c>
      <c r="H183" s="247" t="s">
        <v>769</v>
      </c>
      <c r="I183" s="246">
        <v>19</v>
      </c>
      <c r="J183" s="245">
        <v>8740</v>
      </c>
      <c r="K183" s="244">
        <v>28167</v>
      </c>
      <c r="L183" s="241">
        <v>113548</v>
      </c>
      <c r="M183" s="243">
        <v>1.1624340299723245E-5</v>
      </c>
      <c r="N183" s="242">
        <v>33190</v>
      </c>
      <c r="O183" s="241">
        <v>1376315</v>
      </c>
      <c r="P183" s="240">
        <v>2.1724135323515689E-5</v>
      </c>
      <c r="Q183" s="239">
        <v>11729</v>
      </c>
      <c r="R183" s="238">
        <v>9555</v>
      </c>
      <c r="S183" s="237">
        <v>8740</v>
      </c>
      <c r="T183" s="236">
        <v>70912</v>
      </c>
      <c r="U183" s="235">
        <v>11729</v>
      </c>
      <c r="V183" s="234">
        <v>91381</v>
      </c>
    </row>
    <row r="184" spans="1:22" s="220" customFormat="1" x14ac:dyDescent="0.25">
      <c r="A184" s="233" t="s">
        <v>993</v>
      </c>
      <c r="B184" s="122"/>
      <c r="C184" s="122"/>
      <c r="D184" s="122"/>
      <c r="E184" s="122"/>
      <c r="F184" s="232"/>
      <c r="G184" s="231"/>
      <c r="H184" s="230"/>
      <c r="I184" s="229">
        <f>SUBTOTAL(109,Table18[Special Education Pupil Count as of the 2019-20 Fall 1 Census])</f>
        <v>68722</v>
      </c>
      <c r="J184" s="221">
        <f>SUBTOTAL(109,Table18[Allocation for 
Sec. 110(a)
Paid from 
GEER Fund
Res. Code 3215])</f>
        <v>31612891</v>
      </c>
      <c r="K184" s="224">
        <f>SUBTOTAL(109,Table18[Allocation for 
Sec. 110(a)
Paid from 
CR Fund
Res. Code 3220])</f>
        <v>101877320</v>
      </c>
      <c r="L184" s="226">
        <f>SUBTOTAL(109,Table18[LEA Supplemental
 and Concentration 
Grant Funding 
as of 2019-20 P-2])</f>
        <v>555132622</v>
      </c>
      <c r="M184" s="228">
        <f>SUBTOTAL(109,Table18[LEA Proportion of 
Statewide 
Supplemental and Concentration 
Grant Funding])</f>
        <v>5.6831036298355113E-2</v>
      </c>
      <c r="N184" s="227">
        <f>SUBTOTAL(109,Table18[Allocation for 
Sec. 110(b)
Paid from 
CR Fund
Res. Code 3220])</f>
        <v>162265511</v>
      </c>
      <c r="O184" s="226">
        <f>SUBTOTAL(109,Table18[LEA
LCFF  Entitlement 
as of 2019-20 P-2])</f>
        <v>4961878647</v>
      </c>
      <c r="P184" s="225">
        <f>SUBTOTAL(109,Table18[LEA Proportion of Statewide LCFF Entitlement])</f>
        <v>7.831966024223451E-2</v>
      </c>
      <c r="Q184" s="221">
        <f>SUBTOTAL(109,Table18[Allocation for 
Sec. 110(c)
Paid from GF
Res. Code 7420])</f>
        <v>42286818</v>
      </c>
      <c r="R184" s="224">
        <f>SUBTOTAL(109,Table18[Allocation for 
Sec. 110(c)
Paid from 
CR Fund
Res. Code 3220])</f>
        <v>34448433</v>
      </c>
      <c r="S184" s="223">
        <f>SUBTOTAL(109,Table18[Allocation
 by Fund
GEER Fund
Res. Code 3215])</f>
        <v>31612891</v>
      </c>
      <c r="T184" s="223">
        <f>SUBTOTAL(109,Table18[Allocation
by Fund
CR Fund
Res. Code 3220])</f>
        <v>298591264</v>
      </c>
      <c r="U184" s="222">
        <f>SUBTOTAL(109,Table18[Allocation
by Fund
GF
Res. Code 7420])</f>
        <v>42286818</v>
      </c>
      <c r="V184" s="221">
        <f>SUBTOTAL(109,Table18[Total Allocation
Sec. 110(a)-GEER
Sec. 110(a)-CRF
Sec. 110(b)-CRF
Sec. 110(c)-GF
Sec. 110(c)-CRF])</f>
        <v>372490973</v>
      </c>
    </row>
    <row r="185" spans="1:22" x14ac:dyDescent="0.25">
      <c r="A185" s="148" t="s">
        <v>765</v>
      </c>
      <c r="F185" s="216"/>
      <c r="S185" s="218"/>
      <c r="T185" s="218"/>
      <c r="U185" s="290" t="s">
        <v>985</v>
      </c>
      <c r="V185" s="290">
        <f>SUMIF(Table18[Charter Number],"N/A",Table18[Total Allocation
Sec. 110(a)-GEER
Sec. 110(a)-CRF
Sec. 110(b)-CRF
Sec. 110(c)-GF
Sec. 110(c)-CRF])</f>
        <v>335178982</v>
      </c>
    </row>
    <row r="186" spans="1:22" x14ac:dyDescent="0.25">
      <c r="A186" s="148" t="s">
        <v>766</v>
      </c>
      <c r="F186" s="216"/>
      <c r="S186" s="219"/>
      <c r="U186" s="218"/>
    </row>
    <row r="187" spans="1:22" x14ac:dyDescent="0.25">
      <c r="A187" s="217" t="s">
        <v>954</v>
      </c>
      <c r="F187" s="216"/>
      <c r="J187" s="215"/>
    </row>
  </sheetData>
  <printOptions horizontalCentered="1"/>
  <pageMargins left="0.2" right="0.2" top="0.5" bottom="0.5" header="0.3" footer="0.3"/>
  <pageSetup paperSize="5" scale="40" fitToHeight="0" orientation="landscape" r:id="rId1"/>
  <headerFooter>
    <oddFooter>Page &amp;P of &amp;N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3DA8E-C6B6-44F6-8B14-C6E70C6DBD0B}">
  <sheetPr>
    <pageSetUpPr fitToPage="1"/>
  </sheetPr>
  <dimension ref="A1:M188"/>
  <sheetViews>
    <sheetView showGridLines="0" zoomScaleNormal="100" workbookViewId="0"/>
  </sheetViews>
  <sheetFormatPr defaultRowHeight="15" x14ac:dyDescent="0.2"/>
  <cols>
    <col min="1" max="5" width="10.5546875" customWidth="1"/>
    <col min="6" max="6" width="41.5546875" style="39" customWidth="1"/>
    <col min="7" max="7" width="14.21875" customWidth="1"/>
    <col min="8" max="8" width="18" customWidth="1"/>
    <col min="9" max="9" width="20.6640625" customWidth="1"/>
    <col min="10" max="10" width="20" customWidth="1"/>
    <col min="11" max="11" width="18.109375" customWidth="1"/>
    <col min="12" max="13" width="16.5546875" customWidth="1"/>
  </cols>
  <sheetData>
    <row r="1" spans="1:13" ht="18" x14ac:dyDescent="0.25">
      <c r="A1" s="71" t="s">
        <v>845</v>
      </c>
      <c r="B1" s="66"/>
      <c r="C1" s="66"/>
      <c r="D1" s="66"/>
      <c r="E1" s="66"/>
      <c r="F1" s="67"/>
      <c r="G1" s="66"/>
      <c r="H1" s="66"/>
      <c r="I1" s="70"/>
    </row>
    <row r="2" spans="1:13" ht="15.75" x14ac:dyDescent="0.25">
      <c r="A2" s="69" t="s">
        <v>844</v>
      </c>
      <c r="B2" s="66"/>
      <c r="C2" s="66"/>
      <c r="D2" s="66"/>
      <c r="E2" s="66"/>
      <c r="F2" s="67"/>
      <c r="G2" s="66"/>
      <c r="H2" s="66"/>
      <c r="I2" s="66"/>
    </row>
    <row r="3" spans="1:13" x14ac:dyDescent="0.2">
      <c r="A3" s="64" t="s">
        <v>843</v>
      </c>
      <c r="B3" s="64"/>
      <c r="C3" s="64"/>
      <c r="D3" s="64"/>
      <c r="E3" s="64"/>
      <c r="F3" s="65"/>
      <c r="G3" s="64"/>
      <c r="H3" s="64"/>
      <c r="I3" s="64"/>
    </row>
    <row r="4" spans="1:13" x14ac:dyDescent="0.2">
      <c r="A4" s="64" t="s">
        <v>842</v>
      </c>
      <c r="B4" s="64"/>
      <c r="C4" s="64"/>
      <c r="D4" s="64"/>
      <c r="E4" s="64"/>
      <c r="F4" s="65"/>
      <c r="G4" s="64"/>
      <c r="H4" s="64"/>
      <c r="I4" s="64"/>
    </row>
    <row r="5" spans="1:13" x14ac:dyDescent="0.2">
      <c r="A5" s="64" t="s">
        <v>841</v>
      </c>
      <c r="B5" s="64"/>
      <c r="C5" s="64"/>
      <c r="D5" s="64"/>
      <c r="E5" s="64"/>
      <c r="F5" s="65"/>
      <c r="G5" s="64"/>
      <c r="H5" s="64"/>
      <c r="I5" s="64"/>
    </row>
    <row r="6" spans="1:13" ht="15.75" x14ac:dyDescent="0.25">
      <c r="A6" s="68" t="s">
        <v>840</v>
      </c>
      <c r="B6" s="66"/>
      <c r="C6" s="66"/>
      <c r="D6" s="66"/>
      <c r="E6" s="66"/>
      <c r="F6" s="67"/>
      <c r="G6" s="66"/>
      <c r="H6" s="66"/>
      <c r="I6" s="66"/>
    </row>
    <row r="7" spans="1:13" x14ac:dyDescent="0.2">
      <c r="A7" s="64" t="s">
        <v>839</v>
      </c>
      <c r="B7" s="64"/>
      <c r="C7" s="64"/>
      <c r="D7" s="64"/>
      <c r="E7" s="64"/>
      <c r="F7" s="65"/>
      <c r="G7" s="64"/>
      <c r="H7" s="64"/>
      <c r="I7" s="64"/>
    </row>
    <row r="8" spans="1:13" ht="15.75" x14ac:dyDescent="0.25">
      <c r="A8" s="63" t="s">
        <v>838</v>
      </c>
      <c r="B8" s="61"/>
      <c r="C8" s="61"/>
      <c r="D8" s="61"/>
      <c r="E8" s="61"/>
      <c r="F8" s="62"/>
      <c r="G8" s="61"/>
      <c r="H8" s="61"/>
      <c r="I8" s="61"/>
    </row>
    <row r="9" spans="1:13" ht="78.75" x14ac:dyDescent="0.25">
      <c r="A9" s="60" t="s">
        <v>837</v>
      </c>
      <c r="B9" s="59" t="s">
        <v>836</v>
      </c>
      <c r="C9" s="59" t="s">
        <v>835</v>
      </c>
      <c r="D9" s="59" t="s">
        <v>834</v>
      </c>
      <c r="E9" s="59" t="s">
        <v>833</v>
      </c>
      <c r="F9" s="59" t="s">
        <v>832</v>
      </c>
      <c r="G9" s="59" t="s">
        <v>831</v>
      </c>
      <c r="H9" s="59" t="s">
        <v>830</v>
      </c>
      <c r="I9" s="58" t="s">
        <v>829</v>
      </c>
      <c r="J9" s="59" t="s">
        <v>828</v>
      </c>
      <c r="K9" s="58" t="s">
        <v>827</v>
      </c>
      <c r="L9" s="58" t="s">
        <v>826</v>
      </c>
      <c r="M9" s="58" t="s">
        <v>825</v>
      </c>
    </row>
    <row r="10" spans="1:13" ht="14.45" customHeight="1" x14ac:dyDescent="0.2">
      <c r="A10" s="56" t="s">
        <v>32</v>
      </c>
      <c r="B10" s="55" t="s">
        <v>33</v>
      </c>
      <c r="C10" s="55" t="s">
        <v>26</v>
      </c>
      <c r="D10" s="55" t="s">
        <v>27</v>
      </c>
      <c r="E10" s="55" t="s">
        <v>27</v>
      </c>
      <c r="F10" s="54" t="s">
        <v>824</v>
      </c>
      <c r="G10" s="53" t="s">
        <v>782</v>
      </c>
      <c r="H10" s="52" t="s">
        <v>27</v>
      </c>
      <c r="I10" s="51">
        <v>81831329</v>
      </c>
      <c r="J10" s="50">
        <v>0.02</v>
      </c>
      <c r="K10" s="49">
        <v>3077761</v>
      </c>
      <c r="L10" s="49">
        <v>1345606</v>
      </c>
      <c r="M10" s="49">
        <v>1732155</v>
      </c>
    </row>
    <row r="11" spans="1:13" ht="14.45" customHeight="1" x14ac:dyDescent="0.2">
      <c r="A11" s="56" t="s">
        <v>32</v>
      </c>
      <c r="B11" s="55" t="s">
        <v>33</v>
      </c>
      <c r="C11" s="55" t="s">
        <v>366</v>
      </c>
      <c r="D11" s="55" t="s">
        <v>367</v>
      </c>
      <c r="E11" s="53" t="s">
        <v>781</v>
      </c>
      <c r="F11" s="54" t="s">
        <v>369</v>
      </c>
      <c r="G11" s="53" t="s">
        <v>779</v>
      </c>
      <c r="H11" s="52" t="s">
        <v>769</v>
      </c>
      <c r="I11" s="51">
        <v>3416707</v>
      </c>
      <c r="J11" s="50">
        <v>0</v>
      </c>
      <c r="K11" s="49">
        <v>131128</v>
      </c>
      <c r="L11" s="49">
        <v>55813</v>
      </c>
      <c r="M11" s="49">
        <v>75315</v>
      </c>
    </row>
    <row r="12" spans="1:13" ht="14.45" customHeight="1" x14ac:dyDescent="0.2">
      <c r="A12" s="56" t="s">
        <v>32</v>
      </c>
      <c r="B12" s="55" t="s">
        <v>33</v>
      </c>
      <c r="C12" s="55" t="s">
        <v>606</v>
      </c>
      <c r="D12" s="55" t="s">
        <v>607</v>
      </c>
      <c r="E12" s="53" t="s">
        <v>781</v>
      </c>
      <c r="F12" s="54" t="s">
        <v>823</v>
      </c>
      <c r="G12" s="53" t="s">
        <v>779</v>
      </c>
      <c r="H12" s="52" t="s">
        <v>769</v>
      </c>
      <c r="I12" s="51">
        <v>4260944</v>
      </c>
      <c r="J12" s="50">
        <v>0</v>
      </c>
      <c r="K12" s="49">
        <v>163529</v>
      </c>
      <c r="L12" s="49">
        <v>70204</v>
      </c>
      <c r="M12" s="49">
        <v>93325</v>
      </c>
    </row>
    <row r="13" spans="1:13" ht="14.45" customHeight="1" x14ac:dyDescent="0.2">
      <c r="A13" s="56" t="s">
        <v>32</v>
      </c>
      <c r="B13" s="55" t="s">
        <v>33</v>
      </c>
      <c r="C13" s="55" t="s">
        <v>658</v>
      </c>
      <c r="D13" s="55" t="s">
        <v>659</v>
      </c>
      <c r="E13" s="53" t="s">
        <v>781</v>
      </c>
      <c r="F13" s="54" t="s">
        <v>661</v>
      </c>
      <c r="G13" s="53" t="s">
        <v>779</v>
      </c>
      <c r="H13" s="52" t="s">
        <v>768</v>
      </c>
      <c r="I13" s="51">
        <v>0</v>
      </c>
      <c r="J13" s="50" t="s">
        <v>27</v>
      </c>
      <c r="K13" s="49">
        <v>0</v>
      </c>
      <c r="L13" s="49">
        <v>0</v>
      </c>
      <c r="M13" s="49">
        <v>0</v>
      </c>
    </row>
    <row r="14" spans="1:13" ht="14.45" customHeight="1" x14ac:dyDescent="0.2">
      <c r="A14" s="56" t="s">
        <v>32</v>
      </c>
      <c r="B14" s="55" t="s">
        <v>33</v>
      </c>
      <c r="C14" s="55" t="s">
        <v>653</v>
      </c>
      <c r="D14" s="55" t="s">
        <v>654</v>
      </c>
      <c r="E14" s="53" t="s">
        <v>781</v>
      </c>
      <c r="F14" s="54" t="s">
        <v>656</v>
      </c>
      <c r="G14" s="53" t="s">
        <v>779</v>
      </c>
      <c r="H14" s="52" t="s">
        <v>768</v>
      </c>
      <c r="I14" s="51">
        <v>0</v>
      </c>
      <c r="J14" s="50" t="s">
        <v>27</v>
      </c>
      <c r="K14" s="49">
        <v>0</v>
      </c>
      <c r="L14" s="49">
        <v>0</v>
      </c>
      <c r="M14" s="49">
        <v>0</v>
      </c>
    </row>
    <row r="15" spans="1:13" ht="14.45" customHeight="1" x14ac:dyDescent="0.2">
      <c r="A15" s="56" t="s">
        <v>32</v>
      </c>
      <c r="B15" s="55" t="s">
        <v>33</v>
      </c>
      <c r="C15" s="55" t="s">
        <v>691</v>
      </c>
      <c r="D15" s="55" t="s">
        <v>692</v>
      </c>
      <c r="E15" s="53" t="s">
        <v>781</v>
      </c>
      <c r="F15" s="54" t="s">
        <v>694</v>
      </c>
      <c r="G15" s="53" t="s">
        <v>779</v>
      </c>
      <c r="H15" s="52" t="s">
        <v>768</v>
      </c>
      <c r="I15" s="51">
        <v>0</v>
      </c>
      <c r="J15" s="50" t="s">
        <v>27</v>
      </c>
      <c r="K15" s="49">
        <v>0</v>
      </c>
      <c r="L15" s="49">
        <v>0</v>
      </c>
      <c r="M15" s="49">
        <v>0</v>
      </c>
    </row>
    <row r="16" spans="1:13" ht="14.45" customHeight="1" x14ac:dyDescent="0.2">
      <c r="A16" s="56" t="s">
        <v>32</v>
      </c>
      <c r="B16" s="55" t="s">
        <v>33</v>
      </c>
      <c r="C16" s="55" t="s">
        <v>706</v>
      </c>
      <c r="D16" s="55" t="s">
        <v>707</v>
      </c>
      <c r="E16" s="53" t="s">
        <v>781</v>
      </c>
      <c r="F16" s="54" t="s">
        <v>709</v>
      </c>
      <c r="G16" s="53" t="s">
        <v>779</v>
      </c>
      <c r="H16" s="52" t="s">
        <v>768</v>
      </c>
      <c r="I16" s="51">
        <v>0</v>
      </c>
      <c r="J16" s="50" t="s">
        <v>27</v>
      </c>
      <c r="K16" s="49">
        <v>0</v>
      </c>
      <c r="L16" s="49">
        <v>0</v>
      </c>
      <c r="M16" s="49">
        <v>0</v>
      </c>
    </row>
    <row r="17" spans="1:13" ht="14.45" customHeight="1" x14ac:dyDescent="0.2">
      <c r="A17" s="56" t="s">
        <v>32</v>
      </c>
      <c r="B17" s="55" t="s">
        <v>33</v>
      </c>
      <c r="C17" s="55" t="s">
        <v>726</v>
      </c>
      <c r="D17" s="55" t="s">
        <v>727</v>
      </c>
      <c r="E17" s="53" t="s">
        <v>781</v>
      </c>
      <c r="F17" s="54" t="s">
        <v>729</v>
      </c>
      <c r="G17" s="53" t="s">
        <v>779</v>
      </c>
      <c r="H17" s="52" t="s">
        <v>769</v>
      </c>
      <c r="I17" s="51">
        <v>2217510</v>
      </c>
      <c r="J17" s="50">
        <v>0</v>
      </c>
      <c r="K17" s="49">
        <v>85105</v>
      </c>
      <c r="L17" s="49">
        <v>36505</v>
      </c>
      <c r="M17" s="49">
        <v>48600</v>
      </c>
    </row>
    <row r="18" spans="1:13" ht="14.45" customHeight="1" x14ac:dyDescent="0.2">
      <c r="A18" s="56" t="s">
        <v>32</v>
      </c>
      <c r="B18" s="55" t="s">
        <v>33</v>
      </c>
      <c r="C18" s="55" t="s">
        <v>731</v>
      </c>
      <c r="D18" s="55" t="s">
        <v>732</v>
      </c>
      <c r="E18" s="53" t="s">
        <v>781</v>
      </c>
      <c r="F18" s="54" t="s">
        <v>734</v>
      </c>
      <c r="G18" s="53" t="s">
        <v>779</v>
      </c>
      <c r="H18" s="52" t="s">
        <v>768</v>
      </c>
      <c r="I18" s="51">
        <v>0</v>
      </c>
      <c r="J18" s="50" t="s">
        <v>27</v>
      </c>
      <c r="K18" s="49">
        <v>0</v>
      </c>
      <c r="L18" s="49">
        <v>0</v>
      </c>
      <c r="M18" s="49">
        <v>0</v>
      </c>
    </row>
    <row r="19" spans="1:13" ht="14.45" customHeight="1" x14ac:dyDescent="0.2">
      <c r="A19" s="56" t="s">
        <v>32</v>
      </c>
      <c r="B19" s="55" t="s">
        <v>33</v>
      </c>
      <c r="C19" s="55" t="s">
        <v>281</v>
      </c>
      <c r="D19" s="55" t="s">
        <v>282</v>
      </c>
      <c r="E19" s="53" t="s">
        <v>781</v>
      </c>
      <c r="F19" s="54" t="s">
        <v>284</v>
      </c>
      <c r="G19" s="53" t="s">
        <v>779</v>
      </c>
      <c r="H19" s="52" t="s">
        <v>769</v>
      </c>
      <c r="I19" s="51">
        <v>15968767</v>
      </c>
      <c r="J19" s="50">
        <v>0</v>
      </c>
      <c r="K19" s="49">
        <v>612859</v>
      </c>
      <c r="L19" s="49">
        <v>260354</v>
      </c>
      <c r="M19" s="49">
        <v>352505</v>
      </c>
    </row>
    <row r="20" spans="1:13" ht="14.45" customHeight="1" x14ac:dyDescent="0.2">
      <c r="A20" s="56" t="s">
        <v>32</v>
      </c>
      <c r="B20" s="55" t="s">
        <v>36</v>
      </c>
      <c r="C20" s="55" t="s">
        <v>26</v>
      </c>
      <c r="D20" s="55" t="s">
        <v>27</v>
      </c>
      <c r="E20" s="55" t="s">
        <v>27</v>
      </c>
      <c r="F20" s="54" t="s">
        <v>37</v>
      </c>
      <c r="G20" s="53" t="s">
        <v>778</v>
      </c>
      <c r="H20" s="52" t="s">
        <v>27</v>
      </c>
      <c r="I20" s="51">
        <v>14174219</v>
      </c>
      <c r="J20" s="50">
        <v>0</v>
      </c>
      <c r="K20" s="49">
        <v>543987</v>
      </c>
      <c r="L20" s="49">
        <v>233362</v>
      </c>
      <c r="M20" s="49">
        <v>310625</v>
      </c>
    </row>
    <row r="21" spans="1:13" ht="14.45" customHeight="1" x14ac:dyDescent="0.2">
      <c r="A21" s="56" t="s">
        <v>32</v>
      </c>
      <c r="B21" s="55" t="s">
        <v>39</v>
      </c>
      <c r="C21" s="55" t="s">
        <v>26</v>
      </c>
      <c r="D21" s="55" t="s">
        <v>27</v>
      </c>
      <c r="E21" s="55" t="s">
        <v>27</v>
      </c>
      <c r="F21" s="54" t="s">
        <v>40</v>
      </c>
      <c r="G21" s="53" t="s">
        <v>778</v>
      </c>
      <c r="H21" s="52" t="s">
        <v>27</v>
      </c>
      <c r="I21" s="51">
        <v>4762820</v>
      </c>
      <c r="J21" s="50">
        <v>0</v>
      </c>
      <c r="K21" s="49">
        <v>182790</v>
      </c>
      <c r="L21" s="49">
        <v>78488</v>
      </c>
      <c r="M21" s="49">
        <v>104302</v>
      </c>
    </row>
    <row r="22" spans="1:13" ht="14.45" customHeight="1" x14ac:dyDescent="0.2">
      <c r="A22" s="56" t="s">
        <v>32</v>
      </c>
      <c r="B22" s="55" t="s">
        <v>39</v>
      </c>
      <c r="C22" s="55" t="s">
        <v>595</v>
      </c>
      <c r="D22" s="55" t="s">
        <v>596</v>
      </c>
      <c r="E22" s="53" t="s">
        <v>781</v>
      </c>
      <c r="F22" s="54" t="s">
        <v>598</v>
      </c>
      <c r="G22" s="53" t="s">
        <v>779</v>
      </c>
      <c r="H22" s="52" t="s">
        <v>768</v>
      </c>
      <c r="I22" s="51">
        <v>0</v>
      </c>
      <c r="J22" s="50" t="s">
        <v>27</v>
      </c>
      <c r="K22" s="49">
        <v>0</v>
      </c>
      <c r="L22" s="49">
        <v>0</v>
      </c>
      <c r="M22" s="49">
        <v>0</v>
      </c>
    </row>
    <row r="23" spans="1:13" ht="14.45" customHeight="1" x14ac:dyDescent="0.2">
      <c r="A23" s="56" t="s">
        <v>32</v>
      </c>
      <c r="B23" s="55" t="s">
        <v>42</v>
      </c>
      <c r="C23" s="55" t="s">
        <v>26</v>
      </c>
      <c r="D23" s="55" t="s">
        <v>27</v>
      </c>
      <c r="E23" s="55" t="s">
        <v>27</v>
      </c>
      <c r="F23" s="54" t="s">
        <v>43</v>
      </c>
      <c r="G23" s="53" t="s">
        <v>778</v>
      </c>
      <c r="H23" s="52" t="s">
        <v>27</v>
      </c>
      <c r="I23" s="51">
        <v>158890812</v>
      </c>
      <c r="J23" s="50">
        <v>0</v>
      </c>
      <c r="K23" s="49">
        <v>6098009</v>
      </c>
      <c r="L23" s="49">
        <v>2616908</v>
      </c>
      <c r="M23" s="49">
        <v>3481101</v>
      </c>
    </row>
    <row r="24" spans="1:13" ht="14.45" customHeight="1" x14ac:dyDescent="0.2">
      <c r="A24" s="56" t="s">
        <v>32</v>
      </c>
      <c r="B24" s="55" t="s">
        <v>42</v>
      </c>
      <c r="C24" s="55" t="s">
        <v>371</v>
      </c>
      <c r="D24" s="55" t="s">
        <v>372</v>
      </c>
      <c r="E24" s="53" t="s">
        <v>781</v>
      </c>
      <c r="F24" s="54" t="s">
        <v>374</v>
      </c>
      <c r="G24" s="53" t="s">
        <v>779</v>
      </c>
      <c r="H24" s="52" t="s">
        <v>769</v>
      </c>
      <c r="I24" s="51">
        <v>5446580</v>
      </c>
      <c r="J24" s="50">
        <v>0</v>
      </c>
      <c r="K24" s="49">
        <v>209032</v>
      </c>
      <c r="L24" s="49">
        <v>89787</v>
      </c>
      <c r="M24" s="49">
        <v>119245</v>
      </c>
    </row>
    <row r="25" spans="1:13" ht="14.45" customHeight="1" x14ac:dyDescent="0.2">
      <c r="A25" s="56" t="s">
        <v>32</v>
      </c>
      <c r="B25" s="55" t="s">
        <v>42</v>
      </c>
      <c r="C25" s="55" t="s">
        <v>451</v>
      </c>
      <c r="D25" s="55" t="s">
        <v>452</v>
      </c>
      <c r="E25" s="53" t="s">
        <v>781</v>
      </c>
      <c r="F25" s="54" t="s">
        <v>454</v>
      </c>
      <c r="G25" s="53" t="s">
        <v>779</v>
      </c>
      <c r="H25" s="52" t="s">
        <v>769</v>
      </c>
      <c r="I25" s="51">
        <v>2435161</v>
      </c>
      <c r="J25" s="50">
        <v>0</v>
      </c>
      <c r="K25" s="49">
        <v>93458</v>
      </c>
      <c r="L25" s="49">
        <v>40128</v>
      </c>
      <c r="M25" s="49">
        <v>53330</v>
      </c>
    </row>
    <row r="26" spans="1:13" ht="14.45" customHeight="1" x14ac:dyDescent="0.2">
      <c r="A26" s="56" t="s">
        <v>32</v>
      </c>
      <c r="B26" s="55" t="s">
        <v>42</v>
      </c>
      <c r="C26" s="55" t="s">
        <v>755</v>
      </c>
      <c r="D26" s="55" t="s">
        <v>756</v>
      </c>
      <c r="E26" s="53" t="s">
        <v>781</v>
      </c>
      <c r="F26" s="54" t="s">
        <v>758</v>
      </c>
      <c r="G26" s="53" t="s">
        <v>779</v>
      </c>
      <c r="H26" s="52" t="s">
        <v>769</v>
      </c>
      <c r="I26" s="51">
        <v>1639768</v>
      </c>
      <c r="J26" s="50">
        <v>0</v>
      </c>
      <c r="K26" s="49">
        <v>62932</v>
      </c>
      <c r="L26" s="49">
        <v>26997</v>
      </c>
      <c r="M26" s="49">
        <v>35935</v>
      </c>
    </row>
    <row r="27" spans="1:13" ht="14.45" customHeight="1" x14ac:dyDescent="0.2">
      <c r="A27" s="56" t="s">
        <v>32</v>
      </c>
      <c r="B27" s="55" t="s">
        <v>45</v>
      </c>
      <c r="C27" s="55" t="s">
        <v>26</v>
      </c>
      <c r="D27" s="55" t="s">
        <v>27</v>
      </c>
      <c r="E27" s="55" t="s">
        <v>27</v>
      </c>
      <c r="F27" s="54" t="s">
        <v>46</v>
      </c>
      <c r="G27" s="53" t="s">
        <v>778</v>
      </c>
      <c r="H27" s="52" t="s">
        <v>27</v>
      </c>
      <c r="I27" s="51">
        <v>5328523</v>
      </c>
      <c r="J27" s="50">
        <v>0</v>
      </c>
      <c r="K27" s="49">
        <v>204501</v>
      </c>
      <c r="L27" s="49">
        <v>87681</v>
      </c>
      <c r="M27" s="49">
        <v>116820</v>
      </c>
    </row>
    <row r="28" spans="1:13" ht="14.45" customHeight="1" x14ac:dyDescent="0.2">
      <c r="A28" s="56" t="s">
        <v>32</v>
      </c>
      <c r="B28" s="55" t="s">
        <v>48</v>
      </c>
      <c r="C28" s="55" t="s">
        <v>26</v>
      </c>
      <c r="D28" s="55" t="s">
        <v>27</v>
      </c>
      <c r="E28" s="55" t="s">
        <v>27</v>
      </c>
      <c r="F28" s="54" t="s">
        <v>49</v>
      </c>
      <c r="G28" s="53" t="s">
        <v>778</v>
      </c>
      <c r="H28" s="52" t="s">
        <v>27</v>
      </c>
      <c r="I28" s="51">
        <v>212687545</v>
      </c>
      <c r="J28" s="50">
        <v>0.05</v>
      </c>
      <c r="K28" s="49">
        <v>7754520</v>
      </c>
      <c r="L28" s="49">
        <v>3487765</v>
      </c>
      <c r="M28" s="49">
        <v>4266755</v>
      </c>
    </row>
    <row r="29" spans="1:13" ht="14.45" customHeight="1" x14ac:dyDescent="0.2">
      <c r="A29" s="56" t="s">
        <v>32</v>
      </c>
      <c r="B29" s="55" t="s">
        <v>48</v>
      </c>
      <c r="C29" s="55" t="s">
        <v>461</v>
      </c>
      <c r="D29" s="55" t="s">
        <v>462</v>
      </c>
      <c r="E29" s="53" t="s">
        <v>781</v>
      </c>
      <c r="F29" s="54" t="s">
        <v>464</v>
      </c>
      <c r="G29" s="53" t="s">
        <v>779</v>
      </c>
      <c r="H29" s="52" t="s">
        <v>769</v>
      </c>
      <c r="I29" s="51">
        <v>2238918</v>
      </c>
      <c r="J29" s="50">
        <v>0.1</v>
      </c>
      <c r="K29" s="49">
        <v>77334</v>
      </c>
      <c r="L29" s="49">
        <v>36686</v>
      </c>
      <c r="M29" s="49">
        <v>40648</v>
      </c>
    </row>
    <row r="30" spans="1:13" ht="14.45" customHeight="1" x14ac:dyDescent="0.2">
      <c r="A30" s="56" t="s">
        <v>32</v>
      </c>
      <c r="B30" s="55" t="s">
        <v>48</v>
      </c>
      <c r="C30" s="55" t="s">
        <v>500</v>
      </c>
      <c r="D30" s="55" t="s">
        <v>501</v>
      </c>
      <c r="E30" s="53" t="s">
        <v>781</v>
      </c>
      <c r="F30" s="54" t="s">
        <v>503</v>
      </c>
      <c r="G30" s="53" t="s">
        <v>779</v>
      </c>
      <c r="H30" s="52" t="s">
        <v>769</v>
      </c>
      <c r="I30" s="51">
        <v>1976066</v>
      </c>
      <c r="J30" s="50">
        <v>0.04</v>
      </c>
      <c r="K30" s="49">
        <v>72805</v>
      </c>
      <c r="L30" s="49">
        <v>32445</v>
      </c>
      <c r="M30" s="49">
        <v>40360</v>
      </c>
    </row>
    <row r="31" spans="1:13" ht="14.45" customHeight="1" x14ac:dyDescent="0.2">
      <c r="A31" s="56" t="s">
        <v>32</v>
      </c>
      <c r="B31" s="55" t="s">
        <v>48</v>
      </c>
      <c r="C31" s="55" t="s">
        <v>701</v>
      </c>
      <c r="D31" s="55" t="s">
        <v>702</v>
      </c>
      <c r="E31" s="53" t="s">
        <v>781</v>
      </c>
      <c r="F31" s="54" t="s">
        <v>704</v>
      </c>
      <c r="G31" s="53" t="s">
        <v>779</v>
      </c>
      <c r="H31" s="52" t="s">
        <v>768</v>
      </c>
      <c r="I31" s="51">
        <v>0</v>
      </c>
      <c r="J31" s="50" t="s">
        <v>27</v>
      </c>
      <c r="K31" s="49">
        <v>0</v>
      </c>
      <c r="L31" s="49">
        <v>0</v>
      </c>
      <c r="M31" s="49">
        <v>0</v>
      </c>
    </row>
    <row r="32" spans="1:13" ht="14.45" customHeight="1" x14ac:dyDescent="0.2">
      <c r="A32" s="56" t="s">
        <v>32</v>
      </c>
      <c r="B32" s="55" t="s">
        <v>48</v>
      </c>
      <c r="C32" s="55" t="s">
        <v>216</v>
      </c>
      <c r="D32" s="55" t="s">
        <v>217</v>
      </c>
      <c r="E32" s="53" t="s">
        <v>781</v>
      </c>
      <c r="F32" s="54" t="s">
        <v>219</v>
      </c>
      <c r="G32" s="53" t="s">
        <v>779</v>
      </c>
      <c r="H32" s="52" t="s">
        <v>769</v>
      </c>
      <c r="I32" s="51">
        <v>11439823</v>
      </c>
      <c r="J32" s="50">
        <v>7.0000000000000007E-2</v>
      </c>
      <c r="K32" s="49">
        <v>408311</v>
      </c>
      <c r="L32" s="49">
        <v>187424</v>
      </c>
      <c r="M32" s="49">
        <v>220887</v>
      </c>
    </row>
    <row r="33" spans="1:13" ht="14.45" customHeight="1" x14ac:dyDescent="0.2">
      <c r="A33" s="56" t="s">
        <v>32</v>
      </c>
      <c r="B33" s="55" t="s">
        <v>48</v>
      </c>
      <c r="C33" s="55" t="s">
        <v>191</v>
      </c>
      <c r="D33" s="55" t="s">
        <v>192</v>
      </c>
      <c r="E33" s="53" t="s">
        <v>781</v>
      </c>
      <c r="F33" s="54" t="s">
        <v>194</v>
      </c>
      <c r="G33" s="53" t="s">
        <v>779</v>
      </c>
      <c r="H33" s="52" t="s">
        <v>769</v>
      </c>
      <c r="I33" s="51">
        <v>16643461</v>
      </c>
      <c r="J33" s="50">
        <v>0</v>
      </c>
      <c r="K33" s="49">
        <v>638753</v>
      </c>
      <c r="L33" s="49">
        <v>272775</v>
      </c>
      <c r="M33" s="49">
        <v>365978</v>
      </c>
    </row>
    <row r="34" spans="1:13" ht="14.45" customHeight="1" x14ac:dyDescent="0.2">
      <c r="A34" s="56" t="s">
        <v>32</v>
      </c>
      <c r="B34" s="55" t="s">
        <v>48</v>
      </c>
      <c r="C34" s="55" t="s">
        <v>186</v>
      </c>
      <c r="D34" s="55" t="s">
        <v>187</v>
      </c>
      <c r="E34" s="53" t="s">
        <v>781</v>
      </c>
      <c r="F34" s="54" t="s">
        <v>189</v>
      </c>
      <c r="G34" s="53" t="s">
        <v>779</v>
      </c>
      <c r="H34" s="52" t="s">
        <v>769</v>
      </c>
      <c r="I34" s="51">
        <v>7673819</v>
      </c>
      <c r="J34" s="50">
        <v>7.0000000000000007E-2</v>
      </c>
      <c r="K34" s="49">
        <v>273895</v>
      </c>
      <c r="L34" s="49">
        <v>126151</v>
      </c>
      <c r="M34" s="49">
        <v>147744</v>
      </c>
    </row>
    <row r="35" spans="1:13" ht="14.45" customHeight="1" x14ac:dyDescent="0.2">
      <c r="A35" s="56" t="s">
        <v>32</v>
      </c>
      <c r="B35" s="55" t="s">
        <v>48</v>
      </c>
      <c r="C35" s="55" t="s">
        <v>221</v>
      </c>
      <c r="D35" s="55" t="s">
        <v>222</v>
      </c>
      <c r="E35" s="53" t="s">
        <v>781</v>
      </c>
      <c r="F35" s="54" t="s">
        <v>224</v>
      </c>
      <c r="G35" s="53" t="s">
        <v>779</v>
      </c>
      <c r="H35" s="52" t="s">
        <v>769</v>
      </c>
      <c r="I35" s="51">
        <v>14521785</v>
      </c>
      <c r="J35" s="50">
        <v>0.09</v>
      </c>
      <c r="K35" s="49">
        <v>507167</v>
      </c>
      <c r="L35" s="49">
        <v>238006</v>
      </c>
      <c r="M35" s="49">
        <v>269161</v>
      </c>
    </row>
    <row r="36" spans="1:13" ht="14.45" customHeight="1" x14ac:dyDescent="0.2">
      <c r="A36" s="56" t="s">
        <v>32</v>
      </c>
      <c r="B36" s="55" t="s">
        <v>48</v>
      </c>
      <c r="C36" s="55" t="s">
        <v>301</v>
      </c>
      <c r="D36" s="55" t="s">
        <v>302</v>
      </c>
      <c r="E36" s="53" t="s">
        <v>781</v>
      </c>
      <c r="F36" s="54" t="s">
        <v>304</v>
      </c>
      <c r="G36" s="53" t="s">
        <v>779</v>
      </c>
      <c r="H36" s="52" t="s">
        <v>769</v>
      </c>
      <c r="I36" s="51">
        <v>7881539</v>
      </c>
      <c r="J36" s="50">
        <v>7.0000000000000007E-2</v>
      </c>
      <c r="K36" s="49">
        <v>281309</v>
      </c>
      <c r="L36" s="49">
        <v>129483</v>
      </c>
      <c r="M36" s="49">
        <v>151826</v>
      </c>
    </row>
    <row r="37" spans="1:13" ht="14.45" customHeight="1" x14ac:dyDescent="0.2">
      <c r="A37" s="56" t="s">
        <v>32</v>
      </c>
      <c r="B37" s="55" t="s">
        <v>51</v>
      </c>
      <c r="C37" s="55" t="s">
        <v>26</v>
      </c>
      <c r="D37" s="55" t="s">
        <v>27</v>
      </c>
      <c r="E37" s="55" t="s">
        <v>27</v>
      </c>
      <c r="F37" s="54" t="s">
        <v>52</v>
      </c>
      <c r="G37" s="53" t="s">
        <v>778</v>
      </c>
      <c r="H37" s="52" t="s">
        <v>27</v>
      </c>
      <c r="I37" s="51">
        <v>26572464</v>
      </c>
      <c r="J37" s="50">
        <v>0</v>
      </c>
      <c r="K37" s="49">
        <v>1019814</v>
      </c>
      <c r="L37" s="49">
        <v>437329</v>
      </c>
      <c r="M37" s="49">
        <v>582485</v>
      </c>
    </row>
    <row r="38" spans="1:13" ht="14.45" customHeight="1" x14ac:dyDescent="0.2">
      <c r="A38" s="56" t="s">
        <v>32</v>
      </c>
      <c r="B38" s="55" t="s">
        <v>54</v>
      </c>
      <c r="C38" s="55" t="s">
        <v>26</v>
      </c>
      <c r="D38" s="55" t="s">
        <v>27</v>
      </c>
      <c r="E38" s="55" t="s">
        <v>27</v>
      </c>
      <c r="F38" s="54" t="s">
        <v>55</v>
      </c>
      <c r="G38" s="53" t="s">
        <v>778</v>
      </c>
      <c r="H38" s="52" t="s">
        <v>27</v>
      </c>
      <c r="I38" s="51">
        <v>1273379</v>
      </c>
      <c r="J38" s="50">
        <v>0</v>
      </c>
      <c r="K38" s="49">
        <v>48871</v>
      </c>
      <c r="L38" s="49">
        <v>20970</v>
      </c>
      <c r="M38" s="49">
        <v>27901</v>
      </c>
    </row>
    <row r="39" spans="1:13" ht="14.45" customHeight="1" x14ac:dyDescent="0.2">
      <c r="A39" s="56" t="s">
        <v>32</v>
      </c>
      <c r="B39" s="55" t="s">
        <v>54</v>
      </c>
      <c r="C39" s="55" t="s">
        <v>535</v>
      </c>
      <c r="D39" s="55" t="s">
        <v>536</v>
      </c>
      <c r="E39" s="53" t="s">
        <v>781</v>
      </c>
      <c r="F39" s="54" t="s">
        <v>538</v>
      </c>
      <c r="G39" s="53" t="s">
        <v>779</v>
      </c>
      <c r="H39" s="52" t="s">
        <v>768</v>
      </c>
      <c r="I39" s="51">
        <v>0</v>
      </c>
      <c r="J39" s="50" t="s">
        <v>27</v>
      </c>
      <c r="K39" s="49">
        <v>0</v>
      </c>
      <c r="L39" s="49">
        <v>0</v>
      </c>
      <c r="M39" s="49">
        <v>0</v>
      </c>
    </row>
    <row r="40" spans="1:13" ht="14.45" customHeight="1" x14ac:dyDescent="0.2">
      <c r="A40" s="56" t="s">
        <v>32</v>
      </c>
      <c r="B40" s="55" t="s">
        <v>54</v>
      </c>
      <c r="C40" s="55" t="s">
        <v>550</v>
      </c>
      <c r="D40" s="55" t="s">
        <v>551</v>
      </c>
      <c r="E40" s="53" t="s">
        <v>781</v>
      </c>
      <c r="F40" s="54" t="s">
        <v>553</v>
      </c>
      <c r="G40" s="53" t="s">
        <v>779</v>
      </c>
      <c r="H40" s="52" t="s">
        <v>768</v>
      </c>
      <c r="I40" s="51">
        <v>0</v>
      </c>
      <c r="J40" s="50" t="s">
        <v>27</v>
      </c>
      <c r="K40" s="49">
        <v>0</v>
      </c>
      <c r="L40" s="49">
        <v>0</v>
      </c>
      <c r="M40" s="49">
        <v>0</v>
      </c>
    </row>
    <row r="41" spans="1:13" ht="14.45" customHeight="1" x14ac:dyDescent="0.2">
      <c r="A41" s="56" t="s">
        <v>32</v>
      </c>
      <c r="B41" s="55" t="s">
        <v>54</v>
      </c>
      <c r="C41" s="55" t="s">
        <v>580</v>
      </c>
      <c r="D41" s="55" t="s">
        <v>581</v>
      </c>
      <c r="E41" s="53" t="s">
        <v>781</v>
      </c>
      <c r="F41" s="54" t="s">
        <v>822</v>
      </c>
      <c r="G41" s="53" t="s">
        <v>779</v>
      </c>
      <c r="H41" s="52" t="s">
        <v>768</v>
      </c>
      <c r="I41" s="51">
        <v>0</v>
      </c>
      <c r="J41" s="50" t="s">
        <v>27</v>
      </c>
      <c r="K41" s="49">
        <v>0</v>
      </c>
      <c r="L41" s="49">
        <v>0</v>
      </c>
      <c r="M41" s="49">
        <v>0</v>
      </c>
    </row>
    <row r="42" spans="1:13" ht="14.45" customHeight="1" x14ac:dyDescent="0.2">
      <c r="A42" s="56" t="s">
        <v>32</v>
      </c>
      <c r="B42" s="55" t="s">
        <v>54</v>
      </c>
      <c r="C42" s="55" t="s">
        <v>617</v>
      </c>
      <c r="D42" s="55" t="s">
        <v>618</v>
      </c>
      <c r="E42" s="53" t="s">
        <v>781</v>
      </c>
      <c r="F42" s="54" t="s">
        <v>620</v>
      </c>
      <c r="G42" s="53" t="s">
        <v>779</v>
      </c>
      <c r="H42" s="52" t="s">
        <v>768</v>
      </c>
      <c r="I42" s="51">
        <v>0</v>
      </c>
      <c r="J42" s="50" t="s">
        <v>27</v>
      </c>
      <c r="K42" s="49">
        <v>0</v>
      </c>
      <c r="L42" s="49">
        <v>0</v>
      </c>
      <c r="M42" s="49">
        <v>0</v>
      </c>
    </row>
    <row r="43" spans="1:13" ht="14.45" customHeight="1" x14ac:dyDescent="0.2">
      <c r="A43" s="56" t="s">
        <v>32</v>
      </c>
      <c r="B43" s="55" t="s">
        <v>54</v>
      </c>
      <c r="C43" s="55" t="s">
        <v>633</v>
      </c>
      <c r="D43" s="55" t="s">
        <v>634</v>
      </c>
      <c r="E43" s="53" t="s">
        <v>781</v>
      </c>
      <c r="F43" s="54" t="s">
        <v>636</v>
      </c>
      <c r="G43" s="53" t="s">
        <v>779</v>
      </c>
      <c r="H43" s="52" t="s">
        <v>768</v>
      </c>
      <c r="I43" s="51">
        <v>0</v>
      </c>
      <c r="J43" s="50" t="s">
        <v>27</v>
      </c>
      <c r="K43" s="49">
        <v>0</v>
      </c>
      <c r="L43" s="49">
        <v>0</v>
      </c>
      <c r="M43" s="49">
        <v>0</v>
      </c>
    </row>
    <row r="44" spans="1:13" ht="14.45" customHeight="1" x14ac:dyDescent="0.2">
      <c r="A44" s="56" t="s">
        <v>32</v>
      </c>
      <c r="B44" s="55" t="s">
        <v>57</v>
      </c>
      <c r="C44" s="55" t="s">
        <v>26</v>
      </c>
      <c r="D44" s="55" t="s">
        <v>27</v>
      </c>
      <c r="E44" s="55" t="s">
        <v>27</v>
      </c>
      <c r="F44" s="54" t="s">
        <v>58</v>
      </c>
      <c r="G44" s="53" t="s">
        <v>778</v>
      </c>
      <c r="H44" s="52" t="s">
        <v>27</v>
      </c>
      <c r="I44" s="51">
        <v>34058035</v>
      </c>
      <c r="J44" s="50">
        <v>0</v>
      </c>
      <c r="K44" s="49">
        <v>1307100</v>
      </c>
      <c r="L44" s="49">
        <v>559813</v>
      </c>
      <c r="M44" s="49">
        <v>747287</v>
      </c>
    </row>
    <row r="45" spans="1:13" ht="14.45" customHeight="1" x14ac:dyDescent="0.2">
      <c r="A45" s="56" t="s">
        <v>32</v>
      </c>
      <c r="B45" s="55" t="s">
        <v>60</v>
      </c>
      <c r="C45" s="55" t="s">
        <v>26</v>
      </c>
      <c r="D45" s="55" t="s">
        <v>27</v>
      </c>
      <c r="E45" s="55" t="s">
        <v>27</v>
      </c>
      <c r="F45" s="54" t="s">
        <v>61</v>
      </c>
      <c r="G45" s="53" t="s">
        <v>778</v>
      </c>
      <c r="H45" s="52" t="s">
        <v>27</v>
      </c>
      <c r="I45" s="51">
        <v>43785659</v>
      </c>
      <c r="J45" s="50">
        <v>0</v>
      </c>
      <c r="K45" s="49">
        <v>1680433</v>
      </c>
      <c r="L45" s="49">
        <v>720591</v>
      </c>
      <c r="M45" s="49">
        <v>959842</v>
      </c>
    </row>
    <row r="46" spans="1:13" ht="14.45" customHeight="1" x14ac:dyDescent="0.2">
      <c r="A46" s="56" t="s">
        <v>32</v>
      </c>
      <c r="B46" s="55" t="s">
        <v>63</v>
      </c>
      <c r="C46" s="55" t="s">
        <v>26</v>
      </c>
      <c r="D46" s="55" t="s">
        <v>27</v>
      </c>
      <c r="E46" s="55" t="s">
        <v>27</v>
      </c>
      <c r="F46" s="54" t="s">
        <v>64</v>
      </c>
      <c r="G46" s="53" t="s">
        <v>778</v>
      </c>
      <c r="H46" s="52" t="s">
        <v>27</v>
      </c>
      <c r="I46" s="51">
        <v>150381388</v>
      </c>
      <c r="J46" s="50">
        <v>0</v>
      </c>
      <c r="K46" s="49">
        <v>5771429</v>
      </c>
      <c r="L46" s="49">
        <v>2445546</v>
      </c>
      <c r="M46" s="49">
        <v>3325883</v>
      </c>
    </row>
    <row r="47" spans="1:13" ht="14.45" customHeight="1" x14ac:dyDescent="0.2">
      <c r="A47" s="56" t="s">
        <v>32</v>
      </c>
      <c r="B47" s="55" t="s">
        <v>63</v>
      </c>
      <c r="C47" s="55" t="s">
        <v>336</v>
      </c>
      <c r="D47" s="55" t="s">
        <v>337</v>
      </c>
      <c r="E47" s="53" t="s">
        <v>781</v>
      </c>
      <c r="F47" s="54" t="s">
        <v>339</v>
      </c>
      <c r="G47" s="53" t="s">
        <v>779</v>
      </c>
      <c r="H47" s="52" t="s">
        <v>768</v>
      </c>
      <c r="I47" s="51">
        <v>0</v>
      </c>
      <c r="J47" s="50" t="s">
        <v>27</v>
      </c>
      <c r="K47" s="49">
        <v>0</v>
      </c>
      <c r="L47" s="49">
        <v>0</v>
      </c>
      <c r="M47" s="49">
        <v>0</v>
      </c>
    </row>
    <row r="48" spans="1:13" ht="14.45" customHeight="1" x14ac:dyDescent="0.2">
      <c r="A48" s="56" t="s">
        <v>32</v>
      </c>
      <c r="B48" s="55" t="s">
        <v>63</v>
      </c>
      <c r="C48" s="55" t="s">
        <v>590</v>
      </c>
      <c r="D48" s="55" t="s">
        <v>591</v>
      </c>
      <c r="E48" s="53" t="s">
        <v>781</v>
      </c>
      <c r="F48" s="54" t="s">
        <v>593</v>
      </c>
      <c r="G48" s="53" t="s">
        <v>779</v>
      </c>
      <c r="H48" s="52" t="s">
        <v>769</v>
      </c>
      <c r="I48" s="51">
        <v>7719142</v>
      </c>
      <c r="J48" s="50">
        <v>0</v>
      </c>
      <c r="K48" s="49">
        <v>296250</v>
      </c>
      <c r="L48" s="49">
        <v>125998</v>
      </c>
      <c r="M48" s="49">
        <v>170252</v>
      </c>
    </row>
    <row r="49" spans="1:13" ht="14.45" customHeight="1" x14ac:dyDescent="0.2">
      <c r="A49" s="56" t="s">
        <v>32</v>
      </c>
      <c r="B49" s="55" t="s">
        <v>63</v>
      </c>
      <c r="C49" s="55" t="s">
        <v>236</v>
      </c>
      <c r="D49" s="55" t="s">
        <v>237</v>
      </c>
      <c r="E49" s="53" t="s">
        <v>781</v>
      </c>
      <c r="F49" s="54" t="s">
        <v>239</v>
      </c>
      <c r="G49" s="53" t="s">
        <v>779</v>
      </c>
      <c r="H49" s="52" t="s">
        <v>768</v>
      </c>
      <c r="I49" s="51">
        <v>0</v>
      </c>
      <c r="J49" s="50" t="s">
        <v>27</v>
      </c>
      <c r="K49" s="49">
        <v>0</v>
      </c>
      <c r="L49" s="49">
        <v>0</v>
      </c>
      <c r="M49" s="49">
        <v>0</v>
      </c>
    </row>
    <row r="50" spans="1:13" ht="14.45" customHeight="1" x14ac:dyDescent="0.2">
      <c r="A50" s="56" t="s">
        <v>32</v>
      </c>
      <c r="B50" s="55" t="s">
        <v>66</v>
      </c>
      <c r="C50" s="55" t="s">
        <v>26</v>
      </c>
      <c r="D50" s="55" t="s">
        <v>27</v>
      </c>
      <c r="E50" s="55" t="s">
        <v>27</v>
      </c>
      <c r="F50" s="54" t="s">
        <v>67</v>
      </c>
      <c r="G50" s="53" t="s">
        <v>778</v>
      </c>
      <c r="H50" s="52" t="s">
        <v>27</v>
      </c>
      <c r="I50" s="51">
        <v>81917116</v>
      </c>
      <c r="J50" s="50">
        <v>0</v>
      </c>
      <c r="K50" s="49">
        <v>3143865</v>
      </c>
      <c r="L50" s="49">
        <v>1347340</v>
      </c>
      <c r="M50" s="49">
        <v>1796525</v>
      </c>
    </row>
    <row r="51" spans="1:13" ht="14.45" customHeight="1" x14ac:dyDescent="0.2">
      <c r="A51" s="56" t="s">
        <v>32</v>
      </c>
      <c r="B51" s="55" t="s">
        <v>66</v>
      </c>
      <c r="C51" s="55" t="s">
        <v>401</v>
      </c>
      <c r="D51" s="55" t="s">
        <v>402</v>
      </c>
      <c r="E51" s="53" t="s">
        <v>781</v>
      </c>
      <c r="F51" s="54" t="s">
        <v>404</v>
      </c>
      <c r="G51" s="53" t="s">
        <v>779</v>
      </c>
      <c r="H51" s="52" t="s">
        <v>768</v>
      </c>
      <c r="I51" s="51">
        <v>0</v>
      </c>
      <c r="J51" s="50" t="s">
        <v>27</v>
      </c>
      <c r="K51" s="49">
        <v>0</v>
      </c>
      <c r="L51" s="49">
        <v>0</v>
      </c>
      <c r="M51" s="49">
        <v>0</v>
      </c>
    </row>
    <row r="52" spans="1:13" ht="14.45" customHeight="1" x14ac:dyDescent="0.2">
      <c r="A52" s="56" t="s">
        <v>32</v>
      </c>
      <c r="B52" s="55" t="s">
        <v>66</v>
      </c>
      <c r="C52" s="55" t="s">
        <v>648</v>
      </c>
      <c r="D52" s="55" t="s">
        <v>649</v>
      </c>
      <c r="E52" s="53" t="s">
        <v>781</v>
      </c>
      <c r="F52" s="54" t="s">
        <v>651</v>
      </c>
      <c r="G52" s="53" t="s">
        <v>779</v>
      </c>
      <c r="H52" s="52" t="s">
        <v>768</v>
      </c>
      <c r="I52" s="51">
        <v>0</v>
      </c>
      <c r="J52" s="50" t="s">
        <v>27</v>
      </c>
      <c r="K52" s="49">
        <v>0</v>
      </c>
      <c r="L52" s="49">
        <v>0</v>
      </c>
      <c r="M52" s="49">
        <v>0</v>
      </c>
    </row>
    <row r="53" spans="1:13" ht="14.45" customHeight="1" x14ac:dyDescent="0.2">
      <c r="A53" s="56" t="s">
        <v>32</v>
      </c>
      <c r="B53" s="55" t="s">
        <v>66</v>
      </c>
      <c r="C53" s="55" t="s">
        <v>206</v>
      </c>
      <c r="D53" s="55" t="s">
        <v>207</v>
      </c>
      <c r="E53" s="53" t="s">
        <v>781</v>
      </c>
      <c r="F53" s="54" t="s">
        <v>209</v>
      </c>
      <c r="G53" s="53" t="s">
        <v>779</v>
      </c>
      <c r="H53" s="52" t="s">
        <v>768</v>
      </c>
      <c r="I53" s="51">
        <v>0</v>
      </c>
      <c r="J53" s="50" t="s">
        <v>27</v>
      </c>
      <c r="K53" s="49">
        <v>0</v>
      </c>
      <c r="L53" s="49">
        <v>0</v>
      </c>
      <c r="M53" s="49">
        <v>0</v>
      </c>
    </row>
    <row r="54" spans="1:13" ht="14.45" customHeight="1" x14ac:dyDescent="0.2">
      <c r="A54" s="56" t="s">
        <v>32</v>
      </c>
      <c r="B54" s="55" t="s">
        <v>69</v>
      </c>
      <c r="C54" s="55" t="s">
        <v>26</v>
      </c>
      <c r="D54" s="55" t="s">
        <v>27</v>
      </c>
      <c r="E54" s="55" t="s">
        <v>27</v>
      </c>
      <c r="F54" s="54" t="s">
        <v>70</v>
      </c>
      <c r="G54" s="53" t="s">
        <v>778</v>
      </c>
      <c r="H54" s="52" t="s">
        <v>27</v>
      </c>
      <c r="I54" s="51">
        <v>51805914</v>
      </c>
      <c r="J54" s="50">
        <v>0</v>
      </c>
      <c r="K54" s="49">
        <v>1988239</v>
      </c>
      <c r="L54" s="49">
        <v>847967</v>
      </c>
      <c r="M54" s="49">
        <v>1140272</v>
      </c>
    </row>
    <row r="55" spans="1:13" ht="14.45" customHeight="1" x14ac:dyDescent="0.2">
      <c r="A55" s="56" t="s">
        <v>32</v>
      </c>
      <c r="B55" s="55" t="s">
        <v>72</v>
      </c>
      <c r="C55" s="55" t="s">
        <v>26</v>
      </c>
      <c r="D55" s="55" t="s">
        <v>27</v>
      </c>
      <c r="E55" s="55" t="s">
        <v>27</v>
      </c>
      <c r="F55" s="54" t="s">
        <v>73</v>
      </c>
      <c r="G55" s="53" t="s">
        <v>778</v>
      </c>
      <c r="H55" s="52" t="s">
        <v>27</v>
      </c>
      <c r="I55" s="51">
        <v>23457530</v>
      </c>
      <c r="J55" s="50">
        <v>0.02</v>
      </c>
      <c r="K55" s="49">
        <v>882262</v>
      </c>
      <c r="L55" s="49">
        <v>386332</v>
      </c>
      <c r="M55" s="49">
        <v>495930</v>
      </c>
    </row>
    <row r="56" spans="1:13" ht="14.45" customHeight="1" x14ac:dyDescent="0.2">
      <c r="A56" s="56" t="s">
        <v>32</v>
      </c>
      <c r="B56" s="55" t="s">
        <v>75</v>
      </c>
      <c r="C56" s="55" t="s">
        <v>26</v>
      </c>
      <c r="D56" s="55" t="s">
        <v>27</v>
      </c>
      <c r="E56" s="55" t="s">
        <v>27</v>
      </c>
      <c r="F56" s="54" t="s">
        <v>76</v>
      </c>
      <c r="G56" s="53" t="s">
        <v>778</v>
      </c>
      <c r="H56" s="52" t="s">
        <v>27</v>
      </c>
      <c r="I56" s="51">
        <v>177844636</v>
      </c>
      <c r="J56" s="50">
        <v>0</v>
      </c>
      <c r="K56" s="49">
        <v>6825430</v>
      </c>
      <c r="L56" s="49">
        <v>2947720</v>
      </c>
      <c r="M56" s="49">
        <v>3877710</v>
      </c>
    </row>
    <row r="57" spans="1:13" ht="14.45" customHeight="1" x14ac:dyDescent="0.2">
      <c r="A57" s="56" t="s">
        <v>32</v>
      </c>
      <c r="B57" s="55" t="s">
        <v>75</v>
      </c>
      <c r="C57" s="55" t="s">
        <v>736</v>
      </c>
      <c r="D57" s="55" t="s">
        <v>737</v>
      </c>
      <c r="E57" s="53" t="s">
        <v>781</v>
      </c>
      <c r="F57" s="54" t="s">
        <v>739</v>
      </c>
      <c r="G57" s="53" t="s">
        <v>779</v>
      </c>
      <c r="H57" s="52" t="s">
        <v>768</v>
      </c>
      <c r="I57" s="51">
        <v>0</v>
      </c>
      <c r="J57" s="50" t="s">
        <v>27</v>
      </c>
      <c r="K57" s="49">
        <v>0</v>
      </c>
      <c r="L57" s="49">
        <v>0</v>
      </c>
      <c r="M57" s="49">
        <v>0</v>
      </c>
    </row>
    <row r="58" spans="1:13" ht="14.45" customHeight="1" x14ac:dyDescent="0.2">
      <c r="A58" s="56" t="s">
        <v>32</v>
      </c>
      <c r="B58" s="55" t="s">
        <v>75</v>
      </c>
      <c r="C58" s="55" t="s">
        <v>426</v>
      </c>
      <c r="D58" s="55" t="s">
        <v>427</v>
      </c>
      <c r="E58" s="53" t="s">
        <v>781</v>
      </c>
      <c r="F58" s="54" t="s">
        <v>429</v>
      </c>
      <c r="G58" s="53" t="s">
        <v>779</v>
      </c>
      <c r="H58" s="52" t="s">
        <v>769</v>
      </c>
      <c r="I58" s="51">
        <v>21305923</v>
      </c>
      <c r="J58" s="50">
        <v>0</v>
      </c>
      <c r="K58" s="49">
        <v>817692</v>
      </c>
      <c r="L58" s="49">
        <v>348342</v>
      </c>
      <c r="M58" s="49">
        <v>469350</v>
      </c>
    </row>
    <row r="59" spans="1:13" ht="14.45" customHeight="1" x14ac:dyDescent="0.2">
      <c r="A59" s="56" t="s">
        <v>32</v>
      </c>
      <c r="B59" s="55" t="s">
        <v>75</v>
      </c>
      <c r="C59" s="55" t="s">
        <v>226</v>
      </c>
      <c r="D59" s="55" t="s">
        <v>227</v>
      </c>
      <c r="E59" s="53" t="s">
        <v>781</v>
      </c>
      <c r="F59" s="54" t="s">
        <v>229</v>
      </c>
      <c r="G59" s="53" t="s">
        <v>779</v>
      </c>
      <c r="H59" s="52" t="s">
        <v>769</v>
      </c>
      <c r="I59" s="51">
        <v>25391878</v>
      </c>
      <c r="J59" s="50">
        <v>0</v>
      </c>
      <c r="K59" s="49">
        <v>974505</v>
      </c>
      <c r="L59" s="49">
        <v>416245</v>
      </c>
      <c r="M59" s="49">
        <v>558260</v>
      </c>
    </row>
    <row r="60" spans="1:13" ht="14.45" customHeight="1" x14ac:dyDescent="0.2">
      <c r="A60" s="56" t="s">
        <v>32</v>
      </c>
      <c r="B60" s="55" t="s">
        <v>78</v>
      </c>
      <c r="C60" s="55" t="s">
        <v>26</v>
      </c>
      <c r="D60" s="55" t="s">
        <v>27</v>
      </c>
      <c r="E60" s="55" t="s">
        <v>27</v>
      </c>
      <c r="F60" s="54" t="s">
        <v>79</v>
      </c>
      <c r="G60" s="53" t="s">
        <v>778</v>
      </c>
      <c r="H60" s="52" t="s">
        <v>27</v>
      </c>
      <c r="I60" s="51">
        <v>5329089</v>
      </c>
      <c r="J60" s="50">
        <v>0</v>
      </c>
      <c r="K60" s="49">
        <v>204523</v>
      </c>
      <c r="L60" s="49">
        <v>88000</v>
      </c>
      <c r="M60" s="49">
        <v>116523</v>
      </c>
    </row>
    <row r="61" spans="1:13" ht="14.45" customHeight="1" x14ac:dyDescent="0.2">
      <c r="A61" s="56" t="s">
        <v>32</v>
      </c>
      <c r="B61" s="55" t="s">
        <v>78</v>
      </c>
      <c r="C61" s="55" t="s">
        <v>246</v>
      </c>
      <c r="D61" s="55" t="s">
        <v>247</v>
      </c>
      <c r="E61" s="53" t="s">
        <v>781</v>
      </c>
      <c r="F61" s="54" t="s">
        <v>249</v>
      </c>
      <c r="G61" s="53" t="s">
        <v>779</v>
      </c>
      <c r="H61" s="52" t="s">
        <v>768</v>
      </c>
      <c r="I61" s="51">
        <v>0</v>
      </c>
      <c r="J61" s="50" t="s">
        <v>27</v>
      </c>
      <c r="K61" s="49">
        <v>0</v>
      </c>
      <c r="L61" s="49">
        <v>0</v>
      </c>
      <c r="M61" s="49">
        <v>0</v>
      </c>
    </row>
    <row r="62" spans="1:13" ht="14.45" customHeight="1" x14ac:dyDescent="0.2">
      <c r="A62" s="56" t="s">
        <v>32</v>
      </c>
      <c r="B62" s="55" t="s">
        <v>81</v>
      </c>
      <c r="C62" s="55" t="s">
        <v>26</v>
      </c>
      <c r="D62" s="55" t="s">
        <v>27</v>
      </c>
      <c r="E62" s="55" t="s">
        <v>27</v>
      </c>
      <c r="F62" s="54" t="s">
        <v>82</v>
      </c>
      <c r="G62" s="53" t="s">
        <v>778</v>
      </c>
      <c r="H62" s="52" t="s">
        <v>27</v>
      </c>
      <c r="I62" s="51">
        <v>2565992</v>
      </c>
      <c r="J62" s="50">
        <v>0</v>
      </c>
      <c r="K62" s="49">
        <v>98479</v>
      </c>
      <c r="L62" s="49">
        <v>42396</v>
      </c>
      <c r="M62" s="49">
        <v>56083</v>
      </c>
    </row>
    <row r="63" spans="1:13" ht="14.45" customHeight="1" x14ac:dyDescent="0.2">
      <c r="A63" s="56" t="s">
        <v>32</v>
      </c>
      <c r="B63" s="55" t="s">
        <v>81</v>
      </c>
      <c r="C63" s="55" t="s">
        <v>545</v>
      </c>
      <c r="D63" s="55" t="s">
        <v>546</v>
      </c>
      <c r="E63" s="53" t="s">
        <v>781</v>
      </c>
      <c r="F63" s="54" t="s">
        <v>548</v>
      </c>
      <c r="G63" s="53" t="s">
        <v>779</v>
      </c>
      <c r="H63" s="52" t="s">
        <v>768</v>
      </c>
      <c r="I63" s="51">
        <v>0</v>
      </c>
      <c r="J63" s="50" t="s">
        <v>27</v>
      </c>
      <c r="K63" s="49">
        <v>0</v>
      </c>
      <c r="L63" s="49">
        <v>0</v>
      </c>
      <c r="M63" s="49">
        <v>0</v>
      </c>
    </row>
    <row r="64" spans="1:13" ht="14.45" customHeight="1" x14ac:dyDescent="0.2">
      <c r="A64" s="56" t="s">
        <v>32</v>
      </c>
      <c r="B64" s="55" t="s">
        <v>81</v>
      </c>
      <c r="C64" s="55" t="s">
        <v>643</v>
      </c>
      <c r="D64" s="55" t="s">
        <v>644</v>
      </c>
      <c r="E64" s="53" t="s">
        <v>781</v>
      </c>
      <c r="F64" s="54" t="s">
        <v>821</v>
      </c>
      <c r="G64" s="53" t="s">
        <v>779</v>
      </c>
      <c r="H64" s="52" t="s">
        <v>768</v>
      </c>
      <c r="I64" s="51">
        <v>0</v>
      </c>
      <c r="J64" s="50" t="s">
        <v>27</v>
      </c>
      <c r="K64" s="49">
        <v>0</v>
      </c>
      <c r="L64" s="49">
        <v>0</v>
      </c>
      <c r="M64" s="49">
        <v>0</v>
      </c>
    </row>
    <row r="65" spans="1:13" ht="14.45" customHeight="1" x14ac:dyDescent="0.2">
      <c r="A65" s="56" t="s">
        <v>32</v>
      </c>
      <c r="B65" s="55" t="s">
        <v>81</v>
      </c>
      <c r="C65" s="55" t="s">
        <v>696</v>
      </c>
      <c r="D65" s="55" t="s">
        <v>697</v>
      </c>
      <c r="E65" s="53" t="s">
        <v>781</v>
      </c>
      <c r="F65" s="54" t="s">
        <v>699</v>
      </c>
      <c r="G65" s="53" t="s">
        <v>779</v>
      </c>
      <c r="H65" s="52" t="s">
        <v>768</v>
      </c>
      <c r="I65" s="51">
        <v>0</v>
      </c>
      <c r="J65" s="50" t="s">
        <v>27</v>
      </c>
      <c r="K65" s="49">
        <v>0</v>
      </c>
      <c r="L65" s="49">
        <v>0</v>
      </c>
      <c r="M65" s="49">
        <v>0</v>
      </c>
    </row>
    <row r="66" spans="1:13" ht="14.45" customHeight="1" x14ac:dyDescent="0.2">
      <c r="A66" s="56" t="s">
        <v>32</v>
      </c>
      <c r="B66" s="55" t="s">
        <v>81</v>
      </c>
      <c r="C66" s="55" t="s">
        <v>721</v>
      </c>
      <c r="D66" s="55" t="s">
        <v>722</v>
      </c>
      <c r="E66" s="53" t="s">
        <v>781</v>
      </c>
      <c r="F66" s="54" t="s">
        <v>724</v>
      </c>
      <c r="G66" s="53" t="s">
        <v>779</v>
      </c>
      <c r="H66" s="52" t="s">
        <v>768</v>
      </c>
      <c r="I66" s="51">
        <v>0</v>
      </c>
      <c r="J66" s="50" t="s">
        <v>27</v>
      </c>
      <c r="K66" s="49">
        <v>0</v>
      </c>
      <c r="L66" s="49">
        <v>0</v>
      </c>
      <c r="M66" s="49">
        <v>0</v>
      </c>
    </row>
    <row r="67" spans="1:13" ht="14.45" customHeight="1" x14ac:dyDescent="0.2">
      <c r="A67" s="56" t="s">
        <v>32</v>
      </c>
      <c r="B67" s="55" t="s">
        <v>81</v>
      </c>
      <c r="C67" s="55" t="s">
        <v>760</v>
      </c>
      <c r="D67" s="55" t="s">
        <v>761</v>
      </c>
      <c r="E67" s="53" t="s">
        <v>781</v>
      </c>
      <c r="F67" s="54" t="s">
        <v>763</v>
      </c>
      <c r="G67" s="53" t="s">
        <v>779</v>
      </c>
      <c r="H67" s="52" t="s">
        <v>768</v>
      </c>
      <c r="I67" s="51">
        <v>0</v>
      </c>
      <c r="J67" s="50" t="s">
        <v>27</v>
      </c>
      <c r="K67" s="49">
        <v>0</v>
      </c>
      <c r="L67" s="49">
        <v>0</v>
      </c>
      <c r="M67" s="49">
        <v>0</v>
      </c>
    </row>
    <row r="68" spans="1:13" ht="14.45" customHeight="1" x14ac:dyDescent="0.2">
      <c r="A68" s="56" t="s">
        <v>32</v>
      </c>
      <c r="B68" s="55" t="s">
        <v>81</v>
      </c>
      <c r="C68" s="55" t="s">
        <v>256</v>
      </c>
      <c r="D68" s="55" t="s">
        <v>257</v>
      </c>
      <c r="E68" s="53" t="s">
        <v>781</v>
      </c>
      <c r="F68" s="54" t="s">
        <v>259</v>
      </c>
      <c r="G68" s="53" t="s">
        <v>779</v>
      </c>
      <c r="H68" s="52" t="s">
        <v>768</v>
      </c>
      <c r="I68" s="51">
        <v>0</v>
      </c>
      <c r="J68" s="50" t="s">
        <v>27</v>
      </c>
      <c r="K68" s="49">
        <v>0</v>
      </c>
      <c r="L68" s="49">
        <v>0</v>
      </c>
      <c r="M68" s="49">
        <v>0</v>
      </c>
    </row>
    <row r="69" spans="1:13" ht="14.45" customHeight="1" x14ac:dyDescent="0.2">
      <c r="A69" s="56" t="s">
        <v>32</v>
      </c>
      <c r="B69" s="55" t="s">
        <v>84</v>
      </c>
      <c r="C69" s="55" t="s">
        <v>26</v>
      </c>
      <c r="D69" s="55" t="s">
        <v>27</v>
      </c>
      <c r="E69" s="55" t="s">
        <v>27</v>
      </c>
      <c r="F69" s="54" t="s">
        <v>85</v>
      </c>
      <c r="G69" s="53" t="s">
        <v>778</v>
      </c>
      <c r="H69" s="52" t="s">
        <v>27</v>
      </c>
      <c r="I69" s="51">
        <v>1623484</v>
      </c>
      <c r="J69" s="50">
        <v>0</v>
      </c>
      <c r="K69" s="49">
        <v>62307</v>
      </c>
      <c r="L69" s="49">
        <v>26756</v>
      </c>
      <c r="M69" s="49">
        <v>35551</v>
      </c>
    </row>
    <row r="70" spans="1:13" ht="14.45" customHeight="1" x14ac:dyDescent="0.2">
      <c r="A70" s="56" t="s">
        <v>32</v>
      </c>
      <c r="B70" s="55" t="s">
        <v>87</v>
      </c>
      <c r="C70" s="55" t="s">
        <v>26</v>
      </c>
      <c r="D70" s="55" t="s">
        <v>27</v>
      </c>
      <c r="E70" s="55" t="s">
        <v>27</v>
      </c>
      <c r="F70" s="54" t="s">
        <v>28</v>
      </c>
      <c r="G70" s="53" t="s">
        <v>778</v>
      </c>
      <c r="H70" s="52" t="s">
        <v>27</v>
      </c>
      <c r="I70" s="51">
        <v>43767066</v>
      </c>
      <c r="J70" s="50">
        <v>0</v>
      </c>
      <c r="K70" s="49">
        <v>1679719</v>
      </c>
      <c r="L70" s="49">
        <v>718638</v>
      </c>
      <c r="M70" s="49">
        <v>961081</v>
      </c>
    </row>
    <row r="71" spans="1:13" ht="14.45" customHeight="1" x14ac:dyDescent="0.2">
      <c r="A71" s="56" t="s">
        <v>32</v>
      </c>
      <c r="B71" s="55" t="s">
        <v>87</v>
      </c>
      <c r="C71" s="55" t="s">
        <v>211</v>
      </c>
      <c r="D71" s="55" t="s">
        <v>212</v>
      </c>
      <c r="E71" s="53" t="s">
        <v>781</v>
      </c>
      <c r="F71" s="54" t="s">
        <v>214</v>
      </c>
      <c r="G71" s="53" t="s">
        <v>779</v>
      </c>
      <c r="H71" s="52" t="s">
        <v>768</v>
      </c>
      <c r="I71" s="51">
        <v>0</v>
      </c>
      <c r="J71" s="50" t="s">
        <v>27</v>
      </c>
      <c r="K71" s="49">
        <v>0</v>
      </c>
      <c r="L71" s="49">
        <v>0</v>
      </c>
      <c r="M71" s="49">
        <v>0</v>
      </c>
    </row>
    <row r="72" spans="1:13" ht="14.45" customHeight="1" x14ac:dyDescent="0.2">
      <c r="A72" s="56" t="s">
        <v>32</v>
      </c>
      <c r="B72" s="55" t="s">
        <v>87</v>
      </c>
      <c r="C72" s="55" t="s">
        <v>296</v>
      </c>
      <c r="D72" s="55" t="s">
        <v>297</v>
      </c>
      <c r="E72" s="53" t="s">
        <v>781</v>
      </c>
      <c r="F72" s="54" t="s">
        <v>299</v>
      </c>
      <c r="G72" s="53" t="s">
        <v>779</v>
      </c>
      <c r="H72" s="52" t="s">
        <v>769</v>
      </c>
      <c r="I72" s="51">
        <v>911759</v>
      </c>
      <c r="J72" s="50">
        <v>0</v>
      </c>
      <c r="K72" s="49">
        <v>34992</v>
      </c>
      <c r="L72" s="49">
        <v>15008</v>
      </c>
      <c r="M72" s="49">
        <v>19984</v>
      </c>
    </row>
    <row r="73" spans="1:13" ht="14.45" customHeight="1" x14ac:dyDescent="0.2">
      <c r="A73" s="56" t="s">
        <v>32</v>
      </c>
      <c r="B73" s="55" t="s">
        <v>89</v>
      </c>
      <c r="C73" s="55" t="s">
        <v>26</v>
      </c>
      <c r="D73" s="55" t="s">
        <v>27</v>
      </c>
      <c r="E73" s="55" t="s">
        <v>27</v>
      </c>
      <c r="F73" s="54" t="s">
        <v>90</v>
      </c>
      <c r="G73" s="53" t="s">
        <v>778</v>
      </c>
      <c r="H73" s="52" t="s">
        <v>27</v>
      </c>
      <c r="I73" s="51">
        <v>107664495</v>
      </c>
      <c r="J73" s="50">
        <v>0</v>
      </c>
      <c r="K73" s="49">
        <v>4132014</v>
      </c>
      <c r="L73" s="49">
        <v>1772810</v>
      </c>
      <c r="M73" s="49">
        <v>2359204</v>
      </c>
    </row>
    <row r="74" spans="1:13" ht="14.45" customHeight="1" x14ac:dyDescent="0.2">
      <c r="A74" s="56" t="s">
        <v>32</v>
      </c>
      <c r="B74" s="55" t="s">
        <v>89</v>
      </c>
      <c r="C74" s="55" t="s">
        <v>622</v>
      </c>
      <c r="D74" s="55" t="s">
        <v>623</v>
      </c>
      <c r="E74" s="53" t="s">
        <v>781</v>
      </c>
      <c r="F74" s="54" t="s">
        <v>820</v>
      </c>
      <c r="G74" s="53" t="s">
        <v>779</v>
      </c>
      <c r="H74" s="52" t="s">
        <v>769</v>
      </c>
      <c r="I74" s="51">
        <v>2688050</v>
      </c>
      <c r="J74" s="50">
        <v>0.05</v>
      </c>
      <c r="K74" s="49">
        <v>98005</v>
      </c>
      <c r="L74" s="49">
        <v>44286</v>
      </c>
      <c r="M74" s="49">
        <v>53719</v>
      </c>
    </row>
    <row r="75" spans="1:13" ht="14.45" customHeight="1" x14ac:dyDescent="0.2">
      <c r="A75" s="56" t="s">
        <v>32</v>
      </c>
      <c r="B75" s="55" t="s">
        <v>92</v>
      </c>
      <c r="C75" s="55" t="s">
        <v>26</v>
      </c>
      <c r="D75" s="55" t="s">
        <v>27</v>
      </c>
      <c r="E75" s="55" t="s">
        <v>27</v>
      </c>
      <c r="F75" s="54" t="s">
        <v>93</v>
      </c>
      <c r="G75" s="53" t="s">
        <v>778</v>
      </c>
      <c r="H75" s="52" t="s">
        <v>27</v>
      </c>
      <c r="I75" s="51">
        <v>33785811</v>
      </c>
      <c r="J75" s="50">
        <v>0</v>
      </c>
      <c r="K75" s="49">
        <v>1296652</v>
      </c>
      <c r="L75" s="49">
        <v>549341</v>
      </c>
      <c r="M75" s="49">
        <v>747311</v>
      </c>
    </row>
    <row r="76" spans="1:13" ht="14.45" customHeight="1" x14ac:dyDescent="0.2">
      <c r="A76" s="56" t="s">
        <v>32</v>
      </c>
      <c r="B76" s="55" t="s">
        <v>95</v>
      </c>
      <c r="C76" s="55" t="s">
        <v>26</v>
      </c>
      <c r="D76" s="55" t="s">
        <v>27</v>
      </c>
      <c r="E76" s="55" t="s">
        <v>27</v>
      </c>
      <c r="F76" s="54" t="s">
        <v>96</v>
      </c>
      <c r="G76" s="53" t="s">
        <v>778</v>
      </c>
      <c r="H76" s="52" t="s">
        <v>27</v>
      </c>
      <c r="I76" s="51">
        <v>17362260</v>
      </c>
      <c r="J76" s="50">
        <v>0</v>
      </c>
      <c r="K76" s="49">
        <v>666339</v>
      </c>
      <c r="L76" s="49">
        <v>285822</v>
      </c>
      <c r="M76" s="49">
        <v>380517</v>
      </c>
    </row>
    <row r="77" spans="1:13" ht="14.45" customHeight="1" x14ac:dyDescent="0.2">
      <c r="A77" s="56" t="s">
        <v>32</v>
      </c>
      <c r="B77" s="55" t="s">
        <v>95</v>
      </c>
      <c r="C77" s="55" t="s">
        <v>481</v>
      </c>
      <c r="D77" s="55" t="s">
        <v>482</v>
      </c>
      <c r="E77" s="53" t="s">
        <v>781</v>
      </c>
      <c r="F77" s="54" t="s">
        <v>484</v>
      </c>
      <c r="G77" s="53" t="s">
        <v>779</v>
      </c>
      <c r="H77" s="52" t="s">
        <v>768</v>
      </c>
      <c r="I77" s="51">
        <v>0</v>
      </c>
      <c r="J77" s="50" t="s">
        <v>27</v>
      </c>
      <c r="K77" s="49">
        <v>0</v>
      </c>
      <c r="L77" s="49">
        <v>0</v>
      </c>
      <c r="M77" s="49">
        <v>0</v>
      </c>
    </row>
    <row r="78" spans="1:13" ht="14.45" customHeight="1" x14ac:dyDescent="0.2">
      <c r="A78" s="56" t="s">
        <v>32</v>
      </c>
      <c r="B78" s="55" t="s">
        <v>95</v>
      </c>
      <c r="C78" s="55" t="s">
        <v>530</v>
      </c>
      <c r="D78" s="55" t="s">
        <v>531</v>
      </c>
      <c r="E78" s="53" t="s">
        <v>781</v>
      </c>
      <c r="F78" s="54" t="s">
        <v>533</v>
      </c>
      <c r="G78" s="53" t="s">
        <v>779</v>
      </c>
      <c r="H78" s="52" t="s">
        <v>768</v>
      </c>
      <c r="I78" s="51">
        <v>0</v>
      </c>
      <c r="J78" s="50" t="s">
        <v>27</v>
      </c>
      <c r="K78" s="49">
        <v>0</v>
      </c>
      <c r="L78" s="49">
        <v>0</v>
      </c>
      <c r="M78" s="49">
        <v>0</v>
      </c>
    </row>
    <row r="79" spans="1:13" ht="14.45" customHeight="1" x14ac:dyDescent="0.2">
      <c r="A79" s="56" t="s">
        <v>32</v>
      </c>
      <c r="B79" s="55" t="s">
        <v>95</v>
      </c>
      <c r="C79" s="55" t="s">
        <v>555</v>
      </c>
      <c r="D79" s="55" t="s">
        <v>556</v>
      </c>
      <c r="E79" s="53" t="s">
        <v>781</v>
      </c>
      <c r="F79" s="54" t="s">
        <v>819</v>
      </c>
      <c r="G79" s="53" t="s">
        <v>779</v>
      </c>
      <c r="H79" s="52" t="s">
        <v>768</v>
      </c>
      <c r="I79" s="51">
        <v>0</v>
      </c>
      <c r="J79" s="50" t="s">
        <v>27</v>
      </c>
      <c r="K79" s="49">
        <v>0</v>
      </c>
      <c r="L79" s="49">
        <v>0</v>
      </c>
      <c r="M79" s="49">
        <v>0</v>
      </c>
    </row>
    <row r="80" spans="1:13" ht="14.45" customHeight="1" x14ac:dyDescent="0.2">
      <c r="A80" s="56" t="s">
        <v>32</v>
      </c>
      <c r="B80" s="55" t="s">
        <v>95</v>
      </c>
      <c r="C80" s="55" t="s">
        <v>638</v>
      </c>
      <c r="D80" s="55" t="s">
        <v>639</v>
      </c>
      <c r="E80" s="53" t="s">
        <v>781</v>
      </c>
      <c r="F80" s="54" t="s">
        <v>641</v>
      </c>
      <c r="G80" s="53" t="s">
        <v>779</v>
      </c>
      <c r="H80" s="52" t="s">
        <v>768</v>
      </c>
      <c r="I80" s="51">
        <v>0</v>
      </c>
      <c r="J80" s="50" t="s">
        <v>27</v>
      </c>
      <c r="K80" s="49">
        <v>0</v>
      </c>
      <c r="L80" s="49">
        <v>0</v>
      </c>
      <c r="M80" s="49">
        <v>0</v>
      </c>
    </row>
    <row r="81" spans="1:13" ht="14.45" customHeight="1" x14ac:dyDescent="0.2">
      <c r="A81" s="56" t="s">
        <v>32</v>
      </c>
      <c r="B81" s="55" t="s">
        <v>95</v>
      </c>
      <c r="C81" s="55" t="s">
        <v>716</v>
      </c>
      <c r="D81" s="55" t="s">
        <v>717</v>
      </c>
      <c r="E81" s="53" t="s">
        <v>781</v>
      </c>
      <c r="F81" s="54" t="s">
        <v>719</v>
      </c>
      <c r="G81" s="53" t="s">
        <v>779</v>
      </c>
      <c r="H81" s="52" t="s">
        <v>768</v>
      </c>
      <c r="I81" s="51">
        <v>0</v>
      </c>
      <c r="J81" s="50" t="s">
        <v>27</v>
      </c>
      <c r="K81" s="49">
        <v>0</v>
      </c>
      <c r="L81" s="49">
        <v>0</v>
      </c>
      <c r="M81" s="49">
        <v>0</v>
      </c>
    </row>
    <row r="82" spans="1:13" ht="14.45" customHeight="1" x14ac:dyDescent="0.2">
      <c r="A82" s="56" t="s">
        <v>32</v>
      </c>
      <c r="B82" s="55" t="s">
        <v>98</v>
      </c>
      <c r="C82" s="55" t="s">
        <v>26</v>
      </c>
      <c r="D82" s="55" t="s">
        <v>27</v>
      </c>
      <c r="E82" s="55" t="s">
        <v>27</v>
      </c>
      <c r="F82" s="54" t="s">
        <v>99</v>
      </c>
      <c r="G82" s="53" t="s">
        <v>778</v>
      </c>
      <c r="H82" s="52" t="s">
        <v>27</v>
      </c>
      <c r="I82" s="51">
        <v>53069596</v>
      </c>
      <c r="J82" s="50">
        <v>0.27</v>
      </c>
      <c r="K82" s="49">
        <v>1486818</v>
      </c>
      <c r="L82" s="49">
        <v>873105</v>
      </c>
      <c r="M82" s="49">
        <v>613713</v>
      </c>
    </row>
    <row r="83" spans="1:13" ht="14.45" customHeight="1" x14ac:dyDescent="0.2">
      <c r="A83" s="56" t="s">
        <v>32</v>
      </c>
      <c r="B83" s="55" t="s">
        <v>98</v>
      </c>
      <c r="C83" s="55" t="s">
        <v>331</v>
      </c>
      <c r="D83" s="55" t="s">
        <v>332</v>
      </c>
      <c r="E83" s="53" t="s">
        <v>781</v>
      </c>
      <c r="F83" s="54" t="s">
        <v>334</v>
      </c>
      <c r="G83" s="53" t="s">
        <v>779</v>
      </c>
      <c r="H83" s="52" t="s">
        <v>769</v>
      </c>
      <c r="I83" s="51">
        <v>3880998</v>
      </c>
      <c r="J83" s="50">
        <v>0.27</v>
      </c>
      <c r="K83" s="49">
        <v>108732</v>
      </c>
      <c r="L83" s="49">
        <v>63867</v>
      </c>
      <c r="M83" s="49">
        <v>44865</v>
      </c>
    </row>
    <row r="84" spans="1:13" ht="14.45" customHeight="1" x14ac:dyDescent="0.2">
      <c r="A84" s="56" t="s">
        <v>32</v>
      </c>
      <c r="B84" s="55" t="s">
        <v>101</v>
      </c>
      <c r="C84" s="55" t="s">
        <v>26</v>
      </c>
      <c r="D84" s="55" t="s">
        <v>27</v>
      </c>
      <c r="E84" s="55" t="s">
        <v>27</v>
      </c>
      <c r="F84" s="54" t="s">
        <v>102</v>
      </c>
      <c r="G84" s="53" t="s">
        <v>778</v>
      </c>
      <c r="H84" s="52" t="s">
        <v>27</v>
      </c>
      <c r="I84" s="51">
        <v>321606645</v>
      </c>
      <c r="J84" s="50">
        <v>0</v>
      </c>
      <c r="K84" s="49">
        <v>12342816</v>
      </c>
      <c r="L84" s="49">
        <v>5296863</v>
      </c>
      <c r="M84" s="49">
        <v>7045953</v>
      </c>
    </row>
    <row r="85" spans="1:13" ht="14.45" customHeight="1" x14ac:dyDescent="0.2">
      <c r="A85" s="56" t="s">
        <v>32</v>
      </c>
      <c r="B85" s="55" t="s">
        <v>104</v>
      </c>
      <c r="C85" s="55" t="s">
        <v>26</v>
      </c>
      <c r="D85" s="55" t="s">
        <v>27</v>
      </c>
      <c r="E85" s="55" t="s">
        <v>27</v>
      </c>
      <c r="F85" s="54" t="s">
        <v>105</v>
      </c>
      <c r="G85" s="53" t="s">
        <v>778</v>
      </c>
      <c r="H85" s="52" t="s">
        <v>27</v>
      </c>
      <c r="I85" s="51">
        <v>49035195</v>
      </c>
      <c r="J85" s="50">
        <v>0</v>
      </c>
      <c r="K85" s="49">
        <v>1881903</v>
      </c>
      <c r="L85" s="49">
        <v>807580</v>
      </c>
      <c r="M85" s="49">
        <v>1074323</v>
      </c>
    </row>
    <row r="86" spans="1:13" ht="14.45" customHeight="1" x14ac:dyDescent="0.2">
      <c r="A86" s="56" t="s">
        <v>32</v>
      </c>
      <c r="B86" s="55" t="s">
        <v>107</v>
      </c>
      <c r="C86" s="55" t="s">
        <v>26</v>
      </c>
      <c r="D86" s="55" t="s">
        <v>27</v>
      </c>
      <c r="E86" s="55" t="s">
        <v>27</v>
      </c>
      <c r="F86" s="54" t="s">
        <v>108</v>
      </c>
      <c r="G86" s="53" t="s">
        <v>778</v>
      </c>
      <c r="H86" s="52" t="s">
        <v>27</v>
      </c>
      <c r="I86" s="51">
        <v>4485240</v>
      </c>
      <c r="J86" s="50">
        <v>0</v>
      </c>
      <c r="K86" s="49">
        <v>172137</v>
      </c>
      <c r="L86" s="49">
        <v>73733</v>
      </c>
      <c r="M86" s="49">
        <v>98404</v>
      </c>
    </row>
    <row r="87" spans="1:13" ht="14.45" customHeight="1" x14ac:dyDescent="0.2">
      <c r="A87" s="56" t="s">
        <v>32</v>
      </c>
      <c r="B87" s="55" t="s">
        <v>110</v>
      </c>
      <c r="C87" s="55" t="s">
        <v>26</v>
      </c>
      <c r="D87" s="55" t="s">
        <v>27</v>
      </c>
      <c r="E87" s="55" t="s">
        <v>27</v>
      </c>
      <c r="F87" s="54" t="s">
        <v>111</v>
      </c>
      <c r="G87" s="53" t="s">
        <v>778</v>
      </c>
      <c r="H87" s="52" t="s">
        <v>27</v>
      </c>
      <c r="I87" s="51">
        <v>1030209710</v>
      </c>
      <c r="J87" s="50">
        <v>0.05</v>
      </c>
      <c r="K87" s="49">
        <v>37561116</v>
      </c>
      <c r="L87" s="49">
        <v>16779130</v>
      </c>
      <c r="M87" s="49">
        <v>20781986</v>
      </c>
    </row>
    <row r="88" spans="1:13" ht="14.45" customHeight="1" x14ac:dyDescent="0.2">
      <c r="A88" s="56" t="s">
        <v>32</v>
      </c>
      <c r="B88" s="55" t="s">
        <v>110</v>
      </c>
      <c r="C88" s="55" t="s">
        <v>321</v>
      </c>
      <c r="D88" s="55" t="s">
        <v>322</v>
      </c>
      <c r="E88" s="53" t="s">
        <v>781</v>
      </c>
      <c r="F88" s="54" t="s">
        <v>324</v>
      </c>
      <c r="G88" s="53" t="s">
        <v>779</v>
      </c>
      <c r="H88" s="52" t="s">
        <v>769</v>
      </c>
      <c r="I88" s="51">
        <v>2826672</v>
      </c>
      <c r="J88" s="50">
        <v>0.04</v>
      </c>
      <c r="K88" s="49">
        <v>104144</v>
      </c>
      <c r="L88" s="49">
        <v>46483</v>
      </c>
      <c r="M88" s="49">
        <v>57661</v>
      </c>
    </row>
    <row r="89" spans="1:13" ht="14.45" customHeight="1" x14ac:dyDescent="0.2">
      <c r="A89" s="56" t="s">
        <v>32</v>
      </c>
      <c r="B89" s="55" t="s">
        <v>110</v>
      </c>
      <c r="C89" s="55" t="s">
        <v>326</v>
      </c>
      <c r="D89" s="55" t="s">
        <v>327</v>
      </c>
      <c r="E89" s="53" t="s">
        <v>781</v>
      </c>
      <c r="F89" s="54" t="s">
        <v>329</v>
      </c>
      <c r="G89" s="53" t="s">
        <v>779</v>
      </c>
      <c r="H89" s="52" t="s">
        <v>769</v>
      </c>
      <c r="I89" s="51">
        <v>2820992</v>
      </c>
      <c r="J89" s="50">
        <v>0.12</v>
      </c>
      <c r="K89" s="49">
        <v>95274</v>
      </c>
      <c r="L89" s="49">
        <v>46072</v>
      </c>
      <c r="M89" s="49">
        <v>49202</v>
      </c>
    </row>
    <row r="90" spans="1:13" ht="14.45" customHeight="1" x14ac:dyDescent="0.2">
      <c r="A90" s="56" t="s">
        <v>32</v>
      </c>
      <c r="B90" s="55" t="s">
        <v>110</v>
      </c>
      <c r="C90" s="55" t="s">
        <v>346</v>
      </c>
      <c r="D90" s="55" t="s">
        <v>347</v>
      </c>
      <c r="E90" s="53" t="s">
        <v>781</v>
      </c>
      <c r="F90" s="54" t="s">
        <v>349</v>
      </c>
      <c r="G90" s="53" t="s">
        <v>779</v>
      </c>
      <c r="H90" s="52" t="s">
        <v>769</v>
      </c>
      <c r="I90" s="51">
        <v>3808577</v>
      </c>
      <c r="J90" s="50">
        <v>0.04</v>
      </c>
      <c r="K90" s="49">
        <v>140321</v>
      </c>
      <c r="L90" s="49">
        <v>62712</v>
      </c>
      <c r="M90" s="49">
        <v>77609</v>
      </c>
    </row>
    <row r="91" spans="1:13" ht="14.45" customHeight="1" x14ac:dyDescent="0.2">
      <c r="A91" s="56" t="s">
        <v>32</v>
      </c>
      <c r="B91" s="55" t="s">
        <v>110</v>
      </c>
      <c r="C91" s="55" t="s">
        <v>356</v>
      </c>
      <c r="D91" s="55" t="s">
        <v>357</v>
      </c>
      <c r="E91" s="53" t="s">
        <v>781</v>
      </c>
      <c r="F91" s="54" t="s">
        <v>359</v>
      </c>
      <c r="G91" s="53" t="s">
        <v>779</v>
      </c>
      <c r="H91" s="52" t="s">
        <v>768</v>
      </c>
      <c r="I91" s="51">
        <v>0</v>
      </c>
      <c r="J91" s="50" t="s">
        <v>27</v>
      </c>
      <c r="K91" s="49">
        <v>0</v>
      </c>
      <c r="L91" s="49">
        <v>0</v>
      </c>
      <c r="M91" s="49">
        <v>0</v>
      </c>
    </row>
    <row r="92" spans="1:13" ht="14.45" customHeight="1" x14ac:dyDescent="0.2">
      <c r="A92" s="56" t="s">
        <v>32</v>
      </c>
      <c r="B92" s="55" t="s">
        <v>110</v>
      </c>
      <c r="C92" s="55" t="s">
        <v>361</v>
      </c>
      <c r="D92" s="55" t="s">
        <v>362</v>
      </c>
      <c r="E92" s="53" t="s">
        <v>781</v>
      </c>
      <c r="F92" s="54" t="s">
        <v>364</v>
      </c>
      <c r="G92" s="53" t="s">
        <v>779</v>
      </c>
      <c r="H92" s="52" t="s">
        <v>769</v>
      </c>
      <c r="I92" s="51">
        <v>2743608</v>
      </c>
      <c r="J92" s="50">
        <v>0.04</v>
      </c>
      <c r="K92" s="49">
        <v>101084</v>
      </c>
      <c r="L92" s="49">
        <v>45134</v>
      </c>
      <c r="M92" s="49">
        <v>55950</v>
      </c>
    </row>
    <row r="93" spans="1:13" ht="14.45" customHeight="1" x14ac:dyDescent="0.2">
      <c r="A93" s="56" t="s">
        <v>32</v>
      </c>
      <c r="B93" s="55" t="s">
        <v>110</v>
      </c>
      <c r="C93" s="55" t="s">
        <v>341</v>
      </c>
      <c r="D93" s="55" t="s">
        <v>342</v>
      </c>
      <c r="E93" s="53" t="s">
        <v>781</v>
      </c>
      <c r="F93" s="54" t="s">
        <v>344</v>
      </c>
      <c r="G93" s="53" t="s">
        <v>779</v>
      </c>
      <c r="H93" s="52" t="s">
        <v>769</v>
      </c>
      <c r="I93" s="51">
        <v>3874751</v>
      </c>
      <c r="J93" s="50">
        <v>0.04</v>
      </c>
      <c r="K93" s="49">
        <v>142759</v>
      </c>
      <c r="L93" s="49">
        <v>63752</v>
      </c>
      <c r="M93" s="49">
        <v>79007</v>
      </c>
    </row>
    <row r="94" spans="1:13" ht="14.45" customHeight="1" x14ac:dyDescent="0.2">
      <c r="A94" s="56" t="s">
        <v>32</v>
      </c>
      <c r="B94" s="55" t="s">
        <v>110</v>
      </c>
      <c r="C94" s="55" t="s">
        <v>386</v>
      </c>
      <c r="D94" s="55" t="s">
        <v>387</v>
      </c>
      <c r="E94" s="53" t="s">
        <v>781</v>
      </c>
      <c r="F94" s="54" t="s">
        <v>818</v>
      </c>
      <c r="G94" s="53" t="s">
        <v>779</v>
      </c>
      <c r="H94" s="52" t="s">
        <v>769</v>
      </c>
      <c r="I94" s="51">
        <v>2488515</v>
      </c>
      <c r="J94" s="50">
        <v>0.08</v>
      </c>
      <c r="K94" s="49">
        <v>87865</v>
      </c>
      <c r="L94" s="49">
        <v>40645</v>
      </c>
      <c r="M94" s="49">
        <v>47220</v>
      </c>
    </row>
    <row r="95" spans="1:13" ht="14.45" customHeight="1" x14ac:dyDescent="0.2">
      <c r="A95" s="56" t="s">
        <v>32</v>
      </c>
      <c r="B95" s="55" t="s">
        <v>110</v>
      </c>
      <c r="C95" s="55" t="s">
        <v>381</v>
      </c>
      <c r="D95" s="55" t="s">
        <v>382</v>
      </c>
      <c r="E95" s="53" t="s">
        <v>781</v>
      </c>
      <c r="F95" s="54" t="s">
        <v>384</v>
      </c>
      <c r="G95" s="53" t="s">
        <v>779</v>
      </c>
      <c r="H95" s="52" t="s">
        <v>769</v>
      </c>
      <c r="I95" s="51">
        <v>3600296</v>
      </c>
      <c r="J95" s="50">
        <v>0.05</v>
      </c>
      <c r="K95" s="49">
        <v>131266</v>
      </c>
      <c r="L95" s="49">
        <v>59149</v>
      </c>
      <c r="M95" s="49">
        <v>72117</v>
      </c>
    </row>
    <row r="96" spans="1:13" ht="14.45" customHeight="1" x14ac:dyDescent="0.2">
      <c r="A96" s="56" t="s">
        <v>32</v>
      </c>
      <c r="B96" s="55" t="s">
        <v>110</v>
      </c>
      <c r="C96" s="55" t="s">
        <v>411</v>
      </c>
      <c r="D96" s="55" t="s">
        <v>412</v>
      </c>
      <c r="E96" s="53" t="s">
        <v>781</v>
      </c>
      <c r="F96" s="54" t="s">
        <v>414</v>
      </c>
      <c r="G96" s="53" t="s">
        <v>779</v>
      </c>
      <c r="H96" s="52" t="s">
        <v>769</v>
      </c>
      <c r="I96" s="51">
        <v>5160990</v>
      </c>
      <c r="J96" s="50">
        <v>0</v>
      </c>
      <c r="K96" s="49">
        <v>198072</v>
      </c>
      <c r="L96" s="49">
        <v>84767</v>
      </c>
      <c r="M96" s="49">
        <v>113305</v>
      </c>
    </row>
    <row r="97" spans="1:13" ht="14.45" customHeight="1" x14ac:dyDescent="0.2">
      <c r="A97" s="56" t="s">
        <v>32</v>
      </c>
      <c r="B97" s="55" t="s">
        <v>110</v>
      </c>
      <c r="C97" s="55" t="s">
        <v>406</v>
      </c>
      <c r="D97" s="55" t="s">
        <v>407</v>
      </c>
      <c r="E97" s="53" t="s">
        <v>781</v>
      </c>
      <c r="F97" s="54" t="s">
        <v>409</v>
      </c>
      <c r="G97" s="53" t="s">
        <v>779</v>
      </c>
      <c r="H97" s="52" t="s">
        <v>769</v>
      </c>
      <c r="I97" s="51">
        <v>3303883</v>
      </c>
      <c r="J97" s="50">
        <v>0.08</v>
      </c>
      <c r="K97" s="49">
        <v>116655</v>
      </c>
      <c r="L97" s="49">
        <v>53970</v>
      </c>
      <c r="M97" s="49">
        <v>62685</v>
      </c>
    </row>
    <row r="98" spans="1:13" ht="14.45" customHeight="1" x14ac:dyDescent="0.2">
      <c r="A98" s="56" t="s">
        <v>32</v>
      </c>
      <c r="B98" s="55" t="s">
        <v>110</v>
      </c>
      <c r="C98" s="55" t="s">
        <v>416</v>
      </c>
      <c r="D98" s="55" t="s">
        <v>417</v>
      </c>
      <c r="E98" s="53" t="s">
        <v>781</v>
      </c>
      <c r="F98" s="54" t="s">
        <v>817</v>
      </c>
      <c r="G98" s="53" t="s">
        <v>779</v>
      </c>
      <c r="H98" s="52" t="s">
        <v>769</v>
      </c>
      <c r="I98" s="51">
        <v>6458665</v>
      </c>
      <c r="J98" s="50">
        <v>0.05</v>
      </c>
      <c r="K98" s="49">
        <v>235481</v>
      </c>
      <c r="L98" s="49">
        <v>105527</v>
      </c>
      <c r="M98" s="49">
        <v>129954</v>
      </c>
    </row>
    <row r="99" spans="1:13" ht="14.45" customHeight="1" x14ac:dyDescent="0.2">
      <c r="A99" s="56" t="s">
        <v>32</v>
      </c>
      <c r="B99" s="55" t="s">
        <v>110</v>
      </c>
      <c r="C99" s="55" t="s">
        <v>441</v>
      </c>
      <c r="D99" s="55" t="s">
        <v>442</v>
      </c>
      <c r="E99" s="53" t="s">
        <v>781</v>
      </c>
      <c r="F99" s="54" t="s">
        <v>444</v>
      </c>
      <c r="G99" s="53" t="s">
        <v>779</v>
      </c>
      <c r="H99" s="52" t="s">
        <v>769</v>
      </c>
      <c r="I99" s="51">
        <v>3413314</v>
      </c>
      <c r="J99" s="50">
        <v>0</v>
      </c>
      <c r="K99" s="49">
        <v>130998</v>
      </c>
      <c r="L99" s="49">
        <v>56185</v>
      </c>
      <c r="M99" s="49">
        <v>74813</v>
      </c>
    </row>
    <row r="100" spans="1:13" ht="14.45" customHeight="1" x14ac:dyDescent="0.2">
      <c r="A100" s="56" t="s">
        <v>32</v>
      </c>
      <c r="B100" s="55" t="s">
        <v>110</v>
      </c>
      <c r="C100" s="55" t="s">
        <v>436</v>
      </c>
      <c r="D100" s="55" t="s">
        <v>437</v>
      </c>
      <c r="E100" s="53" t="s">
        <v>781</v>
      </c>
      <c r="F100" s="54" t="s">
        <v>439</v>
      </c>
      <c r="G100" s="53" t="s">
        <v>779</v>
      </c>
      <c r="H100" s="52" t="s">
        <v>769</v>
      </c>
      <c r="I100" s="51">
        <v>3318477</v>
      </c>
      <c r="J100" s="50">
        <v>0.04</v>
      </c>
      <c r="K100" s="49">
        <v>122264</v>
      </c>
      <c r="L100" s="49">
        <v>54200</v>
      </c>
      <c r="M100" s="49">
        <v>68064</v>
      </c>
    </row>
    <row r="101" spans="1:13" ht="14.45" customHeight="1" x14ac:dyDescent="0.2">
      <c r="A101" s="56" t="s">
        <v>32</v>
      </c>
      <c r="B101" s="55" t="s">
        <v>110</v>
      </c>
      <c r="C101" s="55" t="s">
        <v>456</v>
      </c>
      <c r="D101" s="55" t="s">
        <v>457</v>
      </c>
      <c r="E101" s="53" t="s">
        <v>781</v>
      </c>
      <c r="F101" s="54" t="s">
        <v>459</v>
      </c>
      <c r="G101" s="53" t="s">
        <v>779</v>
      </c>
      <c r="H101" s="52" t="s">
        <v>769</v>
      </c>
      <c r="I101" s="51">
        <v>13482621</v>
      </c>
      <c r="J101" s="50">
        <v>1</v>
      </c>
      <c r="K101" s="49">
        <v>0</v>
      </c>
      <c r="L101" s="49">
        <v>220282</v>
      </c>
      <c r="M101" s="49">
        <v>-220282</v>
      </c>
    </row>
    <row r="102" spans="1:13" ht="14.45" customHeight="1" x14ac:dyDescent="0.2">
      <c r="A102" s="56" t="s">
        <v>32</v>
      </c>
      <c r="B102" s="55" t="s">
        <v>110</v>
      </c>
      <c r="C102" s="55" t="s">
        <v>466</v>
      </c>
      <c r="D102" s="55" t="s">
        <v>467</v>
      </c>
      <c r="E102" s="53" t="s">
        <v>781</v>
      </c>
      <c r="F102" s="54" t="s">
        <v>469</v>
      </c>
      <c r="G102" s="53" t="s">
        <v>779</v>
      </c>
      <c r="H102" s="52" t="s">
        <v>769</v>
      </c>
      <c r="I102" s="51">
        <v>3851902</v>
      </c>
      <c r="J102" s="50">
        <v>0</v>
      </c>
      <c r="K102" s="49">
        <v>147831</v>
      </c>
      <c r="L102" s="49">
        <v>62941</v>
      </c>
      <c r="M102" s="49">
        <v>84890</v>
      </c>
    </row>
    <row r="103" spans="1:13" ht="14.45" customHeight="1" x14ac:dyDescent="0.2">
      <c r="A103" s="56" t="s">
        <v>32</v>
      </c>
      <c r="B103" s="55" t="s">
        <v>110</v>
      </c>
      <c r="C103" s="55" t="s">
        <v>471</v>
      </c>
      <c r="D103" s="55" t="s">
        <v>472</v>
      </c>
      <c r="E103" s="53" t="s">
        <v>781</v>
      </c>
      <c r="F103" s="54" t="s">
        <v>474</v>
      </c>
      <c r="G103" s="53" t="s">
        <v>779</v>
      </c>
      <c r="H103" s="52" t="s">
        <v>769</v>
      </c>
      <c r="I103" s="51">
        <v>1884785</v>
      </c>
      <c r="J103" s="50">
        <v>0</v>
      </c>
      <c r="K103" s="49">
        <v>72335</v>
      </c>
      <c r="L103" s="49">
        <v>31015</v>
      </c>
      <c r="M103" s="49">
        <v>41320</v>
      </c>
    </row>
    <row r="104" spans="1:13" ht="14.45" customHeight="1" x14ac:dyDescent="0.2">
      <c r="A104" s="56" t="s">
        <v>32</v>
      </c>
      <c r="B104" s="55" t="s">
        <v>110</v>
      </c>
      <c r="C104" s="55" t="s">
        <v>486</v>
      </c>
      <c r="D104" s="55" t="s">
        <v>487</v>
      </c>
      <c r="E104" s="53" t="s">
        <v>781</v>
      </c>
      <c r="F104" s="54" t="s">
        <v>489</v>
      </c>
      <c r="G104" s="53" t="s">
        <v>779</v>
      </c>
      <c r="H104" s="52" t="s">
        <v>769</v>
      </c>
      <c r="I104" s="51">
        <v>2142330</v>
      </c>
      <c r="J104" s="50">
        <v>0</v>
      </c>
      <c r="K104" s="49">
        <v>82220</v>
      </c>
      <c r="L104" s="49">
        <v>35278</v>
      </c>
      <c r="M104" s="49">
        <v>46942</v>
      </c>
    </row>
    <row r="105" spans="1:13" ht="14.45" customHeight="1" x14ac:dyDescent="0.2">
      <c r="A105" s="56" t="s">
        <v>32</v>
      </c>
      <c r="B105" s="55" t="s">
        <v>110</v>
      </c>
      <c r="C105" s="55" t="s">
        <v>505</v>
      </c>
      <c r="D105" s="55" t="s">
        <v>506</v>
      </c>
      <c r="E105" s="53" t="s">
        <v>781</v>
      </c>
      <c r="F105" s="54" t="s">
        <v>508</v>
      </c>
      <c r="G105" s="53" t="s">
        <v>779</v>
      </c>
      <c r="H105" s="52" t="s">
        <v>769</v>
      </c>
      <c r="I105" s="51">
        <v>1358476</v>
      </c>
      <c r="J105" s="50">
        <v>0.17</v>
      </c>
      <c r="K105" s="49">
        <v>43273</v>
      </c>
      <c r="L105" s="49">
        <v>22188</v>
      </c>
      <c r="M105" s="49">
        <v>21085</v>
      </c>
    </row>
    <row r="106" spans="1:13" ht="14.45" customHeight="1" x14ac:dyDescent="0.2">
      <c r="A106" s="56" t="s">
        <v>32</v>
      </c>
      <c r="B106" s="55" t="s">
        <v>110</v>
      </c>
      <c r="C106" s="55" t="s">
        <v>525</v>
      </c>
      <c r="D106" s="55" t="s">
        <v>526</v>
      </c>
      <c r="E106" s="53" t="s">
        <v>781</v>
      </c>
      <c r="F106" s="54" t="s">
        <v>528</v>
      </c>
      <c r="G106" s="53" t="s">
        <v>779</v>
      </c>
      <c r="H106" s="52" t="s">
        <v>769</v>
      </c>
      <c r="I106" s="51">
        <v>3043841</v>
      </c>
      <c r="J106" s="50">
        <v>0</v>
      </c>
      <c r="K106" s="49">
        <v>116818</v>
      </c>
      <c r="L106" s="49">
        <v>49920</v>
      </c>
      <c r="M106" s="49">
        <v>66898</v>
      </c>
    </row>
    <row r="107" spans="1:13" ht="14.45" customHeight="1" x14ac:dyDescent="0.2">
      <c r="A107" s="56" t="s">
        <v>32</v>
      </c>
      <c r="B107" s="55" t="s">
        <v>110</v>
      </c>
      <c r="C107" s="55" t="s">
        <v>496</v>
      </c>
      <c r="D107" s="55" t="s">
        <v>497</v>
      </c>
      <c r="E107" s="53" t="s">
        <v>781</v>
      </c>
      <c r="F107" s="54" t="s">
        <v>816</v>
      </c>
      <c r="G107" s="53" t="s">
        <v>779</v>
      </c>
      <c r="H107" s="52" t="s">
        <v>769</v>
      </c>
      <c r="I107" s="51">
        <v>4395612</v>
      </c>
      <c r="J107" s="50">
        <v>0</v>
      </c>
      <c r="K107" s="49">
        <v>168697</v>
      </c>
      <c r="L107" s="49">
        <v>71708</v>
      </c>
      <c r="M107" s="49">
        <v>96989</v>
      </c>
    </row>
    <row r="108" spans="1:13" ht="14.45" customHeight="1" x14ac:dyDescent="0.2">
      <c r="A108" s="56" t="s">
        <v>32</v>
      </c>
      <c r="B108" s="55" t="s">
        <v>110</v>
      </c>
      <c r="C108" s="55" t="s">
        <v>565</v>
      </c>
      <c r="D108" s="55" t="s">
        <v>566</v>
      </c>
      <c r="E108" s="53" t="s">
        <v>781</v>
      </c>
      <c r="F108" s="54" t="s">
        <v>568</v>
      </c>
      <c r="G108" s="53" t="s">
        <v>779</v>
      </c>
      <c r="H108" s="52" t="s">
        <v>769</v>
      </c>
      <c r="I108" s="51">
        <v>1297531</v>
      </c>
      <c r="J108" s="50">
        <v>0</v>
      </c>
      <c r="K108" s="49">
        <v>49797</v>
      </c>
      <c r="L108" s="49">
        <v>21151</v>
      </c>
      <c r="M108" s="49">
        <v>28646</v>
      </c>
    </row>
    <row r="109" spans="1:13" ht="14.45" customHeight="1" x14ac:dyDescent="0.2">
      <c r="A109" s="56" t="s">
        <v>32</v>
      </c>
      <c r="B109" s="55" t="s">
        <v>110</v>
      </c>
      <c r="C109" s="55" t="s">
        <v>560</v>
      </c>
      <c r="D109" s="55" t="s">
        <v>561</v>
      </c>
      <c r="E109" s="53" t="s">
        <v>781</v>
      </c>
      <c r="F109" s="54" t="s">
        <v>815</v>
      </c>
      <c r="G109" s="53" t="s">
        <v>779</v>
      </c>
      <c r="H109" s="52" t="s">
        <v>769</v>
      </c>
      <c r="I109" s="51">
        <v>3108971</v>
      </c>
      <c r="J109" s="50">
        <v>0</v>
      </c>
      <c r="K109" s="49">
        <v>119318</v>
      </c>
      <c r="L109" s="49">
        <v>50993</v>
      </c>
      <c r="M109" s="49">
        <v>68325</v>
      </c>
    </row>
    <row r="110" spans="1:13" ht="14.45" customHeight="1" x14ac:dyDescent="0.2">
      <c r="A110" s="56" t="s">
        <v>32</v>
      </c>
      <c r="B110" s="55" t="s">
        <v>110</v>
      </c>
      <c r="C110" s="55" t="s">
        <v>570</v>
      </c>
      <c r="D110" s="55" t="s">
        <v>571</v>
      </c>
      <c r="E110" s="53" t="s">
        <v>781</v>
      </c>
      <c r="F110" s="54" t="s">
        <v>573</v>
      </c>
      <c r="G110" s="53" t="s">
        <v>779</v>
      </c>
      <c r="H110" s="52" t="s">
        <v>769</v>
      </c>
      <c r="I110" s="51">
        <v>3680201</v>
      </c>
      <c r="J110" s="50">
        <v>0.04</v>
      </c>
      <c r="K110" s="49">
        <v>135591</v>
      </c>
      <c r="L110" s="49">
        <v>60471</v>
      </c>
      <c r="M110" s="49">
        <v>75120</v>
      </c>
    </row>
    <row r="111" spans="1:13" ht="14.45" customHeight="1" x14ac:dyDescent="0.2">
      <c r="A111" s="56" t="s">
        <v>32</v>
      </c>
      <c r="B111" s="55" t="s">
        <v>110</v>
      </c>
      <c r="C111" s="55" t="s">
        <v>575</v>
      </c>
      <c r="D111" s="55" t="s">
        <v>576</v>
      </c>
      <c r="E111" s="53" t="s">
        <v>781</v>
      </c>
      <c r="F111" s="54" t="s">
        <v>814</v>
      </c>
      <c r="G111" s="53" t="s">
        <v>779</v>
      </c>
      <c r="H111" s="52" t="s">
        <v>768</v>
      </c>
      <c r="I111" s="51">
        <v>0</v>
      </c>
      <c r="J111" s="50" t="s">
        <v>27</v>
      </c>
      <c r="K111" s="49">
        <v>0</v>
      </c>
      <c r="L111" s="49">
        <v>0</v>
      </c>
      <c r="M111" s="49">
        <v>0</v>
      </c>
    </row>
    <row r="112" spans="1:13" ht="14.45" customHeight="1" x14ac:dyDescent="0.2">
      <c r="A112" s="56" t="s">
        <v>32</v>
      </c>
      <c r="B112" s="55" t="s">
        <v>110</v>
      </c>
      <c r="C112" s="55" t="s">
        <v>431</v>
      </c>
      <c r="D112" s="55" t="s">
        <v>432</v>
      </c>
      <c r="E112" s="53" t="s">
        <v>781</v>
      </c>
      <c r="F112" s="54" t="s">
        <v>434</v>
      </c>
      <c r="G112" s="53" t="s">
        <v>779</v>
      </c>
      <c r="H112" s="52" t="s">
        <v>769</v>
      </c>
      <c r="I112" s="51">
        <v>5269007</v>
      </c>
      <c r="J112" s="50">
        <v>0</v>
      </c>
      <c r="K112" s="49">
        <v>202217</v>
      </c>
      <c r="L112" s="49">
        <v>86741</v>
      </c>
      <c r="M112" s="49">
        <v>115476</v>
      </c>
    </row>
    <row r="113" spans="1:13" ht="14.45" customHeight="1" x14ac:dyDescent="0.2">
      <c r="A113" s="56" t="s">
        <v>32</v>
      </c>
      <c r="B113" s="55" t="s">
        <v>110</v>
      </c>
      <c r="C113" s="55" t="s">
        <v>491</v>
      </c>
      <c r="D113" s="55" t="s">
        <v>492</v>
      </c>
      <c r="E113" s="53" t="s">
        <v>781</v>
      </c>
      <c r="F113" s="54" t="s">
        <v>494</v>
      </c>
      <c r="G113" s="53" t="s">
        <v>779</v>
      </c>
      <c r="H113" s="52" t="s">
        <v>769</v>
      </c>
      <c r="I113" s="51">
        <v>4489420</v>
      </c>
      <c r="J113" s="50">
        <v>0</v>
      </c>
      <c r="K113" s="49">
        <v>172298</v>
      </c>
      <c r="L113" s="49">
        <v>73325</v>
      </c>
      <c r="M113" s="49">
        <v>98973</v>
      </c>
    </row>
    <row r="114" spans="1:13" ht="14.45" customHeight="1" x14ac:dyDescent="0.2">
      <c r="A114" s="56" t="s">
        <v>32</v>
      </c>
      <c r="B114" s="55" t="s">
        <v>110</v>
      </c>
      <c r="C114" s="55" t="s">
        <v>681</v>
      </c>
      <c r="D114" s="55" t="s">
        <v>682</v>
      </c>
      <c r="E114" s="53" t="s">
        <v>781</v>
      </c>
      <c r="F114" s="54" t="s">
        <v>684</v>
      </c>
      <c r="G114" s="53" t="s">
        <v>779</v>
      </c>
      <c r="H114" s="52" t="s">
        <v>768</v>
      </c>
      <c r="I114" s="51">
        <v>0</v>
      </c>
      <c r="J114" s="50" t="s">
        <v>27</v>
      </c>
      <c r="K114" s="49">
        <v>0</v>
      </c>
      <c r="L114" s="49">
        <v>0</v>
      </c>
      <c r="M114" s="49">
        <v>0</v>
      </c>
    </row>
    <row r="115" spans="1:13" ht="14.45" customHeight="1" x14ac:dyDescent="0.2">
      <c r="A115" s="56" t="s">
        <v>32</v>
      </c>
      <c r="B115" s="55" t="s">
        <v>110</v>
      </c>
      <c r="C115" s="55" t="s">
        <v>161</v>
      </c>
      <c r="D115" s="55" t="s">
        <v>162</v>
      </c>
      <c r="E115" s="53" t="s">
        <v>781</v>
      </c>
      <c r="F115" s="54" t="s">
        <v>164</v>
      </c>
      <c r="G115" s="53" t="s">
        <v>779</v>
      </c>
      <c r="H115" s="52" t="s">
        <v>768</v>
      </c>
      <c r="I115" s="51">
        <v>0</v>
      </c>
      <c r="J115" s="50" t="s">
        <v>27</v>
      </c>
      <c r="K115" s="49">
        <v>0</v>
      </c>
      <c r="L115" s="49">
        <v>0</v>
      </c>
      <c r="M115" s="49">
        <v>0</v>
      </c>
    </row>
    <row r="116" spans="1:13" ht="14.45" customHeight="1" x14ac:dyDescent="0.2">
      <c r="A116" s="56" t="s">
        <v>32</v>
      </c>
      <c r="B116" s="55" t="s">
        <v>110</v>
      </c>
      <c r="C116" s="55" t="s">
        <v>231</v>
      </c>
      <c r="D116" s="55" t="s">
        <v>232</v>
      </c>
      <c r="E116" s="53" t="s">
        <v>781</v>
      </c>
      <c r="F116" s="54" t="s">
        <v>234</v>
      </c>
      <c r="G116" s="53" t="s">
        <v>779</v>
      </c>
      <c r="H116" s="52" t="s">
        <v>769</v>
      </c>
      <c r="I116" s="51">
        <v>8672459</v>
      </c>
      <c r="J116" s="50">
        <v>1</v>
      </c>
      <c r="K116" s="49">
        <v>0</v>
      </c>
      <c r="L116" s="49">
        <v>140833</v>
      </c>
      <c r="M116" s="49">
        <v>-140833</v>
      </c>
    </row>
    <row r="117" spans="1:13" ht="14.45" customHeight="1" x14ac:dyDescent="0.2">
      <c r="A117" s="56" t="s">
        <v>32</v>
      </c>
      <c r="B117" s="55" t="s">
        <v>110</v>
      </c>
      <c r="C117" s="55" t="s">
        <v>261</v>
      </c>
      <c r="D117" s="55" t="s">
        <v>262</v>
      </c>
      <c r="E117" s="53" t="s">
        <v>781</v>
      </c>
      <c r="F117" s="54" t="s">
        <v>264</v>
      </c>
      <c r="G117" s="53" t="s">
        <v>779</v>
      </c>
      <c r="H117" s="52" t="s">
        <v>769</v>
      </c>
      <c r="I117" s="51">
        <v>4919559</v>
      </c>
      <c r="J117" s="50">
        <v>0.04</v>
      </c>
      <c r="K117" s="49">
        <v>181254</v>
      </c>
      <c r="L117" s="49">
        <v>81006</v>
      </c>
      <c r="M117" s="49">
        <v>100248</v>
      </c>
    </row>
    <row r="118" spans="1:13" ht="14.45" customHeight="1" x14ac:dyDescent="0.2">
      <c r="A118" s="56" t="s">
        <v>32</v>
      </c>
      <c r="B118" s="55" t="s">
        <v>110</v>
      </c>
      <c r="C118" s="55" t="s">
        <v>286</v>
      </c>
      <c r="D118" s="55" t="s">
        <v>287</v>
      </c>
      <c r="E118" s="53" t="s">
        <v>781</v>
      </c>
      <c r="F118" s="54" t="s">
        <v>289</v>
      </c>
      <c r="G118" s="53" t="s">
        <v>779</v>
      </c>
      <c r="H118" s="52" t="s">
        <v>768</v>
      </c>
      <c r="I118" s="51">
        <v>0</v>
      </c>
      <c r="J118" s="50" t="s">
        <v>27</v>
      </c>
      <c r="K118" s="49">
        <v>0</v>
      </c>
      <c r="L118" s="49">
        <v>0</v>
      </c>
      <c r="M118" s="49">
        <v>0</v>
      </c>
    </row>
    <row r="119" spans="1:13" ht="14.45" customHeight="1" x14ac:dyDescent="0.2">
      <c r="A119" s="56" t="s">
        <v>32</v>
      </c>
      <c r="B119" s="55" t="s">
        <v>110</v>
      </c>
      <c r="C119" s="55" t="s">
        <v>166</v>
      </c>
      <c r="D119" s="55" t="s">
        <v>167</v>
      </c>
      <c r="E119" s="53" t="s">
        <v>781</v>
      </c>
      <c r="F119" s="54" t="s">
        <v>169</v>
      </c>
      <c r="G119" s="53" t="s">
        <v>779</v>
      </c>
      <c r="H119" s="52" t="s">
        <v>769</v>
      </c>
      <c r="I119" s="51">
        <v>5942083</v>
      </c>
      <c r="J119" s="50">
        <v>0.23</v>
      </c>
      <c r="K119" s="49">
        <v>175598</v>
      </c>
      <c r="L119" s="49">
        <v>97037</v>
      </c>
      <c r="M119" s="49">
        <v>78561</v>
      </c>
    </row>
    <row r="120" spans="1:13" ht="14.45" customHeight="1" x14ac:dyDescent="0.2">
      <c r="A120" s="56" t="s">
        <v>32</v>
      </c>
      <c r="B120" s="55" t="s">
        <v>110</v>
      </c>
      <c r="C120" s="55" t="s">
        <v>376</v>
      </c>
      <c r="D120" s="55" t="s">
        <v>377</v>
      </c>
      <c r="E120" s="53" t="s">
        <v>781</v>
      </c>
      <c r="F120" s="54" t="s">
        <v>379</v>
      </c>
      <c r="G120" s="53" t="s">
        <v>779</v>
      </c>
      <c r="H120" s="52" t="s">
        <v>769</v>
      </c>
      <c r="I120" s="51">
        <v>5814547</v>
      </c>
      <c r="J120" s="50">
        <v>0</v>
      </c>
      <c r="K120" s="49">
        <v>223154</v>
      </c>
      <c r="L120" s="49">
        <v>94945</v>
      </c>
      <c r="M120" s="49">
        <v>128209</v>
      </c>
    </row>
    <row r="121" spans="1:13" ht="14.45" customHeight="1" x14ac:dyDescent="0.2">
      <c r="A121" s="56" t="s">
        <v>32</v>
      </c>
      <c r="B121" s="55" t="s">
        <v>110</v>
      </c>
      <c r="C121" s="55" t="s">
        <v>171</v>
      </c>
      <c r="D121" s="55" t="s">
        <v>172</v>
      </c>
      <c r="E121" s="53" t="s">
        <v>781</v>
      </c>
      <c r="F121" s="54" t="s">
        <v>174</v>
      </c>
      <c r="G121" s="53" t="s">
        <v>779</v>
      </c>
      <c r="H121" s="52" t="s">
        <v>769</v>
      </c>
      <c r="I121" s="51">
        <v>4000138</v>
      </c>
      <c r="J121" s="50">
        <v>0</v>
      </c>
      <c r="K121" s="49">
        <v>153520</v>
      </c>
      <c r="L121" s="49">
        <v>65327</v>
      </c>
      <c r="M121" s="49">
        <v>88193</v>
      </c>
    </row>
    <row r="122" spans="1:13" ht="14.45" customHeight="1" x14ac:dyDescent="0.2">
      <c r="A122" s="56" t="s">
        <v>32</v>
      </c>
      <c r="B122" s="55" t="s">
        <v>110</v>
      </c>
      <c r="C122" s="55" t="s">
        <v>391</v>
      </c>
      <c r="D122" s="55" t="s">
        <v>392</v>
      </c>
      <c r="E122" s="53" t="s">
        <v>781</v>
      </c>
      <c r="F122" s="54" t="s">
        <v>394</v>
      </c>
      <c r="G122" s="53" t="s">
        <v>779</v>
      </c>
      <c r="H122" s="52" t="s">
        <v>769</v>
      </c>
      <c r="I122" s="51">
        <v>3195595</v>
      </c>
      <c r="J122" s="50">
        <v>0.08</v>
      </c>
      <c r="K122" s="49">
        <v>112831</v>
      </c>
      <c r="L122" s="49">
        <v>52192</v>
      </c>
      <c r="M122" s="49">
        <v>60639</v>
      </c>
    </row>
    <row r="123" spans="1:13" ht="14.45" customHeight="1" x14ac:dyDescent="0.2">
      <c r="A123" s="56" t="s">
        <v>32</v>
      </c>
      <c r="B123" s="55" t="s">
        <v>110</v>
      </c>
      <c r="C123" s="55" t="s">
        <v>176</v>
      </c>
      <c r="D123" s="55" t="s">
        <v>177</v>
      </c>
      <c r="E123" s="53" t="s">
        <v>781</v>
      </c>
      <c r="F123" s="54" t="s">
        <v>179</v>
      </c>
      <c r="G123" s="53" t="s">
        <v>779</v>
      </c>
      <c r="H123" s="52" t="s">
        <v>769</v>
      </c>
      <c r="I123" s="51">
        <v>18149309</v>
      </c>
      <c r="J123" s="50">
        <v>0.16</v>
      </c>
      <c r="K123" s="49">
        <v>585098</v>
      </c>
      <c r="L123" s="49">
        <v>296606</v>
      </c>
      <c r="M123" s="49">
        <v>288492</v>
      </c>
    </row>
    <row r="124" spans="1:13" ht="14.45" customHeight="1" x14ac:dyDescent="0.2">
      <c r="A124" s="56" t="s">
        <v>32</v>
      </c>
      <c r="B124" s="55" t="s">
        <v>110</v>
      </c>
      <c r="C124" s="55" t="s">
        <v>201</v>
      </c>
      <c r="D124" s="55" t="s">
        <v>202</v>
      </c>
      <c r="E124" s="53" t="s">
        <v>781</v>
      </c>
      <c r="F124" s="54" t="s">
        <v>204</v>
      </c>
      <c r="G124" s="53" t="s">
        <v>779</v>
      </c>
      <c r="H124" s="52" t="s">
        <v>769</v>
      </c>
      <c r="I124" s="51">
        <v>1456089</v>
      </c>
      <c r="J124" s="50">
        <v>0</v>
      </c>
      <c r="K124" s="49">
        <v>55883</v>
      </c>
      <c r="L124" s="49">
        <v>23805</v>
      </c>
      <c r="M124" s="49">
        <v>32078</v>
      </c>
    </row>
    <row r="125" spans="1:13" ht="14.45" customHeight="1" x14ac:dyDescent="0.2">
      <c r="A125" s="56" t="s">
        <v>32</v>
      </c>
      <c r="B125" s="55" t="s">
        <v>110</v>
      </c>
      <c r="C125" s="55" t="s">
        <v>196</v>
      </c>
      <c r="D125" s="55" t="s">
        <v>197</v>
      </c>
      <c r="E125" s="53" t="s">
        <v>781</v>
      </c>
      <c r="F125" s="54" t="s">
        <v>199</v>
      </c>
      <c r="G125" s="53" t="s">
        <v>779</v>
      </c>
      <c r="H125" s="52" t="s">
        <v>769</v>
      </c>
      <c r="I125" s="51">
        <v>1968140</v>
      </c>
      <c r="J125" s="50">
        <v>0</v>
      </c>
      <c r="K125" s="49">
        <v>75534</v>
      </c>
      <c r="L125" s="49">
        <v>32377</v>
      </c>
      <c r="M125" s="49">
        <v>43157</v>
      </c>
    </row>
    <row r="126" spans="1:13" ht="14.45" customHeight="1" x14ac:dyDescent="0.2">
      <c r="A126" s="56" t="s">
        <v>32</v>
      </c>
      <c r="B126" s="55" t="s">
        <v>110</v>
      </c>
      <c r="C126" s="55" t="s">
        <v>251</v>
      </c>
      <c r="D126" s="55" t="s">
        <v>252</v>
      </c>
      <c r="E126" s="53" t="s">
        <v>781</v>
      </c>
      <c r="F126" s="54" t="s">
        <v>254</v>
      </c>
      <c r="G126" s="53" t="s">
        <v>779</v>
      </c>
      <c r="H126" s="52" t="s">
        <v>769</v>
      </c>
      <c r="I126" s="51">
        <v>1162029</v>
      </c>
      <c r="J126" s="50">
        <v>0.04</v>
      </c>
      <c r="K126" s="49">
        <v>42813</v>
      </c>
      <c r="L126" s="49">
        <v>18993</v>
      </c>
      <c r="M126" s="49">
        <v>23820</v>
      </c>
    </row>
    <row r="127" spans="1:13" ht="14.45" customHeight="1" x14ac:dyDescent="0.2">
      <c r="A127" s="56" t="s">
        <v>32</v>
      </c>
      <c r="B127" s="55" t="s">
        <v>110</v>
      </c>
      <c r="C127" s="55" t="s">
        <v>266</v>
      </c>
      <c r="D127" s="55" t="s">
        <v>267</v>
      </c>
      <c r="E127" s="53" t="s">
        <v>781</v>
      </c>
      <c r="F127" s="54" t="s">
        <v>269</v>
      </c>
      <c r="G127" s="53" t="s">
        <v>779</v>
      </c>
      <c r="H127" s="52" t="s">
        <v>769</v>
      </c>
      <c r="I127" s="51">
        <v>3142362</v>
      </c>
      <c r="J127" s="50">
        <v>0.04</v>
      </c>
      <c r="K127" s="49">
        <v>115776</v>
      </c>
      <c r="L127" s="49">
        <v>51710</v>
      </c>
      <c r="M127" s="49">
        <v>64066</v>
      </c>
    </row>
    <row r="128" spans="1:13" ht="14.45" customHeight="1" x14ac:dyDescent="0.2">
      <c r="A128" s="56" t="s">
        <v>32</v>
      </c>
      <c r="B128" s="55" t="s">
        <v>110</v>
      </c>
      <c r="C128" s="55" t="s">
        <v>276</v>
      </c>
      <c r="D128" s="55" t="s">
        <v>277</v>
      </c>
      <c r="E128" s="53" t="s">
        <v>781</v>
      </c>
      <c r="F128" s="54" t="s">
        <v>279</v>
      </c>
      <c r="G128" s="53" t="s">
        <v>779</v>
      </c>
      <c r="H128" s="52" t="s">
        <v>769</v>
      </c>
      <c r="I128" s="51">
        <v>4921064</v>
      </c>
      <c r="J128" s="50">
        <v>0</v>
      </c>
      <c r="K128" s="49">
        <v>188864</v>
      </c>
      <c r="L128" s="49">
        <v>80995</v>
      </c>
      <c r="M128" s="49">
        <v>107869</v>
      </c>
    </row>
    <row r="129" spans="1:13" ht="14.45" customHeight="1" x14ac:dyDescent="0.2">
      <c r="A129" s="56" t="s">
        <v>32</v>
      </c>
      <c r="B129" s="55" t="s">
        <v>110</v>
      </c>
      <c r="C129" s="55" t="s">
        <v>291</v>
      </c>
      <c r="D129" s="55" t="s">
        <v>292</v>
      </c>
      <c r="E129" s="53" t="s">
        <v>781</v>
      </c>
      <c r="F129" s="54" t="s">
        <v>294</v>
      </c>
      <c r="G129" s="53" t="s">
        <v>779</v>
      </c>
      <c r="H129" s="52" t="s">
        <v>769</v>
      </c>
      <c r="I129" s="51">
        <v>2722267</v>
      </c>
      <c r="J129" s="50">
        <v>0.08</v>
      </c>
      <c r="K129" s="49">
        <v>96119</v>
      </c>
      <c r="L129" s="49">
        <v>44463</v>
      </c>
      <c r="M129" s="49">
        <v>51656</v>
      </c>
    </row>
    <row r="130" spans="1:13" ht="14.45" customHeight="1" x14ac:dyDescent="0.2">
      <c r="A130" s="56" t="s">
        <v>32</v>
      </c>
      <c r="B130" s="55" t="s">
        <v>110</v>
      </c>
      <c r="C130" s="55" t="s">
        <v>306</v>
      </c>
      <c r="D130" s="55" t="s">
        <v>307</v>
      </c>
      <c r="E130" s="53" t="s">
        <v>781</v>
      </c>
      <c r="F130" s="54" t="s">
        <v>309</v>
      </c>
      <c r="G130" s="53" t="s">
        <v>779</v>
      </c>
      <c r="H130" s="52" t="s">
        <v>769</v>
      </c>
      <c r="I130" s="51">
        <v>7032300</v>
      </c>
      <c r="J130" s="50">
        <v>0</v>
      </c>
      <c r="K130" s="49">
        <v>269890</v>
      </c>
      <c r="L130" s="49">
        <v>115549</v>
      </c>
      <c r="M130" s="49">
        <v>154341</v>
      </c>
    </row>
    <row r="131" spans="1:13" ht="14.45" customHeight="1" x14ac:dyDescent="0.2">
      <c r="A131" s="56" t="s">
        <v>32</v>
      </c>
      <c r="B131" s="55" t="s">
        <v>113</v>
      </c>
      <c r="C131" s="55" t="s">
        <v>26</v>
      </c>
      <c r="D131" s="55" t="s">
        <v>27</v>
      </c>
      <c r="E131" s="55" t="s">
        <v>27</v>
      </c>
      <c r="F131" s="54" t="s">
        <v>114</v>
      </c>
      <c r="G131" s="53" t="s">
        <v>778</v>
      </c>
      <c r="H131" s="52" t="s">
        <v>27</v>
      </c>
      <c r="I131" s="51">
        <v>120927450</v>
      </c>
      <c r="J131" s="50">
        <v>0</v>
      </c>
      <c r="K131" s="49">
        <v>4641028</v>
      </c>
      <c r="L131" s="49">
        <v>1990595</v>
      </c>
      <c r="M131" s="49">
        <v>2650433</v>
      </c>
    </row>
    <row r="132" spans="1:13" ht="14.45" customHeight="1" x14ac:dyDescent="0.2">
      <c r="A132" s="56" t="s">
        <v>32</v>
      </c>
      <c r="B132" s="55" t="s">
        <v>116</v>
      </c>
      <c r="C132" s="55" t="s">
        <v>26</v>
      </c>
      <c r="D132" s="55" t="s">
        <v>27</v>
      </c>
      <c r="E132" s="55" t="s">
        <v>27</v>
      </c>
      <c r="F132" s="54" t="s">
        <v>117</v>
      </c>
      <c r="G132" s="53" t="s">
        <v>778</v>
      </c>
      <c r="H132" s="52" t="s">
        <v>27</v>
      </c>
      <c r="I132" s="51">
        <v>4691785</v>
      </c>
      <c r="J132" s="50">
        <v>0</v>
      </c>
      <c r="K132" s="49">
        <v>180064</v>
      </c>
      <c r="L132" s="49">
        <v>77173</v>
      </c>
      <c r="M132" s="49">
        <v>102891</v>
      </c>
    </row>
    <row r="133" spans="1:13" ht="14.45" customHeight="1" x14ac:dyDescent="0.2">
      <c r="A133" s="56" t="s">
        <v>32</v>
      </c>
      <c r="B133" s="55" t="s">
        <v>119</v>
      </c>
      <c r="C133" s="55" t="s">
        <v>26</v>
      </c>
      <c r="D133" s="55" t="s">
        <v>27</v>
      </c>
      <c r="E133" s="55" t="s">
        <v>27</v>
      </c>
      <c r="F133" s="54" t="s">
        <v>120</v>
      </c>
      <c r="G133" s="53" t="s">
        <v>778</v>
      </c>
      <c r="H133" s="52" t="s">
        <v>27</v>
      </c>
      <c r="I133" s="51">
        <v>59036894</v>
      </c>
      <c r="J133" s="50">
        <v>0</v>
      </c>
      <c r="K133" s="49">
        <v>2265754</v>
      </c>
      <c r="L133" s="49">
        <v>970595</v>
      </c>
      <c r="M133" s="49">
        <v>1295159</v>
      </c>
    </row>
    <row r="134" spans="1:13" ht="14.45" customHeight="1" x14ac:dyDescent="0.2">
      <c r="A134" s="56" t="s">
        <v>32</v>
      </c>
      <c r="B134" s="55" t="s">
        <v>122</v>
      </c>
      <c r="C134" s="55" t="s">
        <v>26</v>
      </c>
      <c r="D134" s="55" t="s">
        <v>27</v>
      </c>
      <c r="E134" s="55" t="s">
        <v>27</v>
      </c>
      <c r="F134" s="54" t="s">
        <v>123</v>
      </c>
      <c r="G134" s="53" t="s">
        <v>778</v>
      </c>
      <c r="H134" s="52" t="s">
        <v>27</v>
      </c>
      <c r="I134" s="51">
        <v>45571515</v>
      </c>
      <c r="J134" s="50">
        <v>0.05</v>
      </c>
      <c r="K134" s="49">
        <v>1661523</v>
      </c>
      <c r="L134" s="49">
        <v>736349</v>
      </c>
      <c r="M134" s="49">
        <v>925174</v>
      </c>
    </row>
    <row r="135" spans="1:13" ht="14.45" customHeight="1" x14ac:dyDescent="0.2">
      <c r="A135" s="56" t="s">
        <v>32</v>
      </c>
      <c r="B135" s="55" t="s">
        <v>125</v>
      </c>
      <c r="C135" s="55" t="s">
        <v>26</v>
      </c>
      <c r="D135" s="55" t="s">
        <v>27</v>
      </c>
      <c r="E135" s="55" t="s">
        <v>27</v>
      </c>
      <c r="F135" s="54" t="s">
        <v>126</v>
      </c>
      <c r="G135" s="53" t="s">
        <v>778</v>
      </c>
      <c r="H135" s="52" t="s">
        <v>27</v>
      </c>
      <c r="I135" s="51">
        <v>25129694</v>
      </c>
      <c r="J135" s="50">
        <v>0</v>
      </c>
      <c r="K135" s="49">
        <v>964443</v>
      </c>
      <c r="L135" s="49">
        <v>413439</v>
      </c>
      <c r="M135" s="49">
        <v>551004</v>
      </c>
    </row>
    <row r="136" spans="1:13" ht="14.45" customHeight="1" x14ac:dyDescent="0.2">
      <c r="A136" s="56" t="s">
        <v>32</v>
      </c>
      <c r="B136" s="55" t="s">
        <v>128</v>
      </c>
      <c r="C136" s="55" t="s">
        <v>26</v>
      </c>
      <c r="D136" s="55" t="s">
        <v>27</v>
      </c>
      <c r="E136" s="55" t="s">
        <v>27</v>
      </c>
      <c r="F136" s="54" t="s">
        <v>129</v>
      </c>
      <c r="G136" s="53" t="s">
        <v>778</v>
      </c>
      <c r="H136" s="52" t="s">
        <v>27</v>
      </c>
      <c r="I136" s="51">
        <v>50955006</v>
      </c>
      <c r="J136" s="50">
        <v>1</v>
      </c>
      <c r="K136" s="49">
        <v>0</v>
      </c>
      <c r="L136" s="49">
        <v>836159</v>
      </c>
      <c r="M136" s="49">
        <v>-836159</v>
      </c>
    </row>
    <row r="137" spans="1:13" ht="14.45" customHeight="1" x14ac:dyDescent="0.2">
      <c r="A137" s="56" t="s">
        <v>32</v>
      </c>
      <c r="B137" s="55" t="s">
        <v>128</v>
      </c>
      <c r="C137" s="55" t="s">
        <v>813</v>
      </c>
      <c r="D137" s="55" t="s">
        <v>812</v>
      </c>
      <c r="E137" s="53" t="s">
        <v>780</v>
      </c>
      <c r="F137" s="54" t="s">
        <v>811</v>
      </c>
      <c r="G137" s="53" t="s">
        <v>779</v>
      </c>
      <c r="H137" s="52" t="s">
        <v>769</v>
      </c>
      <c r="I137" s="51">
        <v>7910313</v>
      </c>
      <c r="J137" s="50">
        <v>1</v>
      </c>
      <c r="K137" s="49">
        <v>0</v>
      </c>
      <c r="L137" s="49">
        <v>130600</v>
      </c>
      <c r="M137" s="49">
        <v>-130600</v>
      </c>
    </row>
    <row r="138" spans="1:13" ht="14.45" customHeight="1" x14ac:dyDescent="0.2">
      <c r="A138" s="56" t="s">
        <v>32</v>
      </c>
      <c r="B138" s="55" t="s">
        <v>128</v>
      </c>
      <c r="C138" s="55" t="s">
        <v>810</v>
      </c>
      <c r="D138" s="55" t="s">
        <v>809</v>
      </c>
      <c r="E138" s="53" t="s">
        <v>780</v>
      </c>
      <c r="F138" s="54" t="s">
        <v>808</v>
      </c>
      <c r="G138" s="53" t="s">
        <v>779</v>
      </c>
      <c r="H138" s="52" t="s">
        <v>769</v>
      </c>
      <c r="I138" s="51">
        <v>11259512</v>
      </c>
      <c r="J138" s="50">
        <v>1</v>
      </c>
      <c r="K138" s="49">
        <v>0</v>
      </c>
      <c r="L138" s="49">
        <v>184124</v>
      </c>
      <c r="M138" s="49">
        <v>-184124</v>
      </c>
    </row>
    <row r="139" spans="1:13" ht="14.45" customHeight="1" x14ac:dyDescent="0.2">
      <c r="A139" s="56" t="s">
        <v>32</v>
      </c>
      <c r="B139" s="55" t="s">
        <v>131</v>
      </c>
      <c r="C139" s="55" t="s">
        <v>26</v>
      </c>
      <c r="D139" s="55" t="s">
        <v>27</v>
      </c>
      <c r="E139" s="55" t="s">
        <v>27</v>
      </c>
      <c r="F139" s="54" t="s">
        <v>132</v>
      </c>
      <c r="G139" s="53" t="s">
        <v>778</v>
      </c>
      <c r="H139" s="52" t="s">
        <v>27</v>
      </c>
      <c r="I139" s="51">
        <v>391755</v>
      </c>
      <c r="J139" s="50">
        <v>0</v>
      </c>
      <c r="K139" s="49">
        <v>15035</v>
      </c>
      <c r="L139" s="49">
        <v>6465</v>
      </c>
      <c r="M139" s="49">
        <v>8570</v>
      </c>
    </row>
    <row r="140" spans="1:13" ht="14.45" customHeight="1" x14ac:dyDescent="0.2">
      <c r="A140" s="56" t="s">
        <v>32</v>
      </c>
      <c r="B140" s="55" t="s">
        <v>131</v>
      </c>
      <c r="C140" s="55" t="s">
        <v>515</v>
      </c>
      <c r="D140" s="55" t="s">
        <v>516</v>
      </c>
      <c r="E140" s="53" t="s">
        <v>781</v>
      </c>
      <c r="F140" s="54" t="s">
        <v>518</v>
      </c>
      <c r="G140" s="53" t="s">
        <v>779</v>
      </c>
      <c r="H140" s="52" t="s">
        <v>768</v>
      </c>
      <c r="I140" s="51">
        <v>0</v>
      </c>
      <c r="J140" s="50" t="s">
        <v>27</v>
      </c>
      <c r="K140" s="49">
        <v>0</v>
      </c>
      <c r="L140" s="49">
        <v>0</v>
      </c>
      <c r="M140" s="49">
        <v>0</v>
      </c>
    </row>
    <row r="141" spans="1:13" ht="14.45" customHeight="1" x14ac:dyDescent="0.2">
      <c r="A141" s="56" t="s">
        <v>32</v>
      </c>
      <c r="B141" s="55" t="s">
        <v>131</v>
      </c>
      <c r="C141" s="55" t="s">
        <v>311</v>
      </c>
      <c r="D141" s="55" t="s">
        <v>312</v>
      </c>
      <c r="E141" s="53" t="s">
        <v>781</v>
      </c>
      <c r="F141" s="54" t="s">
        <v>314</v>
      </c>
      <c r="G141" s="53" t="s">
        <v>779</v>
      </c>
      <c r="H141" s="52" t="s">
        <v>768</v>
      </c>
      <c r="I141" s="51">
        <v>0</v>
      </c>
      <c r="J141" s="50" t="s">
        <v>27</v>
      </c>
      <c r="K141" s="49">
        <v>0</v>
      </c>
      <c r="L141" s="49">
        <v>0</v>
      </c>
      <c r="M141" s="49">
        <v>0</v>
      </c>
    </row>
    <row r="142" spans="1:13" ht="14.45" customHeight="1" x14ac:dyDescent="0.2">
      <c r="A142" s="56" t="s">
        <v>32</v>
      </c>
      <c r="B142" s="55" t="s">
        <v>134</v>
      </c>
      <c r="C142" s="55" t="s">
        <v>26</v>
      </c>
      <c r="D142" s="55" t="s">
        <v>27</v>
      </c>
      <c r="E142" s="55" t="s">
        <v>27</v>
      </c>
      <c r="F142" s="54" t="s">
        <v>135</v>
      </c>
      <c r="G142" s="53" t="s">
        <v>778</v>
      </c>
      <c r="H142" s="52" t="s">
        <v>27</v>
      </c>
      <c r="I142" s="51">
        <v>388886304</v>
      </c>
      <c r="J142" s="50">
        <v>0.05</v>
      </c>
      <c r="K142" s="49">
        <v>14178670</v>
      </c>
      <c r="L142" s="49">
        <v>6367886</v>
      </c>
      <c r="M142" s="49">
        <v>7810784</v>
      </c>
    </row>
    <row r="143" spans="1:13" ht="14.45" customHeight="1" x14ac:dyDescent="0.2">
      <c r="A143" s="56" t="s">
        <v>32</v>
      </c>
      <c r="B143" s="55" t="s">
        <v>134</v>
      </c>
      <c r="C143" s="55" t="s">
        <v>520</v>
      </c>
      <c r="D143" s="55" t="s">
        <v>521</v>
      </c>
      <c r="E143" s="53" t="s">
        <v>781</v>
      </c>
      <c r="F143" s="54" t="s">
        <v>523</v>
      </c>
      <c r="G143" s="53" t="s">
        <v>779</v>
      </c>
      <c r="H143" s="52" t="s">
        <v>769</v>
      </c>
      <c r="I143" s="51">
        <v>12016917</v>
      </c>
      <c r="J143" s="50">
        <v>0.2</v>
      </c>
      <c r="K143" s="49">
        <v>368954</v>
      </c>
      <c r="L143" s="49">
        <v>196839</v>
      </c>
      <c r="M143" s="49">
        <v>172115</v>
      </c>
    </row>
    <row r="144" spans="1:13" ht="14.45" customHeight="1" x14ac:dyDescent="0.2">
      <c r="A144" s="56" t="s">
        <v>32</v>
      </c>
      <c r="B144" s="55" t="s">
        <v>134</v>
      </c>
      <c r="C144" s="55" t="s">
        <v>271</v>
      </c>
      <c r="D144" s="55" t="s">
        <v>272</v>
      </c>
      <c r="E144" s="53" t="s">
        <v>781</v>
      </c>
      <c r="F144" s="54" t="s">
        <v>274</v>
      </c>
      <c r="G144" s="53" t="s">
        <v>779</v>
      </c>
      <c r="H144" s="52" t="s">
        <v>769</v>
      </c>
      <c r="I144" s="51">
        <v>2699849</v>
      </c>
      <c r="J144" s="50">
        <v>0.15</v>
      </c>
      <c r="K144" s="49">
        <v>88074</v>
      </c>
      <c r="L144" s="49">
        <v>44208</v>
      </c>
      <c r="M144" s="49">
        <v>43866</v>
      </c>
    </row>
    <row r="145" spans="1:13" ht="14.45" customHeight="1" x14ac:dyDescent="0.2">
      <c r="A145" s="56" t="s">
        <v>32</v>
      </c>
      <c r="B145" s="55" t="s">
        <v>137</v>
      </c>
      <c r="C145" s="55" t="s">
        <v>26</v>
      </c>
      <c r="D145" s="55" t="s">
        <v>27</v>
      </c>
      <c r="E145" s="55" t="s">
        <v>27</v>
      </c>
      <c r="F145" s="54" t="s">
        <v>138</v>
      </c>
      <c r="G145" s="53" t="s">
        <v>778</v>
      </c>
      <c r="H145" s="52" t="s">
        <v>27</v>
      </c>
      <c r="I145" s="51">
        <v>2167848</v>
      </c>
      <c r="J145" s="50">
        <v>0</v>
      </c>
      <c r="K145" s="49">
        <v>83199</v>
      </c>
      <c r="L145" s="49">
        <v>35662</v>
      </c>
      <c r="M145" s="49">
        <v>47537</v>
      </c>
    </row>
    <row r="146" spans="1:13" ht="14.45" customHeight="1" x14ac:dyDescent="0.2">
      <c r="A146" s="56" t="s">
        <v>32</v>
      </c>
      <c r="B146" s="55" t="s">
        <v>140</v>
      </c>
      <c r="C146" s="55" t="s">
        <v>26</v>
      </c>
      <c r="D146" s="55" t="s">
        <v>27</v>
      </c>
      <c r="E146" s="55" t="s">
        <v>27</v>
      </c>
      <c r="F146" s="54" t="s">
        <v>141</v>
      </c>
      <c r="G146" s="53" t="s">
        <v>778</v>
      </c>
      <c r="H146" s="52" t="s">
        <v>27</v>
      </c>
      <c r="I146" s="51">
        <v>203020427</v>
      </c>
      <c r="J146" s="50">
        <v>0</v>
      </c>
      <c r="K146" s="49">
        <v>7791642</v>
      </c>
      <c r="L146" s="49">
        <v>3311770</v>
      </c>
      <c r="M146" s="49">
        <v>4479872</v>
      </c>
    </row>
    <row r="147" spans="1:13" ht="14.45" customHeight="1" x14ac:dyDescent="0.2">
      <c r="A147" s="56" t="s">
        <v>32</v>
      </c>
      <c r="B147" s="55" t="s">
        <v>140</v>
      </c>
      <c r="C147" s="55" t="s">
        <v>351</v>
      </c>
      <c r="D147" s="55" t="s">
        <v>352</v>
      </c>
      <c r="E147" s="53" t="s">
        <v>781</v>
      </c>
      <c r="F147" s="54" t="s">
        <v>354</v>
      </c>
      <c r="G147" s="53" t="s">
        <v>779</v>
      </c>
      <c r="H147" s="52" t="s">
        <v>768</v>
      </c>
      <c r="I147" s="51">
        <v>0</v>
      </c>
      <c r="J147" s="50" t="s">
        <v>27</v>
      </c>
      <c r="K147" s="49">
        <v>0</v>
      </c>
      <c r="L147" s="49">
        <v>0</v>
      </c>
      <c r="M147" s="49">
        <v>0</v>
      </c>
    </row>
    <row r="148" spans="1:13" ht="14.45" customHeight="1" x14ac:dyDescent="0.2">
      <c r="A148" s="56" t="s">
        <v>32</v>
      </c>
      <c r="B148" s="55" t="s">
        <v>140</v>
      </c>
      <c r="C148" s="55" t="s">
        <v>421</v>
      </c>
      <c r="D148" s="55" t="s">
        <v>422</v>
      </c>
      <c r="E148" s="53" t="s">
        <v>781</v>
      </c>
      <c r="F148" s="54" t="s">
        <v>424</v>
      </c>
      <c r="G148" s="53" t="s">
        <v>779</v>
      </c>
      <c r="H148" s="52" t="s">
        <v>769</v>
      </c>
      <c r="I148" s="51">
        <v>1917081</v>
      </c>
      <c r="J148" s="50">
        <v>0</v>
      </c>
      <c r="K148" s="49">
        <v>73575</v>
      </c>
      <c r="L148" s="49">
        <v>31526</v>
      </c>
      <c r="M148" s="49">
        <v>42049</v>
      </c>
    </row>
    <row r="149" spans="1:13" ht="14.45" customHeight="1" x14ac:dyDescent="0.2">
      <c r="A149" s="56" t="s">
        <v>32</v>
      </c>
      <c r="B149" s="55" t="s">
        <v>140</v>
      </c>
      <c r="C149" s="55" t="s">
        <v>510</v>
      </c>
      <c r="D149" s="55" t="s">
        <v>511</v>
      </c>
      <c r="E149" s="53" t="s">
        <v>781</v>
      </c>
      <c r="F149" s="54" t="s">
        <v>513</v>
      </c>
      <c r="G149" s="53" t="s">
        <v>779</v>
      </c>
      <c r="H149" s="52" t="s">
        <v>768</v>
      </c>
      <c r="I149" s="51">
        <v>0</v>
      </c>
      <c r="J149" s="50" t="s">
        <v>27</v>
      </c>
      <c r="K149" s="49">
        <v>0</v>
      </c>
      <c r="L149" s="49">
        <v>0</v>
      </c>
      <c r="M149" s="49">
        <v>0</v>
      </c>
    </row>
    <row r="150" spans="1:13" ht="14.45" customHeight="1" x14ac:dyDescent="0.2">
      <c r="A150" s="56" t="s">
        <v>32</v>
      </c>
      <c r="B150" s="55" t="s">
        <v>140</v>
      </c>
      <c r="C150" s="55" t="s">
        <v>540</v>
      </c>
      <c r="D150" s="55" t="s">
        <v>541</v>
      </c>
      <c r="E150" s="53" t="s">
        <v>781</v>
      </c>
      <c r="F150" s="54" t="s">
        <v>543</v>
      </c>
      <c r="G150" s="53" t="s">
        <v>779</v>
      </c>
      <c r="H150" s="52" t="s">
        <v>769</v>
      </c>
      <c r="I150" s="51">
        <v>5298817</v>
      </c>
      <c r="J150" s="50">
        <v>0</v>
      </c>
      <c r="K150" s="49">
        <v>203361</v>
      </c>
      <c r="L150" s="49">
        <v>87048</v>
      </c>
      <c r="M150" s="49">
        <v>116313</v>
      </c>
    </row>
    <row r="151" spans="1:13" ht="14.45" customHeight="1" x14ac:dyDescent="0.2">
      <c r="A151" s="56" t="s">
        <v>32</v>
      </c>
      <c r="B151" s="55" t="s">
        <v>140</v>
      </c>
      <c r="C151" s="55" t="s">
        <v>181</v>
      </c>
      <c r="D151" s="55" t="s">
        <v>182</v>
      </c>
      <c r="E151" s="53" t="s">
        <v>781</v>
      </c>
      <c r="F151" s="54" t="s">
        <v>184</v>
      </c>
      <c r="G151" s="53" t="s">
        <v>779</v>
      </c>
      <c r="H151" s="52" t="s">
        <v>769</v>
      </c>
      <c r="I151" s="51">
        <v>13616555</v>
      </c>
      <c r="J151" s="50">
        <v>0.01</v>
      </c>
      <c r="K151" s="49">
        <v>517359</v>
      </c>
      <c r="L151" s="49">
        <v>224255</v>
      </c>
      <c r="M151" s="49">
        <v>293104</v>
      </c>
    </row>
    <row r="152" spans="1:13" ht="14.45" customHeight="1" x14ac:dyDescent="0.2">
      <c r="A152" s="56" t="s">
        <v>32</v>
      </c>
      <c r="B152" s="55" t="s">
        <v>143</v>
      </c>
      <c r="C152" s="55" t="s">
        <v>26</v>
      </c>
      <c r="D152" s="55" t="s">
        <v>27</v>
      </c>
      <c r="E152" s="55" t="s">
        <v>27</v>
      </c>
      <c r="F152" s="54" t="s">
        <v>144</v>
      </c>
      <c r="G152" s="53" t="s">
        <v>778</v>
      </c>
      <c r="H152" s="52" t="s">
        <v>27</v>
      </c>
      <c r="I152" s="51">
        <v>100957116</v>
      </c>
      <c r="J152" s="50">
        <v>0</v>
      </c>
      <c r="K152" s="49">
        <v>3874594</v>
      </c>
      <c r="L152" s="49">
        <v>1661720</v>
      </c>
      <c r="M152" s="49">
        <v>2212874</v>
      </c>
    </row>
    <row r="153" spans="1:13" ht="14.45" customHeight="1" x14ac:dyDescent="0.2">
      <c r="A153" s="56" t="s">
        <v>32</v>
      </c>
      <c r="B153" s="55" t="s">
        <v>146</v>
      </c>
      <c r="C153" s="55" t="s">
        <v>26</v>
      </c>
      <c r="D153" s="55" t="s">
        <v>27</v>
      </c>
      <c r="E153" s="55" t="s">
        <v>27</v>
      </c>
      <c r="F153" s="54" t="s">
        <v>147</v>
      </c>
      <c r="G153" s="53" t="s">
        <v>778</v>
      </c>
      <c r="H153" s="52" t="s">
        <v>27</v>
      </c>
      <c r="I153" s="51">
        <v>167527644</v>
      </c>
      <c r="J153" s="50">
        <v>0</v>
      </c>
      <c r="K153" s="49">
        <v>6429478</v>
      </c>
      <c r="L153" s="49">
        <v>2775403</v>
      </c>
      <c r="M153" s="49">
        <v>3654075</v>
      </c>
    </row>
    <row r="154" spans="1:13" ht="14.45" customHeight="1" x14ac:dyDescent="0.2">
      <c r="A154" s="56" t="s">
        <v>32</v>
      </c>
      <c r="B154" s="55" t="s">
        <v>146</v>
      </c>
      <c r="C154" s="55" t="s">
        <v>316</v>
      </c>
      <c r="D154" s="55" t="s">
        <v>317</v>
      </c>
      <c r="E154" s="53" t="s">
        <v>781</v>
      </c>
      <c r="F154" s="54" t="s">
        <v>807</v>
      </c>
      <c r="G154" s="53" t="s">
        <v>779</v>
      </c>
      <c r="H154" s="52" t="s">
        <v>768</v>
      </c>
      <c r="I154" s="51">
        <v>0</v>
      </c>
      <c r="J154" s="50" t="s">
        <v>27</v>
      </c>
      <c r="K154" s="49">
        <v>0</v>
      </c>
      <c r="L154" s="49">
        <v>0</v>
      </c>
      <c r="M154" s="49">
        <v>0</v>
      </c>
    </row>
    <row r="155" spans="1:13" ht="14.45" customHeight="1" x14ac:dyDescent="0.2">
      <c r="A155" s="56" t="s">
        <v>32</v>
      </c>
      <c r="B155" s="55" t="s">
        <v>146</v>
      </c>
      <c r="C155" s="55" t="s">
        <v>241</v>
      </c>
      <c r="D155" s="55" t="s">
        <v>242</v>
      </c>
      <c r="E155" s="53" t="s">
        <v>781</v>
      </c>
      <c r="F155" s="54" t="s">
        <v>244</v>
      </c>
      <c r="G155" s="53" t="s">
        <v>779</v>
      </c>
      <c r="H155" s="52" t="s">
        <v>768</v>
      </c>
      <c r="I155" s="51">
        <v>0</v>
      </c>
      <c r="J155" s="50" t="s">
        <v>27</v>
      </c>
      <c r="K155" s="49">
        <v>0</v>
      </c>
      <c r="L155" s="49">
        <v>0</v>
      </c>
      <c r="M155" s="49">
        <v>0</v>
      </c>
    </row>
    <row r="156" spans="1:13" ht="14.45" customHeight="1" x14ac:dyDescent="0.2">
      <c r="A156" s="56" t="s">
        <v>32</v>
      </c>
      <c r="B156" s="55" t="s">
        <v>149</v>
      </c>
      <c r="C156" s="55" t="s">
        <v>26</v>
      </c>
      <c r="D156" s="55" t="s">
        <v>27</v>
      </c>
      <c r="E156" s="55" t="s">
        <v>27</v>
      </c>
      <c r="F156" s="54" t="s">
        <v>150</v>
      </c>
      <c r="G156" s="53" t="s">
        <v>778</v>
      </c>
      <c r="H156" s="52" t="s">
        <v>27</v>
      </c>
      <c r="I156" s="51">
        <v>186994787</v>
      </c>
      <c r="J156" s="50">
        <v>0</v>
      </c>
      <c r="K156" s="49">
        <v>7176600</v>
      </c>
      <c r="L156" s="49">
        <v>3078462</v>
      </c>
      <c r="M156" s="49">
        <v>4098138</v>
      </c>
    </row>
    <row r="157" spans="1:13" ht="14.45" customHeight="1" x14ac:dyDescent="0.2">
      <c r="A157" s="56" t="s">
        <v>32</v>
      </c>
      <c r="B157" s="55" t="s">
        <v>149</v>
      </c>
      <c r="C157" s="55" t="s">
        <v>686</v>
      </c>
      <c r="D157" s="55" t="s">
        <v>687</v>
      </c>
      <c r="E157" s="53" t="s">
        <v>781</v>
      </c>
      <c r="F157" s="54" t="s">
        <v>689</v>
      </c>
      <c r="G157" s="53" t="s">
        <v>779</v>
      </c>
      <c r="H157" s="52" t="s">
        <v>768</v>
      </c>
      <c r="I157" s="51">
        <v>0</v>
      </c>
      <c r="J157" s="50" t="s">
        <v>27</v>
      </c>
      <c r="K157" s="49">
        <v>0</v>
      </c>
      <c r="L157" s="49">
        <v>0</v>
      </c>
      <c r="M157" s="49">
        <v>0</v>
      </c>
    </row>
    <row r="158" spans="1:13" ht="14.45" customHeight="1" x14ac:dyDescent="0.2">
      <c r="A158" s="56" t="s">
        <v>32</v>
      </c>
      <c r="B158" s="55" t="s">
        <v>152</v>
      </c>
      <c r="C158" s="55" t="s">
        <v>26</v>
      </c>
      <c r="D158" s="55" t="s">
        <v>27</v>
      </c>
      <c r="E158" s="55" t="s">
        <v>27</v>
      </c>
      <c r="F158" s="54" t="s">
        <v>153</v>
      </c>
      <c r="G158" s="53" t="s">
        <v>778</v>
      </c>
      <c r="H158" s="52" t="s">
        <v>27</v>
      </c>
      <c r="I158" s="51">
        <v>2677905</v>
      </c>
      <c r="J158" s="50">
        <v>0</v>
      </c>
      <c r="K158" s="49">
        <v>102774</v>
      </c>
      <c r="L158" s="49">
        <v>43930</v>
      </c>
      <c r="M158" s="49">
        <v>58844</v>
      </c>
    </row>
    <row r="159" spans="1:13" ht="14.45" customHeight="1" x14ac:dyDescent="0.2">
      <c r="A159" s="56" t="s">
        <v>32</v>
      </c>
      <c r="B159" s="55" t="s">
        <v>152</v>
      </c>
      <c r="C159" s="55" t="s">
        <v>476</v>
      </c>
      <c r="D159" s="55" t="s">
        <v>477</v>
      </c>
      <c r="E159" s="53" t="s">
        <v>781</v>
      </c>
      <c r="F159" s="54" t="s">
        <v>479</v>
      </c>
      <c r="G159" s="53" t="s">
        <v>779</v>
      </c>
      <c r="H159" s="52" t="s">
        <v>769</v>
      </c>
      <c r="I159" s="51">
        <v>571498</v>
      </c>
      <c r="J159" s="50">
        <v>0</v>
      </c>
      <c r="K159" s="49">
        <v>21933</v>
      </c>
      <c r="L159" s="49">
        <v>9402</v>
      </c>
      <c r="M159" s="49">
        <v>12531</v>
      </c>
    </row>
    <row r="160" spans="1:13" ht="14.45" customHeight="1" x14ac:dyDescent="0.2">
      <c r="A160" s="56" t="s">
        <v>32</v>
      </c>
      <c r="B160" s="55" t="s">
        <v>152</v>
      </c>
      <c r="C160" s="55" t="s">
        <v>585</v>
      </c>
      <c r="D160" s="55" t="s">
        <v>586</v>
      </c>
      <c r="E160" s="53" t="s">
        <v>781</v>
      </c>
      <c r="F160" s="54" t="s">
        <v>806</v>
      </c>
      <c r="G160" s="53" t="s">
        <v>779</v>
      </c>
      <c r="H160" s="52" t="s">
        <v>768</v>
      </c>
      <c r="I160" s="51">
        <v>0</v>
      </c>
      <c r="J160" s="50" t="s">
        <v>27</v>
      </c>
      <c r="K160" s="49">
        <v>0</v>
      </c>
      <c r="L160" s="49">
        <v>0</v>
      </c>
      <c r="M160" s="49">
        <v>0</v>
      </c>
    </row>
    <row r="161" spans="1:13" ht="14.45" customHeight="1" x14ac:dyDescent="0.2">
      <c r="A161" s="56" t="s">
        <v>32</v>
      </c>
      <c r="B161" s="55" t="s">
        <v>152</v>
      </c>
      <c r="C161" s="55" t="s">
        <v>711</v>
      </c>
      <c r="D161" s="55" t="s">
        <v>712</v>
      </c>
      <c r="E161" s="53" t="s">
        <v>781</v>
      </c>
      <c r="F161" s="54" t="s">
        <v>714</v>
      </c>
      <c r="G161" s="53" t="s">
        <v>779</v>
      </c>
      <c r="H161" s="52" t="s">
        <v>768</v>
      </c>
      <c r="I161" s="51">
        <v>0</v>
      </c>
      <c r="J161" s="50" t="s">
        <v>27</v>
      </c>
      <c r="K161" s="49">
        <v>0</v>
      </c>
      <c r="L161" s="49">
        <v>0</v>
      </c>
      <c r="M161" s="49">
        <v>0</v>
      </c>
    </row>
    <row r="162" spans="1:13" ht="14.45" customHeight="1" x14ac:dyDescent="0.2">
      <c r="A162" s="56" t="s">
        <v>32</v>
      </c>
      <c r="B162" s="55" t="s">
        <v>152</v>
      </c>
      <c r="C162" s="55" t="s">
        <v>741</v>
      </c>
      <c r="D162" s="55" t="s">
        <v>742</v>
      </c>
      <c r="E162" s="53" t="s">
        <v>781</v>
      </c>
      <c r="F162" s="54" t="s">
        <v>744</v>
      </c>
      <c r="G162" s="53" t="s">
        <v>779</v>
      </c>
      <c r="H162" s="52" t="s">
        <v>768</v>
      </c>
      <c r="I162" s="51">
        <v>0</v>
      </c>
      <c r="J162" s="50" t="s">
        <v>27</v>
      </c>
      <c r="K162" s="49">
        <v>0</v>
      </c>
      <c r="L162" s="49">
        <v>0</v>
      </c>
      <c r="M162" s="49">
        <v>0</v>
      </c>
    </row>
    <row r="163" spans="1:13" ht="14.45" customHeight="1" x14ac:dyDescent="0.2">
      <c r="A163" s="56" t="s">
        <v>32</v>
      </c>
      <c r="B163" s="55" t="s">
        <v>152</v>
      </c>
      <c r="C163" s="55" t="s">
        <v>751</v>
      </c>
      <c r="D163" s="55" t="s">
        <v>752</v>
      </c>
      <c r="E163" s="53" t="s">
        <v>781</v>
      </c>
      <c r="F163" s="54" t="s">
        <v>29</v>
      </c>
      <c r="G163" s="53" t="s">
        <v>779</v>
      </c>
      <c r="H163" s="52" t="s">
        <v>768</v>
      </c>
      <c r="I163" s="51">
        <v>0</v>
      </c>
      <c r="J163" s="50" t="s">
        <v>27</v>
      </c>
      <c r="K163" s="49">
        <v>0</v>
      </c>
      <c r="L163" s="49">
        <v>0</v>
      </c>
      <c r="M163" s="49">
        <v>0</v>
      </c>
    </row>
    <row r="164" spans="1:13" ht="14.45" customHeight="1" x14ac:dyDescent="0.2">
      <c r="A164" s="56" t="s">
        <v>32</v>
      </c>
      <c r="B164" s="55" t="s">
        <v>152</v>
      </c>
      <c r="C164" s="55" t="s">
        <v>746</v>
      </c>
      <c r="D164" s="55" t="s">
        <v>747</v>
      </c>
      <c r="E164" s="53" t="s">
        <v>781</v>
      </c>
      <c r="F164" s="54" t="s">
        <v>749</v>
      </c>
      <c r="G164" s="53" t="s">
        <v>779</v>
      </c>
      <c r="H164" s="52" t="s">
        <v>768</v>
      </c>
      <c r="I164" s="51">
        <v>0</v>
      </c>
      <c r="J164" s="50" t="s">
        <v>27</v>
      </c>
      <c r="K164" s="49">
        <v>0</v>
      </c>
      <c r="L164" s="49">
        <v>0</v>
      </c>
      <c r="M164" s="49">
        <v>0</v>
      </c>
    </row>
    <row r="165" spans="1:13" ht="14.45" customHeight="1" x14ac:dyDescent="0.2">
      <c r="A165" s="56" t="s">
        <v>32</v>
      </c>
      <c r="B165" s="55" t="s">
        <v>152</v>
      </c>
      <c r="C165" s="55" t="s">
        <v>446</v>
      </c>
      <c r="D165" s="55" t="s">
        <v>447</v>
      </c>
      <c r="E165" s="53" t="s">
        <v>781</v>
      </c>
      <c r="F165" s="54" t="s">
        <v>449</v>
      </c>
      <c r="G165" s="53" t="s">
        <v>779</v>
      </c>
      <c r="H165" s="52" t="s">
        <v>769</v>
      </c>
      <c r="I165" s="51">
        <v>657393</v>
      </c>
      <c r="J165" s="50">
        <v>0</v>
      </c>
      <c r="K165" s="49">
        <v>25230</v>
      </c>
      <c r="L165" s="49">
        <v>10850</v>
      </c>
      <c r="M165" s="49">
        <v>14380</v>
      </c>
    </row>
    <row r="166" spans="1:13" ht="14.45" customHeight="1" x14ac:dyDescent="0.2">
      <c r="A166" s="56" t="s">
        <v>32</v>
      </c>
      <c r="B166" s="55" t="s">
        <v>155</v>
      </c>
      <c r="C166" s="55" t="s">
        <v>26</v>
      </c>
      <c r="D166" s="55" t="s">
        <v>27</v>
      </c>
      <c r="E166" s="55" t="s">
        <v>27</v>
      </c>
      <c r="F166" s="54" t="s">
        <v>156</v>
      </c>
      <c r="G166" s="53" t="s">
        <v>778</v>
      </c>
      <c r="H166" s="52" t="s">
        <v>27</v>
      </c>
      <c r="I166" s="51">
        <v>36903607</v>
      </c>
      <c r="J166" s="50">
        <v>0</v>
      </c>
      <c r="K166" s="49">
        <v>1416309</v>
      </c>
      <c r="L166" s="49">
        <v>608970</v>
      </c>
      <c r="M166" s="49">
        <v>807339</v>
      </c>
    </row>
    <row r="167" spans="1:13" ht="14.45" customHeight="1" x14ac:dyDescent="0.2">
      <c r="A167" s="56" t="s">
        <v>32</v>
      </c>
      <c r="B167" s="55" t="s">
        <v>396</v>
      </c>
      <c r="C167" s="55" t="s">
        <v>805</v>
      </c>
      <c r="D167" s="55" t="s">
        <v>397</v>
      </c>
      <c r="E167" s="53" t="s">
        <v>781</v>
      </c>
      <c r="F167" s="54" t="s">
        <v>804</v>
      </c>
      <c r="G167" s="53" t="s">
        <v>779</v>
      </c>
      <c r="H167" s="52" t="s">
        <v>769</v>
      </c>
      <c r="I167" s="51">
        <v>5711119</v>
      </c>
      <c r="J167" s="50">
        <v>0.04</v>
      </c>
      <c r="K167" s="49">
        <v>210417</v>
      </c>
      <c r="L167" s="49">
        <v>93159</v>
      </c>
      <c r="M167" s="49">
        <v>117258</v>
      </c>
    </row>
    <row r="168" spans="1:13" ht="14.45" customHeight="1" x14ac:dyDescent="0.2">
      <c r="A168" s="56" t="s">
        <v>32</v>
      </c>
      <c r="B168" s="55" t="s">
        <v>396</v>
      </c>
      <c r="C168" s="55" t="s">
        <v>803</v>
      </c>
      <c r="D168" s="55" t="s">
        <v>397</v>
      </c>
      <c r="E168" s="53" t="s">
        <v>781</v>
      </c>
      <c r="F168" s="54" t="s">
        <v>802</v>
      </c>
      <c r="G168" s="53" t="s">
        <v>779</v>
      </c>
      <c r="H168" s="52" t="s">
        <v>769</v>
      </c>
      <c r="I168" s="51">
        <v>3988948</v>
      </c>
      <c r="J168" s="50">
        <v>0.04</v>
      </c>
      <c r="K168" s="49">
        <v>146967</v>
      </c>
      <c r="L168" s="49">
        <v>65556</v>
      </c>
      <c r="M168" s="49">
        <v>81411</v>
      </c>
    </row>
    <row r="169" spans="1:13" ht="14.45" customHeight="1" x14ac:dyDescent="0.2">
      <c r="A169" s="56" t="s">
        <v>32</v>
      </c>
      <c r="B169" s="55" t="s">
        <v>396</v>
      </c>
      <c r="C169" s="55" t="s">
        <v>801</v>
      </c>
      <c r="D169" s="55" t="s">
        <v>397</v>
      </c>
      <c r="E169" s="53" t="s">
        <v>781</v>
      </c>
      <c r="F169" s="54" t="s">
        <v>800</v>
      </c>
      <c r="G169" s="53" t="s">
        <v>779</v>
      </c>
      <c r="H169" s="52" t="s">
        <v>769</v>
      </c>
      <c r="I169" s="51">
        <v>2833048</v>
      </c>
      <c r="J169" s="50">
        <v>0.04</v>
      </c>
      <c r="K169" s="49">
        <v>104379</v>
      </c>
      <c r="L169" s="49">
        <v>46529</v>
      </c>
      <c r="M169" s="49">
        <v>57850</v>
      </c>
    </row>
    <row r="170" spans="1:13" ht="14.45" customHeight="1" x14ac:dyDescent="0.2">
      <c r="A170" s="56" t="s">
        <v>32</v>
      </c>
      <c r="B170" s="55" t="s">
        <v>396</v>
      </c>
      <c r="C170" s="55" t="s">
        <v>799</v>
      </c>
      <c r="D170" s="55" t="s">
        <v>397</v>
      </c>
      <c r="E170" s="53" t="s">
        <v>781</v>
      </c>
      <c r="F170" s="54" t="s">
        <v>798</v>
      </c>
      <c r="G170" s="53" t="s">
        <v>779</v>
      </c>
      <c r="H170" s="52" t="s">
        <v>769</v>
      </c>
      <c r="I170" s="51">
        <v>2873830</v>
      </c>
      <c r="J170" s="50">
        <v>0.04</v>
      </c>
      <c r="K170" s="49">
        <v>105882</v>
      </c>
      <c r="L170" s="49">
        <v>47319</v>
      </c>
      <c r="M170" s="49">
        <v>58563</v>
      </c>
    </row>
    <row r="171" spans="1:13" ht="14.45" customHeight="1" x14ac:dyDescent="0.2">
      <c r="A171" s="56" t="s">
        <v>32</v>
      </c>
      <c r="B171" s="55" t="s">
        <v>396</v>
      </c>
      <c r="C171" s="55" t="s">
        <v>797</v>
      </c>
      <c r="D171" s="55" t="s">
        <v>397</v>
      </c>
      <c r="E171" s="53" t="s">
        <v>781</v>
      </c>
      <c r="F171" s="54" t="s">
        <v>796</v>
      </c>
      <c r="G171" s="53" t="s">
        <v>779</v>
      </c>
      <c r="H171" s="52" t="s">
        <v>769</v>
      </c>
      <c r="I171" s="51">
        <v>3908158</v>
      </c>
      <c r="J171" s="50">
        <v>0.04</v>
      </c>
      <c r="K171" s="49">
        <v>143990</v>
      </c>
      <c r="L171" s="49">
        <v>63764</v>
      </c>
      <c r="M171" s="49">
        <v>80226</v>
      </c>
    </row>
    <row r="172" spans="1:13" ht="14.45" customHeight="1" x14ac:dyDescent="0.2">
      <c r="A172" s="56" t="s">
        <v>32</v>
      </c>
      <c r="B172" s="55" t="s">
        <v>396</v>
      </c>
      <c r="C172" s="55" t="s">
        <v>795</v>
      </c>
      <c r="D172" s="55" t="s">
        <v>397</v>
      </c>
      <c r="E172" s="53" t="s">
        <v>781</v>
      </c>
      <c r="F172" s="54" t="s">
        <v>794</v>
      </c>
      <c r="G172" s="53" t="s">
        <v>779</v>
      </c>
      <c r="H172" s="52" t="s">
        <v>769</v>
      </c>
      <c r="I172" s="51">
        <v>3735570</v>
      </c>
      <c r="J172" s="50">
        <v>0.04</v>
      </c>
      <c r="K172" s="49">
        <v>137631</v>
      </c>
      <c r="L172" s="49">
        <v>61505</v>
      </c>
      <c r="M172" s="49">
        <v>76126</v>
      </c>
    </row>
    <row r="173" spans="1:13" ht="14.45" customHeight="1" x14ac:dyDescent="0.2">
      <c r="A173" s="56" t="s">
        <v>32</v>
      </c>
      <c r="B173" s="55" t="s">
        <v>396</v>
      </c>
      <c r="C173" s="55" t="s">
        <v>793</v>
      </c>
      <c r="D173" s="55" t="s">
        <v>397</v>
      </c>
      <c r="E173" s="53" t="s">
        <v>781</v>
      </c>
      <c r="F173" s="54" t="s">
        <v>792</v>
      </c>
      <c r="G173" s="53" t="s">
        <v>779</v>
      </c>
      <c r="H173" s="52" t="s">
        <v>769</v>
      </c>
      <c r="I173" s="51">
        <v>2987912</v>
      </c>
      <c r="J173" s="50">
        <v>0.04</v>
      </c>
      <c r="K173" s="49">
        <v>110085</v>
      </c>
      <c r="L173" s="49">
        <v>49110</v>
      </c>
      <c r="M173" s="49">
        <v>60975</v>
      </c>
    </row>
    <row r="174" spans="1:13" ht="14.45" customHeight="1" x14ac:dyDescent="0.2">
      <c r="A174" s="56" t="s">
        <v>32</v>
      </c>
      <c r="B174" s="55" t="s">
        <v>396</v>
      </c>
      <c r="C174" s="55" t="s">
        <v>791</v>
      </c>
      <c r="D174" s="55" t="s">
        <v>397</v>
      </c>
      <c r="E174" s="53" t="s">
        <v>781</v>
      </c>
      <c r="F174" s="54" t="s">
        <v>790</v>
      </c>
      <c r="G174" s="53" t="s">
        <v>779</v>
      </c>
      <c r="H174" s="52" t="s">
        <v>769</v>
      </c>
      <c r="I174" s="51">
        <v>1828035</v>
      </c>
      <c r="J174" s="50">
        <v>0.04</v>
      </c>
      <c r="K174" s="49">
        <v>67351</v>
      </c>
      <c r="L174" s="49">
        <v>30072</v>
      </c>
      <c r="M174" s="49">
        <v>37279</v>
      </c>
    </row>
    <row r="175" spans="1:13" ht="14.45" customHeight="1" x14ac:dyDescent="0.2">
      <c r="A175" s="56" t="s">
        <v>32</v>
      </c>
      <c r="B175" s="55" t="s">
        <v>396</v>
      </c>
      <c r="C175" s="55" t="s">
        <v>789</v>
      </c>
      <c r="D175" s="55" t="s">
        <v>397</v>
      </c>
      <c r="E175" s="53" t="s">
        <v>781</v>
      </c>
      <c r="F175" s="54" t="s">
        <v>788</v>
      </c>
      <c r="G175" s="53" t="s">
        <v>779</v>
      </c>
      <c r="H175" s="52" t="s">
        <v>769</v>
      </c>
      <c r="I175" s="51">
        <v>2706047</v>
      </c>
      <c r="J175" s="50">
        <v>0.04</v>
      </c>
      <c r="K175" s="49">
        <v>99700</v>
      </c>
      <c r="L175" s="49">
        <v>44532</v>
      </c>
      <c r="M175" s="49">
        <v>55168</v>
      </c>
    </row>
    <row r="176" spans="1:13" ht="14.45" customHeight="1" x14ac:dyDescent="0.2">
      <c r="A176" s="56" t="s">
        <v>32</v>
      </c>
      <c r="B176" s="55" t="s">
        <v>158</v>
      </c>
      <c r="C176" s="55" t="s">
        <v>26</v>
      </c>
      <c r="D176" s="55" t="s">
        <v>27</v>
      </c>
      <c r="E176" s="55" t="s">
        <v>27</v>
      </c>
      <c r="F176" s="54" t="s">
        <v>159</v>
      </c>
      <c r="G176" s="53" t="s">
        <v>778</v>
      </c>
      <c r="H176" s="52" t="s">
        <v>27</v>
      </c>
      <c r="I176" s="51">
        <v>20758182</v>
      </c>
      <c r="J176" s="50">
        <v>0</v>
      </c>
      <c r="K176" s="49">
        <v>796670</v>
      </c>
      <c r="L176" s="49">
        <v>341706</v>
      </c>
      <c r="M176" s="49">
        <v>454964</v>
      </c>
    </row>
    <row r="177" spans="1:13" ht="14.45" customHeight="1" x14ac:dyDescent="0.2">
      <c r="A177" s="56" t="s">
        <v>32</v>
      </c>
      <c r="B177" s="55" t="s">
        <v>158</v>
      </c>
      <c r="C177" s="55" t="s">
        <v>787</v>
      </c>
      <c r="D177" s="55" t="s">
        <v>786</v>
      </c>
      <c r="E177" s="53" t="s">
        <v>780</v>
      </c>
      <c r="F177" s="54" t="s">
        <v>785</v>
      </c>
      <c r="G177" s="53" t="s">
        <v>779</v>
      </c>
      <c r="H177" s="52" t="s">
        <v>769</v>
      </c>
      <c r="I177" s="51">
        <v>862922</v>
      </c>
      <c r="J177" s="50">
        <v>0</v>
      </c>
      <c r="K177" s="49">
        <v>33118</v>
      </c>
      <c r="L177" s="49">
        <v>14196</v>
      </c>
      <c r="M177" s="49">
        <v>18922</v>
      </c>
    </row>
    <row r="178" spans="1:13" ht="14.45" customHeight="1" x14ac:dyDescent="0.2">
      <c r="A178" s="56" t="s">
        <v>32</v>
      </c>
      <c r="B178" s="55" t="s">
        <v>600</v>
      </c>
      <c r="C178" s="55" t="s">
        <v>601</v>
      </c>
      <c r="D178" s="55" t="s">
        <v>602</v>
      </c>
      <c r="E178" s="53" t="s">
        <v>781</v>
      </c>
      <c r="F178" s="54" t="s">
        <v>604</v>
      </c>
      <c r="G178" s="53" t="s">
        <v>779</v>
      </c>
      <c r="H178" s="52" t="s">
        <v>768</v>
      </c>
      <c r="I178" s="51">
        <v>0</v>
      </c>
      <c r="J178" s="50" t="s">
        <v>27</v>
      </c>
      <c r="K178" s="49">
        <v>0</v>
      </c>
      <c r="L178" s="49">
        <v>0</v>
      </c>
      <c r="M178" s="49">
        <v>0</v>
      </c>
    </row>
    <row r="179" spans="1:13" ht="14.45" customHeight="1" x14ac:dyDescent="0.2">
      <c r="A179" s="56" t="s">
        <v>32</v>
      </c>
      <c r="B179" s="55" t="s">
        <v>611</v>
      </c>
      <c r="C179" s="55" t="s">
        <v>612</v>
      </c>
      <c r="D179" s="55" t="s">
        <v>613</v>
      </c>
      <c r="E179" s="53" t="s">
        <v>781</v>
      </c>
      <c r="F179" s="54" t="s">
        <v>784</v>
      </c>
      <c r="G179" s="53" t="s">
        <v>779</v>
      </c>
      <c r="H179" s="52" t="s">
        <v>768</v>
      </c>
      <c r="I179" s="51">
        <v>0</v>
      </c>
      <c r="J179" s="50" t="s">
        <v>27</v>
      </c>
      <c r="K179" s="49">
        <v>0</v>
      </c>
      <c r="L179" s="49">
        <v>0</v>
      </c>
      <c r="M179" s="49">
        <v>0</v>
      </c>
    </row>
    <row r="180" spans="1:13" ht="14.45" customHeight="1" x14ac:dyDescent="0.2">
      <c r="A180" s="56" t="s">
        <v>32</v>
      </c>
      <c r="B180" s="55" t="s">
        <v>627</v>
      </c>
      <c r="C180" s="55" t="s">
        <v>628</v>
      </c>
      <c r="D180" s="55" t="s">
        <v>629</v>
      </c>
      <c r="E180" s="53" t="s">
        <v>781</v>
      </c>
      <c r="F180" s="54" t="s">
        <v>631</v>
      </c>
      <c r="G180" s="53" t="s">
        <v>779</v>
      </c>
      <c r="H180" s="52" t="s">
        <v>768</v>
      </c>
      <c r="I180" s="51">
        <v>0</v>
      </c>
      <c r="J180" s="50" t="s">
        <v>27</v>
      </c>
      <c r="K180" s="49">
        <v>0</v>
      </c>
      <c r="L180" s="49">
        <v>0</v>
      </c>
      <c r="M180" s="49">
        <v>0</v>
      </c>
    </row>
    <row r="181" spans="1:13" ht="14.45" customHeight="1" x14ac:dyDescent="0.2">
      <c r="A181" s="56" t="s">
        <v>32</v>
      </c>
      <c r="B181" s="55" t="s">
        <v>675</v>
      </c>
      <c r="C181" s="55" t="s">
        <v>676</v>
      </c>
      <c r="D181" s="55" t="s">
        <v>677</v>
      </c>
      <c r="E181" s="53" t="s">
        <v>781</v>
      </c>
      <c r="F181" s="54" t="s">
        <v>679</v>
      </c>
      <c r="G181" s="53" t="s">
        <v>779</v>
      </c>
      <c r="H181" s="52" t="s">
        <v>768</v>
      </c>
      <c r="I181" s="51">
        <v>0</v>
      </c>
      <c r="J181" s="50" t="s">
        <v>27</v>
      </c>
      <c r="K181" s="49">
        <v>0</v>
      </c>
      <c r="L181" s="49">
        <v>0</v>
      </c>
      <c r="M181" s="49">
        <v>0</v>
      </c>
    </row>
    <row r="182" spans="1:13" ht="14.45" customHeight="1" x14ac:dyDescent="0.2">
      <c r="A182" s="56" t="s">
        <v>32</v>
      </c>
      <c r="B182" s="55" t="s">
        <v>669</v>
      </c>
      <c r="C182" s="55" t="s">
        <v>670</v>
      </c>
      <c r="D182" s="55" t="s">
        <v>671</v>
      </c>
      <c r="E182" s="53" t="s">
        <v>781</v>
      </c>
      <c r="F182" s="54" t="s">
        <v>783</v>
      </c>
      <c r="G182" s="53" t="s">
        <v>779</v>
      </c>
      <c r="H182" s="52" t="s">
        <v>769</v>
      </c>
      <c r="I182" s="51">
        <v>3277484</v>
      </c>
      <c r="J182" s="50">
        <v>0.05</v>
      </c>
      <c r="K182" s="49">
        <v>119496</v>
      </c>
      <c r="L182" s="49">
        <v>53955</v>
      </c>
      <c r="M182" s="49">
        <v>65541</v>
      </c>
    </row>
    <row r="183" spans="1:13" ht="14.45" customHeight="1" x14ac:dyDescent="0.2">
      <c r="A183" s="56" t="s">
        <v>32</v>
      </c>
      <c r="B183" s="55" t="s">
        <v>663</v>
      </c>
      <c r="C183" s="55" t="s">
        <v>664</v>
      </c>
      <c r="D183" s="55" t="s">
        <v>665</v>
      </c>
      <c r="E183" s="53" t="s">
        <v>781</v>
      </c>
      <c r="F183" s="54" t="s">
        <v>667</v>
      </c>
      <c r="G183" s="53" t="s">
        <v>779</v>
      </c>
      <c r="H183" s="52" t="s">
        <v>769</v>
      </c>
      <c r="I183" s="51">
        <v>1376391</v>
      </c>
      <c r="J183" s="50">
        <v>1</v>
      </c>
      <c r="K183" s="49">
        <v>0</v>
      </c>
      <c r="L183" s="49">
        <v>22674</v>
      </c>
      <c r="M183" s="49">
        <v>-22674</v>
      </c>
    </row>
    <row r="184" spans="1:13" ht="14.45" customHeight="1" x14ac:dyDescent="0.25">
      <c r="A184" s="47" t="s">
        <v>764</v>
      </c>
      <c r="B184" s="47"/>
      <c r="C184" s="47"/>
      <c r="D184" s="47"/>
      <c r="E184" s="47"/>
      <c r="F184" s="48"/>
      <c r="G184" s="47"/>
      <c r="H184" s="46"/>
      <c r="I184" s="45">
        <f>SUBTOTAL(109,Table1[Total LCFF Entitlement
(If Nonclassroom-Based = Yes, equals 0)
A.1])</f>
        <v>4572491246</v>
      </c>
      <c r="J184" s="44">
        <f>SUBTOTAL(109,Table1[IPI Compliance Reduction Factor 
'[EC 43521(c)(2)(B)(i) &amp; (ii)']
A.2])</f>
        <v>9.4999999999999929</v>
      </c>
      <c r="K184" s="43">
        <f>SUBTOTAL(109,Table1[IPI Grant Allocation
(A.1 x 3.8378610585% x (100% - A.2)
A.3])</f>
        <v>167409824</v>
      </c>
      <c r="L184" s="43">
        <f>SUBTOTAL(109,Table1[Paid to Date
B.1])</f>
        <v>74962050</v>
      </c>
      <c r="M184" s="43">
        <f>SUBTOTAL(109,Table1[Balance Due
(A.3 - B.1)
B.2])</f>
        <v>92447774</v>
      </c>
    </row>
    <row r="185" spans="1:13" ht="15.75" x14ac:dyDescent="0.25">
      <c r="A185" s="42" t="s">
        <v>777</v>
      </c>
      <c r="J185" s="293" t="s">
        <v>985</v>
      </c>
      <c r="K185" s="294">
        <f>SUMIF(Table1[Charter Number],"N/A",Table1[IPI Grant Allocation
(A.1 x 3.8378610585% x (100% - A.2)
A.3])</f>
        <v>153691617</v>
      </c>
    </row>
    <row r="186" spans="1:13" x14ac:dyDescent="0.2">
      <c r="A186" s="41" t="s">
        <v>765</v>
      </c>
    </row>
    <row r="187" spans="1:13" x14ac:dyDescent="0.2">
      <c r="A187" s="41" t="s">
        <v>766</v>
      </c>
    </row>
    <row r="188" spans="1:13" x14ac:dyDescent="0.2">
      <c r="A188" s="40" t="s">
        <v>776</v>
      </c>
    </row>
  </sheetData>
  <pageMargins left="0.25" right="0.25" top="0.75" bottom="0.75" header="0.3" footer="0.3"/>
  <pageSetup paperSize="5" scale="66" fitToHeight="0" orientation="landscape" horizontalDpi="1200" verticalDpi="1200" r:id="rId1"/>
  <headerFooter>
    <oddFooter>&amp;C&amp;"Arial,Regular"&amp;12Page &amp;P of &amp;N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5A48D-C941-4D48-B214-4E035CCD1ED8}">
  <sheetPr>
    <pageSetUpPr fitToPage="1"/>
  </sheetPr>
  <dimension ref="A1:W189"/>
  <sheetViews>
    <sheetView showGridLines="0" topLeftCell="N1" zoomScaleNormal="100" zoomScaleSheetLayoutView="30" workbookViewId="0">
      <pane ySplit="8" topLeftCell="A169" activePane="bottomLeft" state="frozen"/>
      <selection pane="bottomLeft" activeCell="W184" sqref="W184"/>
    </sheetView>
  </sheetViews>
  <sheetFormatPr defaultRowHeight="15" x14ac:dyDescent="0.2"/>
  <cols>
    <col min="1" max="5" width="10.44140625" customWidth="1"/>
    <col min="6" max="6" width="10.44140625" style="73" customWidth="1"/>
    <col min="7" max="7" width="27.88671875" style="39" customWidth="1"/>
    <col min="8" max="8" width="17.6640625" bestFit="1" customWidth="1"/>
    <col min="9" max="9" width="17.6640625" customWidth="1"/>
    <col min="10" max="10" width="21.109375" style="72" customWidth="1"/>
    <col min="11" max="11" width="18" customWidth="1"/>
    <col min="12" max="12" width="17.5546875" customWidth="1"/>
    <col min="13" max="13" width="18.33203125" style="72" customWidth="1"/>
    <col min="14" max="14" width="16.44140625" style="72" bestFit="1" customWidth="1"/>
    <col min="15" max="15" width="18.109375" style="72" customWidth="1"/>
    <col min="16" max="16" width="17.21875" customWidth="1"/>
    <col min="17" max="17" width="17.109375" style="72" customWidth="1"/>
    <col min="18" max="18" width="24.109375" style="72" bestFit="1" customWidth="1"/>
    <col min="19" max="19" width="22.33203125" style="72" customWidth="1"/>
    <col min="20" max="20" width="20.109375" style="72" customWidth="1"/>
    <col min="21" max="21" width="20.33203125" style="72" customWidth="1"/>
    <col min="22" max="22" width="23.109375" style="72" customWidth="1"/>
    <col min="23" max="23" width="26.44140625" style="72" customWidth="1"/>
  </cols>
  <sheetData>
    <row r="1" spans="1:23" ht="18" x14ac:dyDescent="0.25">
      <c r="A1" s="71" t="s">
        <v>869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</row>
    <row r="2" spans="1:23" ht="15.75" x14ac:dyDescent="0.25">
      <c r="A2" s="69" t="s">
        <v>844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</row>
    <row r="3" spans="1:23" ht="15.75" x14ac:dyDescent="0.25">
      <c r="A3" s="64" t="s">
        <v>868</v>
      </c>
      <c r="B3" s="64"/>
      <c r="C3" s="64"/>
      <c r="D3" s="64"/>
      <c r="E3" s="64"/>
      <c r="F3" s="106"/>
      <c r="G3" s="65"/>
      <c r="H3" s="64"/>
      <c r="I3" s="64"/>
      <c r="J3" s="105"/>
      <c r="K3" s="64"/>
      <c r="L3" s="64"/>
      <c r="M3" s="105"/>
      <c r="N3" s="105"/>
      <c r="O3" s="105"/>
      <c r="P3" s="104"/>
    </row>
    <row r="4" spans="1:23" ht="15.75" x14ac:dyDescent="0.25">
      <c r="A4" s="64" t="s">
        <v>867</v>
      </c>
      <c r="B4" s="64"/>
      <c r="C4" s="64"/>
      <c r="D4" s="64"/>
      <c r="E4" s="64"/>
      <c r="F4" s="106"/>
      <c r="G4" s="65"/>
      <c r="H4" s="64"/>
      <c r="I4" s="64"/>
      <c r="J4" s="105"/>
      <c r="K4" s="64"/>
      <c r="L4" s="64"/>
      <c r="M4" s="105"/>
      <c r="N4" s="105"/>
      <c r="O4" s="105"/>
      <c r="P4" s="104"/>
    </row>
    <row r="5" spans="1:23" ht="15.75" x14ac:dyDescent="0.25">
      <c r="A5" s="68" t="s">
        <v>866</v>
      </c>
      <c r="B5" s="66"/>
      <c r="C5" s="66"/>
      <c r="D5" s="66"/>
      <c r="E5" s="66"/>
      <c r="F5" s="103"/>
      <c r="G5" s="67"/>
      <c r="H5" s="66"/>
      <c r="I5" s="66"/>
      <c r="J5" s="102"/>
      <c r="K5" s="66"/>
      <c r="L5" s="66"/>
      <c r="M5" s="102"/>
      <c r="N5" s="102"/>
      <c r="O5" s="102"/>
      <c r="P5" s="104"/>
    </row>
    <row r="6" spans="1:23" ht="15.75" x14ac:dyDescent="0.25">
      <c r="A6" s="64" t="s">
        <v>865</v>
      </c>
      <c r="B6" s="64"/>
      <c r="C6" s="64"/>
      <c r="D6" s="64"/>
      <c r="E6" s="64"/>
      <c r="F6" s="106"/>
      <c r="G6" s="65"/>
      <c r="H6" s="64"/>
      <c r="I6" s="64"/>
      <c r="J6" s="105"/>
      <c r="K6" s="64"/>
      <c r="L6" s="64"/>
      <c r="M6" s="105"/>
      <c r="N6" s="105"/>
      <c r="O6" s="105"/>
      <c r="P6" s="104"/>
    </row>
    <row r="7" spans="1:23" ht="15.75" x14ac:dyDescent="0.25">
      <c r="A7" s="68" t="s">
        <v>864</v>
      </c>
      <c r="B7" s="66"/>
      <c r="C7" s="66"/>
      <c r="D7" s="66"/>
      <c r="E7" s="66"/>
      <c r="F7" s="103"/>
      <c r="G7" s="67"/>
      <c r="H7" s="66"/>
      <c r="I7" s="66"/>
      <c r="J7" s="102"/>
      <c r="K7" s="66"/>
      <c r="L7" s="66"/>
      <c r="M7" s="102"/>
      <c r="N7" s="102"/>
      <c r="O7" s="102"/>
      <c r="P7" s="101"/>
      <c r="Q7" s="100"/>
    </row>
    <row r="8" spans="1:23" ht="110.25" x14ac:dyDescent="0.25">
      <c r="A8" s="60" t="s">
        <v>7</v>
      </c>
      <c r="B8" s="59" t="s">
        <v>8</v>
      </c>
      <c r="C8" s="59" t="s">
        <v>9</v>
      </c>
      <c r="D8" s="59" t="s">
        <v>863</v>
      </c>
      <c r="E8" s="59" t="s">
        <v>862</v>
      </c>
      <c r="F8" s="59" t="s">
        <v>861</v>
      </c>
      <c r="G8" s="59" t="s">
        <v>832</v>
      </c>
      <c r="H8" s="59" t="s">
        <v>831</v>
      </c>
      <c r="I8" s="59" t="s">
        <v>860</v>
      </c>
      <c r="J8" s="99" t="s">
        <v>859</v>
      </c>
      <c r="K8" s="59" t="s">
        <v>858</v>
      </c>
      <c r="L8" s="59" t="s">
        <v>857</v>
      </c>
      <c r="M8" s="99" t="s">
        <v>856</v>
      </c>
      <c r="N8" s="99" t="s">
        <v>855</v>
      </c>
      <c r="O8" s="99" t="s">
        <v>854</v>
      </c>
      <c r="P8" s="59" t="s">
        <v>853</v>
      </c>
      <c r="Q8" s="98" t="s">
        <v>852</v>
      </c>
      <c r="R8" s="98" t="s">
        <v>851</v>
      </c>
      <c r="S8" s="98" t="s">
        <v>850</v>
      </c>
      <c r="T8" s="98" t="s">
        <v>849</v>
      </c>
      <c r="U8" s="98" t="s">
        <v>848</v>
      </c>
      <c r="V8" s="98" t="s">
        <v>847</v>
      </c>
      <c r="W8" s="97" t="s">
        <v>846</v>
      </c>
    </row>
    <row r="9" spans="1:23" ht="30" x14ac:dyDescent="0.2">
      <c r="A9" s="57" t="s">
        <v>32</v>
      </c>
      <c r="B9" s="95" t="s">
        <v>33</v>
      </c>
      <c r="C9" s="95" t="s">
        <v>26</v>
      </c>
      <c r="D9" s="95" t="s">
        <v>27</v>
      </c>
      <c r="E9" s="95" t="s">
        <v>27</v>
      </c>
      <c r="F9" s="94" t="s">
        <v>33</v>
      </c>
      <c r="G9" s="93" t="s">
        <v>824</v>
      </c>
      <c r="H9" s="92" t="s">
        <v>782</v>
      </c>
      <c r="I9" s="91">
        <v>370</v>
      </c>
      <c r="J9" s="88">
        <v>370000</v>
      </c>
      <c r="K9" s="90">
        <v>0</v>
      </c>
      <c r="L9" s="89">
        <v>0</v>
      </c>
      <c r="M9" s="88">
        <v>0</v>
      </c>
      <c r="N9" s="88">
        <v>81831329</v>
      </c>
      <c r="O9" s="88">
        <v>5681201</v>
      </c>
      <c r="P9" s="87">
        <v>6051201</v>
      </c>
      <c r="Q9" s="86">
        <v>568120</v>
      </c>
      <c r="R9" s="86">
        <v>3375176</v>
      </c>
      <c r="S9" s="85">
        <v>890879</v>
      </c>
      <c r="T9" s="85">
        <v>204430</v>
      </c>
      <c r="U9" s="85">
        <v>580321</v>
      </c>
      <c r="V9" s="84">
        <v>1000395</v>
      </c>
      <c r="W9" s="84">
        <v>6051201</v>
      </c>
    </row>
    <row r="10" spans="1:23" x14ac:dyDescent="0.2">
      <c r="A10" s="57" t="s">
        <v>32</v>
      </c>
      <c r="B10" s="95" t="s">
        <v>33</v>
      </c>
      <c r="C10" s="95" t="s">
        <v>366</v>
      </c>
      <c r="D10" s="95" t="s">
        <v>367</v>
      </c>
      <c r="E10" s="92" t="s">
        <v>781</v>
      </c>
      <c r="F10" s="94" t="s">
        <v>368</v>
      </c>
      <c r="G10" s="93" t="s">
        <v>369</v>
      </c>
      <c r="H10" s="92" t="s">
        <v>779</v>
      </c>
      <c r="I10" s="91">
        <v>0</v>
      </c>
      <c r="J10" s="88">
        <v>0</v>
      </c>
      <c r="K10" s="90">
        <v>0</v>
      </c>
      <c r="L10" s="89">
        <v>0</v>
      </c>
      <c r="M10" s="88">
        <v>0</v>
      </c>
      <c r="N10" s="88">
        <v>3416707</v>
      </c>
      <c r="O10" s="88">
        <v>237207</v>
      </c>
      <c r="P10" s="87">
        <v>237207</v>
      </c>
      <c r="Q10" s="86">
        <v>23721</v>
      </c>
      <c r="R10" s="86">
        <v>132307</v>
      </c>
      <c r="S10" s="85">
        <v>34922</v>
      </c>
      <c r="T10" s="85">
        <v>8014</v>
      </c>
      <c r="U10" s="85">
        <v>22749</v>
      </c>
      <c r="V10" s="84">
        <v>39215</v>
      </c>
      <c r="W10" s="84">
        <v>237207</v>
      </c>
    </row>
    <row r="11" spans="1:23" ht="30" x14ac:dyDescent="0.2">
      <c r="A11" s="57" t="s">
        <v>32</v>
      </c>
      <c r="B11" s="95" t="s">
        <v>33</v>
      </c>
      <c r="C11" s="95" t="s">
        <v>606</v>
      </c>
      <c r="D11" s="95" t="s">
        <v>607</v>
      </c>
      <c r="E11" s="92" t="s">
        <v>781</v>
      </c>
      <c r="F11" s="94" t="s">
        <v>608</v>
      </c>
      <c r="G11" s="93" t="s">
        <v>823</v>
      </c>
      <c r="H11" s="92" t="s">
        <v>779</v>
      </c>
      <c r="I11" s="91">
        <v>30</v>
      </c>
      <c r="J11" s="88">
        <v>30000</v>
      </c>
      <c r="K11" s="90">
        <v>0</v>
      </c>
      <c r="L11" s="89">
        <v>0</v>
      </c>
      <c r="M11" s="88">
        <v>0</v>
      </c>
      <c r="N11" s="88">
        <v>4260944</v>
      </c>
      <c r="O11" s="88">
        <v>295819</v>
      </c>
      <c r="P11" s="87">
        <v>325819</v>
      </c>
      <c r="Q11" s="86">
        <v>29582</v>
      </c>
      <c r="R11" s="86">
        <v>181732</v>
      </c>
      <c r="S11" s="85">
        <v>47968</v>
      </c>
      <c r="T11" s="85">
        <v>11007</v>
      </c>
      <c r="U11" s="85">
        <v>31247</v>
      </c>
      <c r="V11" s="84">
        <v>53865</v>
      </c>
      <c r="W11" s="84">
        <v>325819</v>
      </c>
    </row>
    <row r="12" spans="1:23" x14ac:dyDescent="0.2">
      <c r="A12" s="57" t="s">
        <v>32</v>
      </c>
      <c r="B12" s="95" t="s">
        <v>33</v>
      </c>
      <c r="C12" s="95" t="s">
        <v>658</v>
      </c>
      <c r="D12" s="95" t="s">
        <v>659</v>
      </c>
      <c r="E12" s="92" t="s">
        <v>781</v>
      </c>
      <c r="F12" s="94" t="s">
        <v>660</v>
      </c>
      <c r="G12" s="93" t="s">
        <v>661</v>
      </c>
      <c r="H12" s="92" t="s">
        <v>779</v>
      </c>
      <c r="I12" s="91">
        <v>5</v>
      </c>
      <c r="J12" s="88">
        <v>5000</v>
      </c>
      <c r="K12" s="90">
        <v>0</v>
      </c>
      <c r="L12" s="89">
        <v>0</v>
      </c>
      <c r="M12" s="88">
        <v>0</v>
      </c>
      <c r="N12" s="88">
        <v>6443703</v>
      </c>
      <c r="O12" s="88">
        <v>447359</v>
      </c>
      <c r="P12" s="87">
        <v>452359</v>
      </c>
      <c r="Q12" s="86">
        <v>44736</v>
      </c>
      <c r="R12" s="86">
        <v>252312</v>
      </c>
      <c r="S12" s="85">
        <v>66598</v>
      </c>
      <c r="T12" s="85">
        <v>15282</v>
      </c>
      <c r="U12" s="85">
        <v>43382</v>
      </c>
      <c r="V12" s="84">
        <v>74785</v>
      </c>
      <c r="W12" s="84">
        <v>452359</v>
      </c>
    </row>
    <row r="13" spans="1:23" x14ac:dyDescent="0.2">
      <c r="A13" s="57" t="s">
        <v>32</v>
      </c>
      <c r="B13" s="95" t="s">
        <v>33</v>
      </c>
      <c r="C13" s="95" t="s">
        <v>653</v>
      </c>
      <c r="D13" s="95" t="s">
        <v>654</v>
      </c>
      <c r="E13" s="92" t="s">
        <v>781</v>
      </c>
      <c r="F13" s="94" t="s">
        <v>655</v>
      </c>
      <c r="G13" s="93" t="s">
        <v>656</v>
      </c>
      <c r="H13" s="92" t="s">
        <v>779</v>
      </c>
      <c r="I13" s="91">
        <v>8</v>
      </c>
      <c r="J13" s="88">
        <v>8000</v>
      </c>
      <c r="K13" s="90">
        <v>0</v>
      </c>
      <c r="L13" s="89">
        <v>0</v>
      </c>
      <c r="M13" s="88">
        <v>0</v>
      </c>
      <c r="N13" s="88">
        <v>4336562</v>
      </c>
      <c r="O13" s="88">
        <v>301069</v>
      </c>
      <c r="P13" s="87">
        <v>309069</v>
      </c>
      <c r="Q13" s="86">
        <v>30107</v>
      </c>
      <c r="R13" s="86">
        <v>172390</v>
      </c>
      <c r="S13" s="85">
        <v>45502</v>
      </c>
      <c r="T13" s="85">
        <v>10441</v>
      </c>
      <c r="U13" s="85">
        <v>29640</v>
      </c>
      <c r="V13" s="84">
        <v>51096</v>
      </c>
      <c r="W13" s="84">
        <v>309069</v>
      </c>
    </row>
    <row r="14" spans="1:23" x14ac:dyDescent="0.2">
      <c r="A14" s="57" t="s">
        <v>32</v>
      </c>
      <c r="B14" s="95" t="s">
        <v>33</v>
      </c>
      <c r="C14" s="95" t="s">
        <v>691</v>
      </c>
      <c r="D14" s="95" t="s">
        <v>692</v>
      </c>
      <c r="E14" s="92" t="s">
        <v>781</v>
      </c>
      <c r="F14" s="94" t="s">
        <v>693</v>
      </c>
      <c r="G14" s="93" t="s">
        <v>694</v>
      </c>
      <c r="H14" s="92" t="s">
        <v>779</v>
      </c>
      <c r="I14" s="91">
        <v>42</v>
      </c>
      <c r="J14" s="88">
        <v>42000</v>
      </c>
      <c r="K14" s="90">
        <v>0</v>
      </c>
      <c r="L14" s="89">
        <v>0</v>
      </c>
      <c r="M14" s="88">
        <v>0</v>
      </c>
      <c r="N14" s="88">
        <v>4581483</v>
      </c>
      <c r="O14" s="88">
        <v>318073</v>
      </c>
      <c r="P14" s="87">
        <v>360073</v>
      </c>
      <c r="Q14" s="86">
        <v>31807</v>
      </c>
      <c r="R14" s="86">
        <v>200838</v>
      </c>
      <c r="S14" s="85">
        <v>53011</v>
      </c>
      <c r="T14" s="85">
        <v>12164</v>
      </c>
      <c r="U14" s="85">
        <v>34532</v>
      </c>
      <c r="V14" s="84">
        <v>59528</v>
      </c>
      <c r="W14" s="84">
        <v>360073</v>
      </c>
    </row>
    <row r="15" spans="1:23" x14ac:dyDescent="0.2">
      <c r="A15" s="57" t="s">
        <v>32</v>
      </c>
      <c r="B15" s="95" t="s">
        <v>33</v>
      </c>
      <c r="C15" s="95" t="s">
        <v>706</v>
      </c>
      <c r="D15" s="95" t="s">
        <v>707</v>
      </c>
      <c r="E15" s="92" t="s">
        <v>781</v>
      </c>
      <c r="F15" s="94" t="s">
        <v>708</v>
      </c>
      <c r="G15" s="93" t="s">
        <v>709</v>
      </c>
      <c r="H15" s="92" t="s">
        <v>779</v>
      </c>
      <c r="I15" s="91">
        <v>0</v>
      </c>
      <c r="J15" s="88">
        <v>0</v>
      </c>
      <c r="K15" s="90">
        <v>0</v>
      </c>
      <c r="L15" s="89">
        <v>0</v>
      </c>
      <c r="M15" s="88">
        <v>0</v>
      </c>
      <c r="N15" s="88">
        <v>4330843</v>
      </c>
      <c r="O15" s="88">
        <v>300672</v>
      </c>
      <c r="P15" s="87">
        <v>300672</v>
      </c>
      <c r="Q15" s="86">
        <v>30067</v>
      </c>
      <c r="R15" s="86">
        <v>167705</v>
      </c>
      <c r="S15" s="85">
        <v>44266</v>
      </c>
      <c r="T15" s="85">
        <v>10158</v>
      </c>
      <c r="U15" s="85">
        <v>28835</v>
      </c>
      <c r="V15" s="84">
        <v>49708</v>
      </c>
      <c r="W15" s="84">
        <v>300672</v>
      </c>
    </row>
    <row r="16" spans="1:23" ht="30" x14ac:dyDescent="0.2">
      <c r="A16" s="57" t="s">
        <v>32</v>
      </c>
      <c r="B16" s="95" t="s">
        <v>33</v>
      </c>
      <c r="C16" s="95" t="s">
        <v>726</v>
      </c>
      <c r="D16" s="95" t="s">
        <v>727</v>
      </c>
      <c r="E16" s="92" t="s">
        <v>781</v>
      </c>
      <c r="F16" s="94" t="s">
        <v>728</v>
      </c>
      <c r="G16" s="93" t="s">
        <v>729</v>
      </c>
      <c r="H16" s="92" t="s">
        <v>779</v>
      </c>
      <c r="I16" s="91">
        <v>1</v>
      </c>
      <c r="J16" s="88">
        <v>1000</v>
      </c>
      <c r="K16" s="90">
        <v>0</v>
      </c>
      <c r="L16" s="89">
        <v>0</v>
      </c>
      <c r="M16" s="88">
        <v>0</v>
      </c>
      <c r="N16" s="88">
        <v>2217510</v>
      </c>
      <c r="O16" s="88">
        <v>153952</v>
      </c>
      <c r="P16" s="87">
        <v>154952</v>
      </c>
      <c r="Q16" s="86">
        <v>15395</v>
      </c>
      <c r="R16" s="86">
        <v>86427</v>
      </c>
      <c r="S16" s="85">
        <v>22813</v>
      </c>
      <c r="T16" s="85">
        <v>5235</v>
      </c>
      <c r="U16" s="85">
        <v>14860</v>
      </c>
      <c r="V16" s="84">
        <v>25617</v>
      </c>
      <c r="W16" s="84">
        <v>154952</v>
      </c>
    </row>
    <row r="17" spans="1:23" x14ac:dyDescent="0.2">
      <c r="A17" s="57" t="s">
        <v>32</v>
      </c>
      <c r="B17" s="95" t="s">
        <v>33</v>
      </c>
      <c r="C17" s="95" t="s">
        <v>731</v>
      </c>
      <c r="D17" s="95" t="s">
        <v>732</v>
      </c>
      <c r="E17" s="92" t="s">
        <v>781</v>
      </c>
      <c r="F17" s="94" t="s">
        <v>733</v>
      </c>
      <c r="G17" s="93" t="s">
        <v>734</v>
      </c>
      <c r="H17" s="92" t="s">
        <v>779</v>
      </c>
      <c r="I17" s="91">
        <v>6</v>
      </c>
      <c r="J17" s="88">
        <v>6000</v>
      </c>
      <c r="K17" s="90">
        <v>0</v>
      </c>
      <c r="L17" s="89">
        <v>0</v>
      </c>
      <c r="M17" s="88">
        <v>0</v>
      </c>
      <c r="N17" s="88">
        <v>2388383</v>
      </c>
      <c r="O17" s="88">
        <v>165815</v>
      </c>
      <c r="P17" s="87">
        <v>171815</v>
      </c>
      <c r="Q17" s="86">
        <v>16582</v>
      </c>
      <c r="R17" s="86">
        <v>95834</v>
      </c>
      <c r="S17" s="85">
        <v>25295</v>
      </c>
      <c r="T17" s="85">
        <v>5804</v>
      </c>
      <c r="U17" s="85">
        <v>16477</v>
      </c>
      <c r="V17" s="84">
        <v>28405</v>
      </c>
      <c r="W17" s="84">
        <v>171815</v>
      </c>
    </row>
    <row r="18" spans="1:23" x14ac:dyDescent="0.2">
      <c r="A18" s="57" t="s">
        <v>32</v>
      </c>
      <c r="B18" s="95" t="s">
        <v>33</v>
      </c>
      <c r="C18" s="95" t="s">
        <v>281</v>
      </c>
      <c r="D18" s="95" t="s">
        <v>282</v>
      </c>
      <c r="E18" s="92" t="s">
        <v>781</v>
      </c>
      <c r="F18" s="94" t="s">
        <v>283</v>
      </c>
      <c r="G18" s="93" t="s">
        <v>284</v>
      </c>
      <c r="H18" s="92" t="s">
        <v>779</v>
      </c>
      <c r="I18" s="91">
        <v>0</v>
      </c>
      <c r="J18" s="88">
        <v>0</v>
      </c>
      <c r="K18" s="90">
        <v>0</v>
      </c>
      <c r="L18" s="89">
        <v>0</v>
      </c>
      <c r="M18" s="88">
        <v>0</v>
      </c>
      <c r="N18" s="88">
        <v>15968767</v>
      </c>
      <c r="O18" s="88">
        <v>1108644</v>
      </c>
      <c r="P18" s="87">
        <v>1108644</v>
      </c>
      <c r="Q18" s="86">
        <v>110864</v>
      </c>
      <c r="R18" s="86">
        <v>618367</v>
      </c>
      <c r="S18" s="85">
        <v>163219</v>
      </c>
      <c r="T18" s="85">
        <v>37454</v>
      </c>
      <c r="U18" s="85">
        <v>106321</v>
      </c>
      <c r="V18" s="84">
        <v>183283</v>
      </c>
      <c r="W18" s="84">
        <v>1108644</v>
      </c>
    </row>
    <row r="19" spans="1:23" x14ac:dyDescent="0.2">
      <c r="A19" s="57" t="s">
        <v>32</v>
      </c>
      <c r="B19" s="95" t="s">
        <v>36</v>
      </c>
      <c r="C19" s="95" t="s">
        <v>26</v>
      </c>
      <c r="D19" s="95" t="s">
        <v>27</v>
      </c>
      <c r="E19" s="95" t="s">
        <v>27</v>
      </c>
      <c r="F19" s="94" t="s">
        <v>36</v>
      </c>
      <c r="G19" s="93" t="s">
        <v>37</v>
      </c>
      <c r="H19" s="92" t="s">
        <v>778</v>
      </c>
      <c r="I19" s="91">
        <v>72</v>
      </c>
      <c r="J19" s="88">
        <v>72000</v>
      </c>
      <c r="K19" s="90">
        <v>0</v>
      </c>
      <c r="L19" s="89">
        <v>0</v>
      </c>
      <c r="M19" s="88">
        <v>0</v>
      </c>
      <c r="N19" s="88">
        <v>14174219</v>
      </c>
      <c r="O19" s="88">
        <v>984056</v>
      </c>
      <c r="P19" s="87">
        <v>1056056</v>
      </c>
      <c r="Q19" s="86">
        <v>98406</v>
      </c>
      <c r="R19" s="86">
        <v>589036</v>
      </c>
      <c r="S19" s="85">
        <v>155476</v>
      </c>
      <c r="T19" s="85">
        <v>35677</v>
      </c>
      <c r="U19" s="85">
        <v>101278</v>
      </c>
      <c r="V19" s="84">
        <v>174589</v>
      </c>
      <c r="W19" s="84">
        <v>1056056</v>
      </c>
    </row>
    <row r="20" spans="1:23" x14ac:dyDescent="0.2">
      <c r="A20" s="57" t="s">
        <v>32</v>
      </c>
      <c r="B20" s="95" t="s">
        <v>39</v>
      </c>
      <c r="C20" s="95" t="s">
        <v>26</v>
      </c>
      <c r="D20" s="95" t="s">
        <v>27</v>
      </c>
      <c r="E20" s="95" t="s">
        <v>27</v>
      </c>
      <c r="F20" s="94" t="s">
        <v>39</v>
      </c>
      <c r="G20" s="93" t="s">
        <v>40</v>
      </c>
      <c r="H20" s="92" t="s">
        <v>778</v>
      </c>
      <c r="I20" s="91">
        <v>0</v>
      </c>
      <c r="J20" s="88">
        <v>0</v>
      </c>
      <c r="K20" s="90">
        <v>0</v>
      </c>
      <c r="L20" s="89">
        <v>0</v>
      </c>
      <c r="M20" s="88">
        <v>0</v>
      </c>
      <c r="N20" s="88">
        <v>4762820</v>
      </c>
      <c r="O20" s="88">
        <v>330662</v>
      </c>
      <c r="P20" s="87">
        <v>330662</v>
      </c>
      <c r="Q20" s="86">
        <v>33066</v>
      </c>
      <c r="R20" s="86">
        <v>184433</v>
      </c>
      <c r="S20" s="85">
        <v>48681</v>
      </c>
      <c r="T20" s="85">
        <v>11171</v>
      </c>
      <c r="U20" s="85">
        <v>31711</v>
      </c>
      <c r="V20" s="84">
        <v>54666</v>
      </c>
      <c r="W20" s="84">
        <v>330662</v>
      </c>
    </row>
    <row r="21" spans="1:23" ht="30" x14ac:dyDescent="0.2">
      <c r="A21" s="57" t="s">
        <v>32</v>
      </c>
      <c r="B21" s="95" t="s">
        <v>39</v>
      </c>
      <c r="C21" s="95" t="s">
        <v>595</v>
      </c>
      <c r="D21" s="95" t="s">
        <v>596</v>
      </c>
      <c r="E21" s="92" t="s">
        <v>781</v>
      </c>
      <c r="F21" s="94" t="s">
        <v>597</v>
      </c>
      <c r="G21" s="93" t="s">
        <v>598</v>
      </c>
      <c r="H21" s="92" t="s">
        <v>779</v>
      </c>
      <c r="I21" s="91">
        <v>138</v>
      </c>
      <c r="J21" s="88">
        <v>138000</v>
      </c>
      <c r="K21" s="90">
        <v>0</v>
      </c>
      <c r="L21" s="89">
        <v>0</v>
      </c>
      <c r="M21" s="88">
        <v>0</v>
      </c>
      <c r="N21" s="88">
        <v>31664686</v>
      </c>
      <c r="O21" s="88">
        <v>2198344</v>
      </c>
      <c r="P21" s="87">
        <v>2336344</v>
      </c>
      <c r="Q21" s="86">
        <v>219834</v>
      </c>
      <c r="R21" s="86">
        <v>1303141</v>
      </c>
      <c r="S21" s="85">
        <v>343965</v>
      </c>
      <c r="T21" s="85">
        <v>78930</v>
      </c>
      <c r="U21" s="85">
        <v>224060</v>
      </c>
      <c r="V21" s="84">
        <v>386248</v>
      </c>
      <c r="W21" s="84">
        <v>2336344</v>
      </c>
    </row>
    <row r="22" spans="1:23" x14ac:dyDescent="0.2">
      <c r="A22" s="57" t="s">
        <v>32</v>
      </c>
      <c r="B22" s="95" t="s">
        <v>42</v>
      </c>
      <c r="C22" s="95" t="s">
        <v>26</v>
      </c>
      <c r="D22" s="95" t="s">
        <v>27</v>
      </c>
      <c r="E22" s="95" t="s">
        <v>27</v>
      </c>
      <c r="F22" s="94" t="s">
        <v>42</v>
      </c>
      <c r="G22" s="93" t="s">
        <v>43</v>
      </c>
      <c r="H22" s="92" t="s">
        <v>778</v>
      </c>
      <c r="I22" s="91">
        <v>229</v>
      </c>
      <c r="J22" s="88">
        <v>229000</v>
      </c>
      <c r="K22" s="90">
        <v>0</v>
      </c>
      <c r="L22" s="89">
        <v>0</v>
      </c>
      <c r="M22" s="88">
        <v>0</v>
      </c>
      <c r="N22" s="88">
        <v>158890812</v>
      </c>
      <c r="O22" s="88">
        <v>11031113</v>
      </c>
      <c r="P22" s="87">
        <v>11260113</v>
      </c>
      <c r="Q22" s="86">
        <v>1103111</v>
      </c>
      <c r="R22" s="86">
        <v>6280549</v>
      </c>
      <c r="S22" s="85">
        <v>1657754</v>
      </c>
      <c r="T22" s="85">
        <v>380405</v>
      </c>
      <c r="U22" s="85">
        <v>1079865</v>
      </c>
      <c r="V22" s="84">
        <v>1861540</v>
      </c>
      <c r="W22" s="84">
        <v>11260113</v>
      </c>
    </row>
    <row r="23" spans="1:23" x14ac:dyDescent="0.2">
      <c r="A23" s="57" t="s">
        <v>32</v>
      </c>
      <c r="B23" s="95" t="s">
        <v>42</v>
      </c>
      <c r="C23" s="95" t="s">
        <v>371</v>
      </c>
      <c r="D23" s="95" t="s">
        <v>372</v>
      </c>
      <c r="E23" s="92" t="s">
        <v>781</v>
      </c>
      <c r="F23" s="94" t="s">
        <v>373</v>
      </c>
      <c r="G23" s="93" t="s">
        <v>374</v>
      </c>
      <c r="H23" s="92" t="s">
        <v>779</v>
      </c>
      <c r="I23" s="91">
        <v>0</v>
      </c>
      <c r="J23" s="88">
        <v>0</v>
      </c>
      <c r="K23" s="90">
        <v>0</v>
      </c>
      <c r="L23" s="89">
        <v>0</v>
      </c>
      <c r="M23" s="88">
        <v>0</v>
      </c>
      <c r="N23" s="88">
        <v>5446580</v>
      </c>
      <c r="O23" s="88">
        <v>378133</v>
      </c>
      <c r="P23" s="87">
        <v>378133</v>
      </c>
      <c r="Q23" s="86">
        <v>37813</v>
      </c>
      <c r="R23" s="86">
        <v>210910</v>
      </c>
      <c r="S23" s="85">
        <v>55670</v>
      </c>
      <c r="T23" s="85">
        <v>12775</v>
      </c>
      <c r="U23" s="85">
        <v>36264</v>
      </c>
      <c r="V23" s="84">
        <v>62514</v>
      </c>
      <c r="W23" s="84">
        <v>378133</v>
      </c>
    </row>
    <row r="24" spans="1:23" x14ac:dyDescent="0.2">
      <c r="A24" s="57" t="s">
        <v>32</v>
      </c>
      <c r="B24" s="95" t="s">
        <v>42</v>
      </c>
      <c r="C24" s="95" t="s">
        <v>451</v>
      </c>
      <c r="D24" s="95" t="s">
        <v>452</v>
      </c>
      <c r="E24" s="92" t="s">
        <v>781</v>
      </c>
      <c r="F24" s="94" t="s">
        <v>453</v>
      </c>
      <c r="G24" s="93" t="s">
        <v>454</v>
      </c>
      <c r="H24" s="92" t="s">
        <v>779</v>
      </c>
      <c r="I24" s="91">
        <v>0</v>
      </c>
      <c r="J24" s="88">
        <v>0</v>
      </c>
      <c r="K24" s="90">
        <v>0</v>
      </c>
      <c r="L24" s="89">
        <v>0</v>
      </c>
      <c r="M24" s="88">
        <v>0</v>
      </c>
      <c r="N24" s="88">
        <v>2435161</v>
      </c>
      <c r="O24" s="88">
        <v>169063</v>
      </c>
      <c r="P24" s="87">
        <v>169063</v>
      </c>
      <c r="Q24" s="86">
        <v>16906</v>
      </c>
      <c r="R24" s="86">
        <v>94298</v>
      </c>
      <c r="S24" s="85">
        <v>24890</v>
      </c>
      <c r="T24" s="85">
        <v>5712</v>
      </c>
      <c r="U24" s="85">
        <v>16213</v>
      </c>
      <c r="V24" s="84">
        <v>27950</v>
      </c>
      <c r="W24" s="84">
        <v>169063</v>
      </c>
    </row>
    <row r="25" spans="1:23" x14ac:dyDescent="0.2">
      <c r="A25" s="57" t="s">
        <v>32</v>
      </c>
      <c r="B25" s="95" t="s">
        <v>42</v>
      </c>
      <c r="C25" s="95" t="s">
        <v>755</v>
      </c>
      <c r="D25" s="95" t="s">
        <v>756</v>
      </c>
      <c r="E25" s="92" t="s">
        <v>781</v>
      </c>
      <c r="F25" s="94" t="s">
        <v>757</v>
      </c>
      <c r="G25" s="93" t="s">
        <v>758</v>
      </c>
      <c r="H25" s="92" t="s">
        <v>779</v>
      </c>
      <c r="I25" s="91">
        <v>0</v>
      </c>
      <c r="J25" s="88">
        <v>0</v>
      </c>
      <c r="K25" s="90">
        <v>0</v>
      </c>
      <c r="L25" s="89">
        <v>0</v>
      </c>
      <c r="M25" s="88">
        <v>0</v>
      </c>
      <c r="N25" s="88">
        <v>1639768</v>
      </c>
      <c r="O25" s="88">
        <v>113842</v>
      </c>
      <c r="P25" s="87">
        <v>113842</v>
      </c>
      <c r="Q25" s="86">
        <v>11384</v>
      </c>
      <c r="R25" s="86">
        <v>63497</v>
      </c>
      <c r="S25" s="85">
        <v>16760</v>
      </c>
      <c r="T25" s="85">
        <v>3846</v>
      </c>
      <c r="U25" s="85">
        <v>10918</v>
      </c>
      <c r="V25" s="84">
        <v>18821</v>
      </c>
      <c r="W25" s="84">
        <v>113842</v>
      </c>
    </row>
    <row r="26" spans="1:23" x14ac:dyDescent="0.2">
      <c r="A26" s="57" t="s">
        <v>32</v>
      </c>
      <c r="B26" s="95" t="s">
        <v>45</v>
      </c>
      <c r="C26" s="95" t="s">
        <v>26</v>
      </c>
      <c r="D26" s="95" t="s">
        <v>27</v>
      </c>
      <c r="E26" s="95" t="s">
        <v>27</v>
      </c>
      <c r="F26" s="94" t="s">
        <v>45</v>
      </c>
      <c r="G26" s="93" t="s">
        <v>46</v>
      </c>
      <c r="H26" s="92" t="s">
        <v>778</v>
      </c>
      <c r="I26" s="91">
        <v>0</v>
      </c>
      <c r="J26" s="88">
        <v>0</v>
      </c>
      <c r="K26" s="90">
        <v>0</v>
      </c>
      <c r="L26" s="89">
        <v>0</v>
      </c>
      <c r="M26" s="88">
        <v>0</v>
      </c>
      <c r="N26" s="88">
        <v>5328523</v>
      </c>
      <c r="O26" s="88">
        <v>369937</v>
      </c>
      <c r="P26" s="87">
        <v>369937</v>
      </c>
      <c r="Q26" s="86">
        <v>36994</v>
      </c>
      <c r="R26" s="86">
        <v>206339</v>
      </c>
      <c r="S26" s="85">
        <v>54463</v>
      </c>
      <c r="T26" s="85">
        <v>12498</v>
      </c>
      <c r="U26" s="85">
        <v>35478</v>
      </c>
      <c r="V26" s="84">
        <v>61159</v>
      </c>
      <c r="W26" s="84">
        <v>369937</v>
      </c>
    </row>
    <row r="27" spans="1:23" x14ac:dyDescent="0.2">
      <c r="A27" s="57" t="s">
        <v>32</v>
      </c>
      <c r="B27" s="95" t="s">
        <v>48</v>
      </c>
      <c r="C27" s="95" t="s">
        <v>26</v>
      </c>
      <c r="D27" s="95" t="s">
        <v>27</v>
      </c>
      <c r="E27" s="95" t="s">
        <v>27</v>
      </c>
      <c r="F27" s="94" t="s">
        <v>48</v>
      </c>
      <c r="G27" s="93" t="s">
        <v>49</v>
      </c>
      <c r="H27" s="92" t="s">
        <v>778</v>
      </c>
      <c r="I27" s="91">
        <v>85</v>
      </c>
      <c r="J27" s="88">
        <v>85000</v>
      </c>
      <c r="K27" s="90">
        <v>0</v>
      </c>
      <c r="L27" s="89">
        <v>0</v>
      </c>
      <c r="M27" s="88">
        <v>0</v>
      </c>
      <c r="N27" s="88">
        <v>212687545</v>
      </c>
      <c r="O27" s="88">
        <v>14765991</v>
      </c>
      <c r="P27" s="87">
        <v>14850991</v>
      </c>
      <c r="Q27" s="86">
        <v>1476599</v>
      </c>
      <c r="R27" s="86">
        <v>8283431</v>
      </c>
      <c r="S27" s="85">
        <v>2186416</v>
      </c>
      <c r="T27" s="85">
        <v>501717</v>
      </c>
      <c r="U27" s="85">
        <v>1424237</v>
      </c>
      <c r="V27" s="84">
        <v>2455190</v>
      </c>
      <c r="W27" s="84">
        <v>14850991</v>
      </c>
    </row>
    <row r="28" spans="1:23" ht="30" x14ac:dyDescent="0.2">
      <c r="A28" s="57" t="s">
        <v>32</v>
      </c>
      <c r="B28" s="95" t="s">
        <v>48</v>
      </c>
      <c r="C28" s="95" t="s">
        <v>461</v>
      </c>
      <c r="D28" s="95" t="s">
        <v>462</v>
      </c>
      <c r="E28" s="92" t="s">
        <v>781</v>
      </c>
      <c r="F28" s="94" t="s">
        <v>463</v>
      </c>
      <c r="G28" s="93" t="s">
        <v>464</v>
      </c>
      <c r="H28" s="92" t="s">
        <v>779</v>
      </c>
      <c r="I28" s="91">
        <v>1</v>
      </c>
      <c r="J28" s="88">
        <v>1000</v>
      </c>
      <c r="K28" s="90">
        <v>0</v>
      </c>
      <c r="L28" s="89">
        <v>0</v>
      </c>
      <c r="M28" s="88">
        <v>0</v>
      </c>
      <c r="N28" s="88">
        <v>2238918</v>
      </c>
      <c r="O28" s="88">
        <v>155439</v>
      </c>
      <c r="P28" s="87">
        <v>156439</v>
      </c>
      <c r="Q28" s="86">
        <v>15544</v>
      </c>
      <c r="R28" s="86">
        <v>87256</v>
      </c>
      <c r="S28" s="85">
        <v>23032</v>
      </c>
      <c r="T28" s="85">
        <v>5285</v>
      </c>
      <c r="U28" s="85">
        <v>15003</v>
      </c>
      <c r="V28" s="84">
        <v>25863</v>
      </c>
      <c r="W28" s="84">
        <v>156439</v>
      </c>
    </row>
    <row r="29" spans="1:23" ht="30" x14ac:dyDescent="0.2">
      <c r="A29" s="57" t="s">
        <v>32</v>
      </c>
      <c r="B29" s="95" t="s">
        <v>48</v>
      </c>
      <c r="C29" s="95" t="s">
        <v>500</v>
      </c>
      <c r="D29" s="95" t="s">
        <v>501</v>
      </c>
      <c r="E29" s="92" t="s">
        <v>781</v>
      </c>
      <c r="F29" s="94" t="s">
        <v>502</v>
      </c>
      <c r="G29" s="93" t="s">
        <v>503</v>
      </c>
      <c r="H29" s="92" t="s">
        <v>779</v>
      </c>
      <c r="I29" s="91">
        <v>19</v>
      </c>
      <c r="J29" s="88">
        <v>19000</v>
      </c>
      <c r="K29" s="90">
        <v>0</v>
      </c>
      <c r="L29" s="89">
        <v>0</v>
      </c>
      <c r="M29" s="88">
        <v>0</v>
      </c>
      <c r="N29" s="88">
        <v>1976066</v>
      </c>
      <c r="O29" s="88">
        <v>137190</v>
      </c>
      <c r="P29" s="87">
        <v>156190</v>
      </c>
      <c r="Q29" s="86">
        <v>13719</v>
      </c>
      <c r="R29" s="86">
        <v>87117</v>
      </c>
      <c r="S29" s="85">
        <v>22995</v>
      </c>
      <c r="T29" s="85">
        <v>5277</v>
      </c>
      <c r="U29" s="85">
        <v>14979</v>
      </c>
      <c r="V29" s="84">
        <v>25822</v>
      </c>
      <c r="W29" s="84">
        <v>156190</v>
      </c>
    </row>
    <row r="30" spans="1:23" ht="30" x14ac:dyDescent="0.2">
      <c r="A30" s="57" t="s">
        <v>32</v>
      </c>
      <c r="B30" s="95" t="s">
        <v>48</v>
      </c>
      <c r="C30" s="95" t="s">
        <v>701</v>
      </c>
      <c r="D30" s="95" t="s">
        <v>702</v>
      </c>
      <c r="E30" s="92" t="s">
        <v>781</v>
      </c>
      <c r="F30" s="94" t="s">
        <v>703</v>
      </c>
      <c r="G30" s="93" t="s">
        <v>704</v>
      </c>
      <c r="H30" s="92" t="s">
        <v>779</v>
      </c>
      <c r="I30" s="91">
        <v>53</v>
      </c>
      <c r="J30" s="88">
        <v>53000</v>
      </c>
      <c r="K30" s="90">
        <v>0</v>
      </c>
      <c r="L30" s="89">
        <v>0</v>
      </c>
      <c r="M30" s="88">
        <v>0</v>
      </c>
      <c r="N30" s="88">
        <v>3824840</v>
      </c>
      <c r="O30" s="88">
        <v>265542</v>
      </c>
      <c r="P30" s="87">
        <v>318542</v>
      </c>
      <c r="Q30" s="86">
        <v>26554</v>
      </c>
      <c r="R30" s="86">
        <v>177673</v>
      </c>
      <c r="S30" s="85">
        <v>46897</v>
      </c>
      <c r="T30" s="85">
        <v>10761</v>
      </c>
      <c r="U30" s="85">
        <v>30549</v>
      </c>
      <c r="V30" s="84">
        <v>52662</v>
      </c>
      <c r="W30" s="84">
        <v>318542</v>
      </c>
    </row>
    <row r="31" spans="1:23" x14ac:dyDescent="0.2">
      <c r="A31" s="57" t="s">
        <v>32</v>
      </c>
      <c r="B31" s="95" t="s">
        <v>48</v>
      </c>
      <c r="C31" s="95" t="s">
        <v>216</v>
      </c>
      <c r="D31" s="95" t="s">
        <v>217</v>
      </c>
      <c r="E31" s="92" t="s">
        <v>781</v>
      </c>
      <c r="F31" s="94" t="s">
        <v>218</v>
      </c>
      <c r="G31" s="93" t="s">
        <v>219</v>
      </c>
      <c r="H31" s="92" t="s">
        <v>779</v>
      </c>
      <c r="I31" s="91">
        <v>7</v>
      </c>
      <c r="J31" s="88">
        <v>7000</v>
      </c>
      <c r="K31" s="90">
        <v>0</v>
      </c>
      <c r="L31" s="89">
        <v>0</v>
      </c>
      <c r="M31" s="88">
        <v>0</v>
      </c>
      <c r="N31" s="88">
        <v>11439823</v>
      </c>
      <c r="O31" s="88">
        <v>794218</v>
      </c>
      <c r="P31" s="87">
        <v>801218</v>
      </c>
      <c r="Q31" s="86">
        <v>79422</v>
      </c>
      <c r="R31" s="86">
        <v>446895</v>
      </c>
      <c r="S31" s="85">
        <v>117958</v>
      </c>
      <c r="T31" s="85">
        <v>27068</v>
      </c>
      <c r="U31" s="85">
        <v>76838</v>
      </c>
      <c r="V31" s="84">
        <v>132459</v>
      </c>
      <c r="W31" s="84">
        <v>801218</v>
      </c>
    </row>
    <row r="32" spans="1:23" x14ac:dyDescent="0.2">
      <c r="A32" s="57" t="s">
        <v>32</v>
      </c>
      <c r="B32" s="95" t="s">
        <v>48</v>
      </c>
      <c r="C32" s="95" t="s">
        <v>191</v>
      </c>
      <c r="D32" s="95" t="s">
        <v>192</v>
      </c>
      <c r="E32" s="92" t="s">
        <v>781</v>
      </c>
      <c r="F32" s="94" t="s">
        <v>193</v>
      </c>
      <c r="G32" s="93" t="s">
        <v>194</v>
      </c>
      <c r="H32" s="92" t="s">
        <v>779</v>
      </c>
      <c r="I32" s="91">
        <v>1</v>
      </c>
      <c r="J32" s="88">
        <v>1000</v>
      </c>
      <c r="K32" s="90">
        <v>0</v>
      </c>
      <c r="L32" s="89">
        <v>0</v>
      </c>
      <c r="M32" s="88">
        <v>0</v>
      </c>
      <c r="N32" s="88">
        <v>16643461</v>
      </c>
      <c r="O32" s="88">
        <v>1155485</v>
      </c>
      <c r="P32" s="87">
        <v>1156485</v>
      </c>
      <c r="Q32" s="86">
        <v>115549</v>
      </c>
      <c r="R32" s="86">
        <v>645052</v>
      </c>
      <c r="S32" s="85">
        <v>170262</v>
      </c>
      <c r="T32" s="85">
        <v>39070</v>
      </c>
      <c r="U32" s="85">
        <v>110909</v>
      </c>
      <c r="V32" s="84">
        <v>191192</v>
      </c>
      <c r="W32" s="84">
        <v>1156485</v>
      </c>
    </row>
    <row r="33" spans="1:23" x14ac:dyDescent="0.2">
      <c r="A33" s="57" t="s">
        <v>32</v>
      </c>
      <c r="B33" s="95" t="s">
        <v>48</v>
      </c>
      <c r="C33" s="95" t="s">
        <v>186</v>
      </c>
      <c r="D33" s="95" t="s">
        <v>187</v>
      </c>
      <c r="E33" s="92" t="s">
        <v>781</v>
      </c>
      <c r="F33" s="94" t="s">
        <v>188</v>
      </c>
      <c r="G33" s="93" t="s">
        <v>189</v>
      </c>
      <c r="H33" s="92" t="s">
        <v>779</v>
      </c>
      <c r="I33" s="91">
        <v>1</v>
      </c>
      <c r="J33" s="88">
        <v>1000</v>
      </c>
      <c r="K33" s="90">
        <v>0</v>
      </c>
      <c r="L33" s="89">
        <v>0</v>
      </c>
      <c r="M33" s="88">
        <v>0</v>
      </c>
      <c r="N33" s="88">
        <v>7673819</v>
      </c>
      <c r="O33" s="88">
        <v>532761</v>
      </c>
      <c r="P33" s="87">
        <v>533761</v>
      </c>
      <c r="Q33" s="86">
        <v>53276</v>
      </c>
      <c r="R33" s="86">
        <v>297716</v>
      </c>
      <c r="S33" s="85">
        <v>78582</v>
      </c>
      <c r="T33" s="85">
        <v>18032</v>
      </c>
      <c r="U33" s="85">
        <v>51189</v>
      </c>
      <c r="V33" s="84">
        <v>88242</v>
      </c>
      <c r="W33" s="84">
        <v>533761</v>
      </c>
    </row>
    <row r="34" spans="1:23" ht="30" x14ac:dyDescent="0.2">
      <c r="A34" s="57" t="s">
        <v>32</v>
      </c>
      <c r="B34" s="95" t="s">
        <v>48</v>
      </c>
      <c r="C34" s="95" t="s">
        <v>221</v>
      </c>
      <c r="D34" s="95" t="s">
        <v>222</v>
      </c>
      <c r="E34" s="92" t="s">
        <v>781</v>
      </c>
      <c r="F34" s="94" t="s">
        <v>223</v>
      </c>
      <c r="G34" s="93" t="s">
        <v>224</v>
      </c>
      <c r="H34" s="92" t="s">
        <v>779</v>
      </c>
      <c r="I34" s="91">
        <v>0</v>
      </c>
      <c r="J34" s="88">
        <v>0</v>
      </c>
      <c r="K34" s="90">
        <v>0</v>
      </c>
      <c r="L34" s="89">
        <v>0</v>
      </c>
      <c r="M34" s="88">
        <v>0</v>
      </c>
      <c r="N34" s="88">
        <v>14521785</v>
      </c>
      <c r="O34" s="88">
        <v>1008186</v>
      </c>
      <c r="P34" s="87">
        <v>1008186</v>
      </c>
      <c r="Q34" s="86">
        <v>100819</v>
      </c>
      <c r="R34" s="86">
        <v>562335</v>
      </c>
      <c r="S34" s="85">
        <v>148429</v>
      </c>
      <c r="T34" s="85">
        <v>34060</v>
      </c>
      <c r="U34" s="85">
        <v>96687</v>
      </c>
      <c r="V34" s="84">
        <v>166675</v>
      </c>
      <c r="W34" s="84">
        <v>1008186</v>
      </c>
    </row>
    <row r="35" spans="1:23" x14ac:dyDescent="0.2">
      <c r="A35" s="57" t="s">
        <v>32</v>
      </c>
      <c r="B35" s="95" t="s">
        <v>48</v>
      </c>
      <c r="C35" s="95" t="s">
        <v>301</v>
      </c>
      <c r="D35" s="95" t="s">
        <v>302</v>
      </c>
      <c r="E35" s="92" t="s">
        <v>781</v>
      </c>
      <c r="F35" s="94" t="s">
        <v>303</v>
      </c>
      <c r="G35" s="93" t="s">
        <v>304</v>
      </c>
      <c r="H35" s="92" t="s">
        <v>779</v>
      </c>
      <c r="I35" s="91">
        <v>0</v>
      </c>
      <c r="J35" s="88">
        <v>0</v>
      </c>
      <c r="K35" s="90">
        <v>0</v>
      </c>
      <c r="L35" s="89">
        <v>0</v>
      </c>
      <c r="M35" s="88">
        <v>0</v>
      </c>
      <c r="N35" s="88">
        <v>7881539</v>
      </c>
      <c r="O35" s="88">
        <v>547182</v>
      </c>
      <c r="P35" s="87">
        <v>547182</v>
      </c>
      <c r="Q35" s="86">
        <v>54718</v>
      </c>
      <c r="R35" s="86">
        <v>305201</v>
      </c>
      <c r="S35" s="85">
        <v>80558</v>
      </c>
      <c r="T35" s="85">
        <v>18486</v>
      </c>
      <c r="U35" s="85">
        <v>52476</v>
      </c>
      <c r="V35" s="84">
        <v>90461</v>
      </c>
      <c r="W35" s="84">
        <v>547182</v>
      </c>
    </row>
    <row r="36" spans="1:23" x14ac:dyDescent="0.2">
      <c r="A36" s="57" t="s">
        <v>32</v>
      </c>
      <c r="B36" s="95" t="s">
        <v>51</v>
      </c>
      <c r="C36" s="95" t="s">
        <v>26</v>
      </c>
      <c r="D36" s="95" t="s">
        <v>27</v>
      </c>
      <c r="E36" s="95" t="s">
        <v>27</v>
      </c>
      <c r="F36" s="94" t="s">
        <v>51</v>
      </c>
      <c r="G36" s="93" t="s">
        <v>52</v>
      </c>
      <c r="H36" s="92" t="s">
        <v>778</v>
      </c>
      <c r="I36" s="91">
        <v>1</v>
      </c>
      <c r="J36" s="88">
        <v>1000</v>
      </c>
      <c r="K36" s="90">
        <v>0</v>
      </c>
      <c r="L36" s="89">
        <v>0</v>
      </c>
      <c r="M36" s="88">
        <v>0</v>
      </c>
      <c r="N36" s="88">
        <v>26572464</v>
      </c>
      <c r="O36" s="88">
        <v>1844813</v>
      </c>
      <c r="P36" s="87">
        <v>1845813</v>
      </c>
      <c r="Q36" s="86">
        <v>184481</v>
      </c>
      <c r="R36" s="86">
        <v>1029538</v>
      </c>
      <c r="S36" s="85">
        <v>271747</v>
      </c>
      <c r="T36" s="85">
        <v>62358</v>
      </c>
      <c r="U36" s="85">
        <v>177017</v>
      </c>
      <c r="V36" s="84">
        <v>305153</v>
      </c>
      <c r="W36" s="84">
        <v>1845813</v>
      </c>
    </row>
    <row r="37" spans="1:23" x14ac:dyDescent="0.2">
      <c r="A37" s="57" t="s">
        <v>32</v>
      </c>
      <c r="B37" s="95" t="s">
        <v>54</v>
      </c>
      <c r="C37" s="95" t="s">
        <v>26</v>
      </c>
      <c r="D37" s="95" t="s">
        <v>27</v>
      </c>
      <c r="E37" s="95" t="s">
        <v>27</v>
      </c>
      <c r="F37" s="94" t="s">
        <v>54</v>
      </c>
      <c r="G37" s="93" t="s">
        <v>55</v>
      </c>
      <c r="H37" s="92" t="s">
        <v>778</v>
      </c>
      <c r="I37" s="91">
        <v>5</v>
      </c>
      <c r="J37" s="88">
        <v>5000</v>
      </c>
      <c r="K37" s="90">
        <v>0</v>
      </c>
      <c r="L37" s="89">
        <v>0</v>
      </c>
      <c r="M37" s="88">
        <v>0</v>
      </c>
      <c r="N37" s="88">
        <v>1273379</v>
      </c>
      <c r="O37" s="88">
        <v>88405</v>
      </c>
      <c r="P37" s="87">
        <v>93405</v>
      </c>
      <c r="Q37" s="86">
        <v>8841</v>
      </c>
      <c r="R37" s="86">
        <v>52098</v>
      </c>
      <c r="S37" s="85">
        <v>13751</v>
      </c>
      <c r="T37" s="85">
        <v>3156</v>
      </c>
      <c r="U37" s="85">
        <v>8958</v>
      </c>
      <c r="V37" s="84">
        <v>15442</v>
      </c>
      <c r="W37" s="84">
        <v>93405</v>
      </c>
    </row>
    <row r="38" spans="1:23" x14ac:dyDescent="0.2">
      <c r="A38" s="57" t="s">
        <v>32</v>
      </c>
      <c r="B38" s="95" t="s">
        <v>54</v>
      </c>
      <c r="C38" s="95" t="s">
        <v>535</v>
      </c>
      <c r="D38" s="95" t="s">
        <v>536</v>
      </c>
      <c r="E38" s="92" t="s">
        <v>781</v>
      </c>
      <c r="F38" s="94" t="s">
        <v>537</v>
      </c>
      <c r="G38" s="93" t="s">
        <v>538</v>
      </c>
      <c r="H38" s="92" t="s">
        <v>779</v>
      </c>
      <c r="I38" s="91">
        <v>0</v>
      </c>
      <c r="J38" s="88">
        <v>0</v>
      </c>
      <c r="K38" s="90">
        <v>0</v>
      </c>
      <c r="L38" s="89">
        <v>0</v>
      </c>
      <c r="M38" s="88">
        <v>0</v>
      </c>
      <c r="N38" s="88">
        <v>2137869</v>
      </c>
      <c r="O38" s="88">
        <v>148423</v>
      </c>
      <c r="P38" s="87">
        <v>148423</v>
      </c>
      <c r="Q38" s="86">
        <v>14842</v>
      </c>
      <c r="R38" s="86">
        <v>82786</v>
      </c>
      <c r="S38" s="85">
        <v>21851</v>
      </c>
      <c r="T38" s="85">
        <v>5014</v>
      </c>
      <c r="U38" s="85">
        <v>14234</v>
      </c>
      <c r="V38" s="84">
        <v>24538</v>
      </c>
      <c r="W38" s="84">
        <v>148423</v>
      </c>
    </row>
    <row r="39" spans="1:23" x14ac:dyDescent="0.2">
      <c r="A39" s="57" t="s">
        <v>32</v>
      </c>
      <c r="B39" s="95" t="s">
        <v>54</v>
      </c>
      <c r="C39" s="95" t="s">
        <v>550</v>
      </c>
      <c r="D39" s="95" t="s">
        <v>551</v>
      </c>
      <c r="E39" s="92" t="s">
        <v>781</v>
      </c>
      <c r="F39" s="94" t="s">
        <v>552</v>
      </c>
      <c r="G39" s="93" t="s">
        <v>553</v>
      </c>
      <c r="H39" s="92" t="s">
        <v>779</v>
      </c>
      <c r="I39" s="91">
        <v>1</v>
      </c>
      <c r="J39" s="88">
        <v>1000</v>
      </c>
      <c r="K39" s="90">
        <v>0</v>
      </c>
      <c r="L39" s="89">
        <v>0</v>
      </c>
      <c r="M39" s="88">
        <v>0</v>
      </c>
      <c r="N39" s="88">
        <v>5991226</v>
      </c>
      <c r="O39" s="88">
        <v>415945</v>
      </c>
      <c r="P39" s="87">
        <v>416945</v>
      </c>
      <c r="Q39" s="86">
        <v>41595</v>
      </c>
      <c r="R39" s="86">
        <v>232559</v>
      </c>
      <c r="S39" s="85">
        <v>61384</v>
      </c>
      <c r="T39" s="85">
        <v>14086</v>
      </c>
      <c r="U39" s="85">
        <v>39986</v>
      </c>
      <c r="V39" s="84">
        <v>68930</v>
      </c>
      <c r="W39" s="84">
        <v>416945</v>
      </c>
    </row>
    <row r="40" spans="1:23" x14ac:dyDescent="0.2">
      <c r="A40" s="57" t="s">
        <v>32</v>
      </c>
      <c r="B40" s="95" t="s">
        <v>54</v>
      </c>
      <c r="C40" s="95" t="s">
        <v>580</v>
      </c>
      <c r="D40" s="95" t="s">
        <v>581</v>
      </c>
      <c r="E40" s="92" t="s">
        <v>781</v>
      </c>
      <c r="F40" s="94" t="s">
        <v>582</v>
      </c>
      <c r="G40" s="93" t="s">
        <v>822</v>
      </c>
      <c r="H40" s="92" t="s">
        <v>779</v>
      </c>
      <c r="I40" s="91">
        <v>27</v>
      </c>
      <c r="J40" s="88">
        <v>27000</v>
      </c>
      <c r="K40" s="90">
        <v>0</v>
      </c>
      <c r="L40" s="89">
        <v>0</v>
      </c>
      <c r="M40" s="88">
        <v>0</v>
      </c>
      <c r="N40" s="88">
        <v>40815001</v>
      </c>
      <c r="O40" s="88">
        <v>2833612</v>
      </c>
      <c r="P40" s="87">
        <v>2860612</v>
      </c>
      <c r="Q40" s="86">
        <v>283361</v>
      </c>
      <c r="R40" s="86">
        <v>1595563</v>
      </c>
      <c r="S40" s="85">
        <v>421149</v>
      </c>
      <c r="T40" s="85">
        <v>96641</v>
      </c>
      <c r="U40" s="85">
        <v>274338</v>
      </c>
      <c r="V40" s="84">
        <v>472921</v>
      </c>
      <c r="W40" s="84">
        <v>2860612</v>
      </c>
    </row>
    <row r="41" spans="1:23" x14ac:dyDescent="0.2">
      <c r="A41" s="57" t="s">
        <v>32</v>
      </c>
      <c r="B41" s="95" t="s">
        <v>54</v>
      </c>
      <c r="C41" s="95" t="s">
        <v>617</v>
      </c>
      <c r="D41" s="95" t="s">
        <v>618</v>
      </c>
      <c r="E41" s="92" t="s">
        <v>781</v>
      </c>
      <c r="F41" s="94" t="s">
        <v>619</v>
      </c>
      <c r="G41" s="93" t="s">
        <v>620</v>
      </c>
      <c r="H41" s="92" t="s">
        <v>779</v>
      </c>
      <c r="I41" s="91">
        <v>50</v>
      </c>
      <c r="J41" s="88">
        <v>50000</v>
      </c>
      <c r="K41" s="90">
        <v>0</v>
      </c>
      <c r="L41" s="89">
        <v>0</v>
      </c>
      <c r="M41" s="88">
        <v>0</v>
      </c>
      <c r="N41" s="88">
        <v>37115568</v>
      </c>
      <c r="O41" s="88">
        <v>2576776</v>
      </c>
      <c r="P41" s="87">
        <v>2626776</v>
      </c>
      <c r="Q41" s="86">
        <v>257678</v>
      </c>
      <c r="R41" s="86">
        <v>1465136</v>
      </c>
      <c r="S41" s="85">
        <v>386723</v>
      </c>
      <c r="T41" s="85">
        <v>88741</v>
      </c>
      <c r="U41" s="85">
        <v>251913</v>
      </c>
      <c r="V41" s="84">
        <v>434263</v>
      </c>
      <c r="W41" s="84">
        <v>2626776</v>
      </c>
    </row>
    <row r="42" spans="1:23" x14ac:dyDescent="0.2">
      <c r="A42" s="57" t="s">
        <v>32</v>
      </c>
      <c r="B42" s="95" t="s">
        <v>54</v>
      </c>
      <c r="C42" s="95" t="s">
        <v>633</v>
      </c>
      <c r="D42" s="95" t="s">
        <v>634</v>
      </c>
      <c r="E42" s="92" t="s">
        <v>781</v>
      </c>
      <c r="F42" s="94" t="s">
        <v>635</v>
      </c>
      <c r="G42" s="93" t="s">
        <v>636</v>
      </c>
      <c r="H42" s="92" t="s">
        <v>779</v>
      </c>
      <c r="I42" s="91">
        <v>25</v>
      </c>
      <c r="J42" s="88">
        <v>25000</v>
      </c>
      <c r="K42" s="90">
        <v>0</v>
      </c>
      <c r="L42" s="89">
        <v>0</v>
      </c>
      <c r="M42" s="88">
        <v>0</v>
      </c>
      <c r="N42" s="88">
        <v>8210493</v>
      </c>
      <c r="O42" s="88">
        <v>570020</v>
      </c>
      <c r="P42" s="87">
        <v>595020</v>
      </c>
      <c r="Q42" s="86">
        <v>57002</v>
      </c>
      <c r="R42" s="86">
        <v>331884</v>
      </c>
      <c r="S42" s="85">
        <v>87601</v>
      </c>
      <c r="T42" s="85">
        <v>20102</v>
      </c>
      <c r="U42" s="85">
        <v>57063</v>
      </c>
      <c r="V42" s="84">
        <v>98370</v>
      </c>
      <c r="W42" s="84">
        <v>595020</v>
      </c>
    </row>
    <row r="43" spans="1:23" x14ac:dyDescent="0.2">
      <c r="A43" s="57" t="s">
        <v>32</v>
      </c>
      <c r="B43" s="95" t="s">
        <v>57</v>
      </c>
      <c r="C43" s="95" t="s">
        <v>26</v>
      </c>
      <c r="D43" s="95" t="s">
        <v>27</v>
      </c>
      <c r="E43" s="95" t="s">
        <v>27</v>
      </c>
      <c r="F43" s="94" t="s">
        <v>57</v>
      </c>
      <c r="G43" s="93" t="s">
        <v>58</v>
      </c>
      <c r="H43" s="92" t="s">
        <v>778</v>
      </c>
      <c r="I43" s="91">
        <v>3</v>
      </c>
      <c r="J43" s="88">
        <v>3000</v>
      </c>
      <c r="K43" s="90">
        <v>0</v>
      </c>
      <c r="L43" s="89">
        <v>0</v>
      </c>
      <c r="M43" s="88">
        <v>0</v>
      </c>
      <c r="N43" s="88">
        <v>34058035</v>
      </c>
      <c r="O43" s="88">
        <v>2364504</v>
      </c>
      <c r="P43" s="87">
        <v>2367504</v>
      </c>
      <c r="Q43" s="86">
        <v>236450</v>
      </c>
      <c r="R43" s="86">
        <v>1320522</v>
      </c>
      <c r="S43" s="85">
        <v>348552</v>
      </c>
      <c r="T43" s="85">
        <v>79982</v>
      </c>
      <c r="U43" s="85">
        <v>227048</v>
      </c>
      <c r="V43" s="84">
        <v>391400</v>
      </c>
      <c r="W43" s="84">
        <v>2367504</v>
      </c>
    </row>
    <row r="44" spans="1:23" x14ac:dyDescent="0.2">
      <c r="A44" s="57" t="s">
        <v>32</v>
      </c>
      <c r="B44" s="95" t="s">
        <v>60</v>
      </c>
      <c r="C44" s="95" t="s">
        <v>26</v>
      </c>
      <c r="D44" s="95" t="s">
        <v>27</v>
      </c>
      <c r="E44" s="95" t="s">
        <v>27</v>
      </c>
      <c r="F44" s="94" t="s">
        <v>60</v>
      </c>
      <c r="G44" s="93" t="s">
        <v>61</v>
      </c>
      <c r="H44" s="92" t="s">
        <v>778</v>
      </c>
      <c r="I44" s="91">
        <v>10</v>
      </c>
      <c r="J44" s="88">
        <v>10000</v>
      </c>
      <c r="K44" s="90">
        <v>0</v>
      </c>
      <c r="L44" s="89">
        <v>0</v>
      </c>
      <c r="M44" s="88">
        <v>0</v>
      </c>
      <c r="N44" s="88">
        <v>43785659</v>
      </c>
      <c r="O44" s="88">
        <v>3039852</v>
      </c>
      <c r="P44" s="87">
        <v>3049852</v>
      </c>
      <c r="Q44" s="86">
        <v>303985</v>
      </c>
      <c r="R44" s="86">
        <v>1701115</v>
      </c>
      <c r="S44" s="85">
        <v>449010</v>
      </c>
      <c r="T44" s="85">
        <v>103034</v>
      </c>
      <c r="U44" s="85">
        <v>292486</v>
      </c>
      <c r="V44" s="84">
        <v>504207</v>
      </c>
      <c r="W44" s="84">
        <v>3049852</v>
      </c>
    </row>
    <row r="45" spans="1:23" x14ac:dyDescent="0.2">
      <c r="A45" s="57" t="s">
        <v>32</v>
      </c>
      <c r="B45" s="95" t="s">
        <v>63</v>
      </c>
      <c r="C45" s="95" t="s">
        <v>26</v>
      </c>
      <c r="D45" s="95" t="s">
        <v>27</v>
      </c>
      <c r="E45" s="95" t="s">
        <v>27</v>
      </c>
      <c r="F45" s="94" t="s">
        <v>63</v>
      </c>
      <c r="G45" s="93" t="s">
        <v>64</v>
      </c>
      <c r="H45" s="92" t="s">
        <v>778</v>
      </c>
      <c r="I45" s="91">
        <v>902</v>
      </c>
      <c r="J45" s="88">
        <v>902000</v>
      </c>
      <c r="K45" s="90">
        <v>0</v>
      </c>
      <c r="L45" s="89">
        <v>0</v>
      </c>
      <c r="M45" s="88">
        <v>0</v>
      </c>
      <c r="N45" s="88">
        <v>150381388</v>
      </c>
      <c r="O45" s="88">
        <v>10440340</v>
      </c>
      <c r="P45" s="87">
        <v>11342340</v>
      </c>
      <c r="Q45" s="86">
        <v>1044034</v>
      </c>
      <c r="R45" s="86">
        <v>6326412</v>
      </c>
      <c r="S45" s="85">
        <v>1669860</v>
      </c>
      <c r="T45" s="85">
        <v>383183</v>
      </c>
      <c r="U45" s="85">
        <v>1087751</v>
      </c>
      <c r="V45" s="84">
        <v>1875134</v>
      </c>
      <c r="W45" s="84">
        <v>11342340</v>
      </c>
    </row>
    <row r="46" spans="1:23" x14ac:dyDescent="0.2">
      <c r="A46" s="57" t="s">
        <v>32</v>
      </c>
      <c r="B46" s="95" t="s">
        <v>63</v>
      </c>
      <c r="C46" s="95" t="s">
        <v>336</v>
      </c>
      <c r="D46" s="95" t="s">
        <v>337</v>
      </c>
      <c r="E46" s="92" t="s">
        <v>781</v>
      </c>
      <c r="F46" s="94" t="s">
        <v>338</v>
      </c>
      <c r="G46" s="93" t="s">
        <v>339</v>
      </c>
      <c r="H46" s="92" t="s">
        <v>779</v>
      </c>
      <c r="I46" s="91">
        <v>0</v>
      </c>
      <c r="J46" s="88">
        <v>0</v>
      </c>
      <c r="K46" s="90">
        <v>0</v>
      </c>
      <c r="L46" s="89">
        <v>0</v>
      </c>
      <c r="M46" s="88">
        <v>0</v>
      </c>
      <c r="N46" s="88">
        <v>10197595</v>
      </c>
      <c r="O46" s="88">
        <v>707976</v>
      </c>
      <c r="P46" s="87">
        <v>707976</v>
      </c>
      <c r="Q46" s="86">
        <v>70798</v>
      </c>
      <c r="R46" s="86">
        <v>394887</v>
      </c>
      <c r="S46" s="85">
        <v>104231</v>
      </c>
      <c r="T46" s="85">
        <v>23918</v>
      </c>
      <c r="U46" s="85">
        <v>67896</v>
      </c>
      <c r="V46" s="84">
        <v>117044</v>
      </c>
      <c r="W46" s="84">
        <v>707976</v>
      </c>
    </row>
    <row r="47" spans="1:23" x14ac:dyDescent="0.2">
      <c r="A47" s="57" t="s">
        <v>32</v>
      </c>
      <c r="B47" s="95" t="s">
        <v>63</v>
      </c>
      <c r="C47" s="95" t="s">
        <v>590</v>
      </c>
      <c r="D47" s="95" t="s">
        <v>591</v>
      </c>
      <c r="E47" s="92" t="s">
        <v>781</v>
      </c>
      <c r="F47" s="94" t="s">
        <v>592</v>
      </c>
      <c r="G47" s="93" t="s">
        <v>593</v>
      </c>
      <c r="H47" s="92" t="s">
        <v>779</v>
      </c>
      <c r="I47" s="91">
        <v>66</v>
      </c>
      <c r="J47" s="88">
        <v>66000</v>
      </c>
      <c r="K47" s="90">
        <v>0</v>
      </c>
      <c r="L47" s="89">
        <v>0</v>
      </c>
      <c r="M47" s="88">
        <v>0</v>
      </c>
      <c r="N47" s="88">
        <v>7719142</v>
      </c>
      <c r="O47" s="88">
        <v>535907</v>
      </c>
      <c r="P47" s="87">
        <v>601907</v>
      </c>
      <c r="Q47" s="86">
        <v>53591</v>
      </c>
      <c r="R47" s="86">
        <v>335726</v>
      </c>
      <c r="S47" s="85">
        <v>88615</v>
      </c>
      <c r="T47" s="85">
        <v>20334</v>
      </c>
      <c r="U47" s="85">
        <v>57724</v>
      </c>
      <c r="V47" s="84">
        <v>99508</v>
      </c>
      <c r="W47" s="84">
        <v>601907</v>
      </c>
    </row>
    <row r="48" spans="1:23" x14ac:dyDescent="0.2">
      <c r="A48" s="57" t="s">
        <v>32</v>
      </c>
      <c r="B48" s="95" t="s">
        <v>63</v>
      </c>
      <c r="C48" s="95" t="s">
        <v>236</v>
      </c>
      <c r="D48" s="95" t="s">
        <v>237</v>
      </c>
      <c r="E48" s="92" t="s">
        <v>781</v>
      </c>
      <c r="F48" s="94" t="s">
        <v>238</v>
      </c>
      <c r="G48" s="93" t="s">
        <v>239</v>
      </c>
      <c r="H48" s="92" t="s">
        <v>779</v>
      </c>
      <c r="I48" s="91">
        <v>1</v>
      </c>
      <c r="J48" s="88">
        <v>1000</v>
      </c>
      <c r="K48" s="90">
        <v>0</v>
      </c>
      <c r="L48" s="89">
        <v>0</v>
      </c>
      <c r="M48" s="88">
        <v>0</v>
      </c>
      <c r="N48" s="88">
        <v>11416697</v>
      </c>
      <c r="O48" s="88">
        <v>792613</v>
      </c>
      <c r="P48" s="87">
        <v>793613</v>
      </c>
      <c r="Q48" s="86">
        <v>79261</v>
      </c>
      <c r="R48" s="86">
        <v>442653</v>
      </c>
      <c r="S48" s="85">
        <v>116839</v>
      </c>
      <c r="T48" s="85">
        <v>26811</v>
      </c>
      <c r="U48" s="85">
        <v>76109</v>
      </c>
      <c r="V48" s="84">
        <v>131201</v>
      </c>
      <c r="W48" s="84">
        <v>793613</v>
      </c>
    </row>
    <row r="49" spans="1:23" x14ac:dyDescent="0.2">
      <c r="A49" s="57" t="s">
        <v>32</v>
      </c>
      <c r="B49" s="95" t="s">
        <v>66</v>
      </c>
      <c r="C49" s="95" t="s">
        <v>26</v>
      </c>
      <c r="D49" s="95" t="s">
        <v>27</v>
      </c>
      <c r="E49" s="95" t="s">
        <v>27</v>
      </c>
      <c r="F49" s="94" t="s">
        <v>66</v>
      </c>
      <c r="G49" s="93" t="s">
        <v>67</v>
      </c>
      <c r="H49" s="92" t="s">
        <v>778</v>
      </c>
      <c r="I49" s="91">
        <v>216</v>
      </c>
      <c r="J49" s="88">
        <v>216000</v>
      </c>
      <c r="K49" s="90">
        <v>0</v>
      </c>
      <c r="L49" s="89">
        <v>0</v>
      </c>
      <c r="M49" s="88">
        <v>0</v>
      </c>
      <c r="N49" s="88">
        <v>81917116</v>
      </c>
      <c r="O49" s="88">
        <v>5687157</v>
      </c>
      <c r="P49" s="87">
        <v>5903157</v>
      </c>
      <c r="Q49" s="86">
        <v>568716</v>
      </c>
      <c r="R49" s="86">
        <v>3292601</v>
      </c>
      <c r="S49" s="85">
        <v>869084</v>
      </c>
      <c r="T49" s="85">
        <v>199429</v>
      </c>
      <c r="U49" s="85">
        <v>566123</v>
      </c>
      <c r="V49" s="84">
        <v>975920</v>
      </c>
      <c r="W49" s="84">
        <v>5903157</v>
      </c>
    </row>
    <row r="50" spans="1:23" x14ac:dyDescent="0.2">
      <c r="A50" s="57" t="s">
        <v>32</v>
      </c>
      <c r="B50" s="95" t="s">
        <v>66</v>
      </c>
      <c r="C50" s="95" t="s">
        <v>401</v>
      </c>
      <c r="D50" s="95" t="s">
        <v>402</v>
      </c>
      <c r="E50" s="92" t="s">
        <v>781</v>
      </c>
      <c r="F50" s="94" t="s">
        <v>403</v>
      </c>
      <c r="G50" s="93" t="s">
        <v>404</v>
      </c>
      <c r="H50" s="92" t="s">
        <v>779</v>
      </c>
      <c r="I50" s="91">
        <v>0</v>
      </c>
      <c r="J50" s="88">
        <v>0</v>
      </c>
      <c r="K50" s="90">
        <v>0</v>
      </c>
      <c r="L50" s="89">
        <v>0</v>
      </c>
      <c r="M50" s="88">
        <v>0</v>
      </c>
      <c r="N50" s="88">
        <v>12419721</v>
      </c>
      <c r="O50" s="88">
        <v>862248</v>
      </c>
      <c r="P50" s="87">
        <v>862248</v>
      </c>
      <c r="Q50" s="86">
        <v>86225</v>
      </c>
      <c r="R50" s="86">
        <v>480936</v>
      </c>
      <c r="S50" s="85">
        <v>126943</v>
      </c>
      <c r="T50" s="85">
        <v>29130</v>
      </c>
      <c r="U50" s="85">
        <v>82691</v>
      </c>
      <c r="V50" s="84">
        <v>142548</v>
      </c>
      <c r="W50" s="84">
        <v>862248</v>
      </c>
    </row>
    <row r="51" spans="1:23" x14ac:dyDescent="0.2">
      <c r="A51" s="57" t="s">
        <v>32</v>
      </c>
      <c r="B51" s="95" t="s">
        <v>66</v>
      </c>
      <c r="C51" s="95" t="s">
        <v>648</v>
      </c>
      <c r="D51" s="95" t="s">
        <v>649</v>
      </c>
      <c r="E51" s="92" t="s">
        <v>781</v>
      </c>
      <c r="F51" s="94" t="s">
        <v>650</v>
      </c>
      <c r="G51" s="93" t="s">
        <v>651</v>
      </c>
      <c r="H51" s="92" t="s">
        <v>779</v>
      </c>
      <c r="I51" s="91">
        <v>3</v>
      </c>
      <c r="J51" s="88">
        <v>3000</v>
      </c>
      <c r="K51" s="90">
        <v>0</v>
      </c>
      <c r="L51" s="89">
        <v>0</v>
      </c>
      <c r="M51" s="88">
        <v>0</v>
      </c>
      <c r="N51" s="88">
        <v>1402676</v>
      </c>
      <c r="O51" s="88">
        <v>97382</v>
      </c>
      <c r="P51" s="87">
        <v>100382</v>
      </c>
      <c r="Q51" s="86">
        <v>9738</v>
      </c>
      <c r="R51" s="86">
        <v>55990</v>
      </c>
      <c r="S51" s="85">
        <v>14779</v>
      </c>
      <c r="T51" s="85">
        <v>3391</v>
      </c>
      <c r="U51" s="85">
        <v>9627</v>
      </c>
      <c r="V51" s="84">
        <v>16595</v>
      </c>
      <c r="W51" s="84">
        <v>100382</v>
      </c>
    </row>
    <row r="52" spans="1:23" x14ac:dyDescent="0.2">
      <c r="A52" s="57" t="s">
        <v>32</v>
      </c>
      <c r="B52" s="95" t="s">
        <v>66</v>
      </c>
      <c r="C52" s="95" t="s">
        <v>206</v>
      </c>
      <c r="D52" s="95" t="s">
        <v>207</v>
      </c>
      <c r="E52" s="92" t="s">
        <v>781</v>
      </c>
      <c r="F52" s="94" t="s">
        <v>208</v>
      </c>
      <c r="G52" s="93" t="s">
        <v>209</v>
      </c>
      <c r="H52" s="92" t="s">
        <v>779</v>
      </c>
      <c r="I52" s="91">
        <v>1</v>
      </c>
      <c r="J52" s="88">
        <v>1000</v>
      </c>
      <c r="K52" s="90">
        <v>0</v>
      </c>
      <c r="L52" s="89">
        <v>0</v>
      </c>
      <c r="M52" s="88">
        <v>0</v>
      </c>
      <c r="N52" s="88">
        <v>8868749</v>
      </c>
      <c r="O52" s="88">
        <v>615719</v>
      </c>
      <c r="P52" s="87">
        <v>616719</v>
      </c>
      <c r="Q52" s="86">
        <v>61572</v>
      </c>
      <c r="R52" s="86">
        <v>343987</v>
      </c>
      <c r="S52" s="85">
        <v>90796</v>
      </c>
      <c r="T52" s="85">
        <v>20835</v>
      </c>
      <c r="U52" s="85">
        <v>59144</v>
      </c>
      <c r="V52" s="84">
        <v>101957</v>
      </c>
      <c r="W52" s="84">
        <v>616719</v>
      </c>
    </row>
    <row r="53" spans="1:23" x14ac:dyDescent="0.2">
      <c r="A53" s="57" t="s">
        <v>32</v>
      </c>
      <c r="B53" s="95" t="s">
        <v>69</v>
      </c>
      <c r="C53" s="95" t="s">
        <v>26</v>
      </c>
      <c r="D53" s="95" t="s">
        <v>27</v>
      </c>
      <c r="E53" s="95" t="s">
        <v>27</v>
      </c>
      <c r="F53" s="94" t="s">
        <v>69</v>
      </c>
      <c r="G53" s="93" t="s">
        <v>70</v>
      </c>
      <c r="H53" s="92" t="s">
        <v>778</v>
      </c>
      <c r="I53" s="91">
        <v>30</v>
      </c>
      <c r="J53" s="88">
        <v>30000</v>
      </c>
      <c r="K53" s="90">
        <v>0</v>
      </c>
      <c r="L53" s="89">
        <v>0</v>
      </c>
      <c r="M53" s="88">
        <v>0</v>
      </c>
      <c r="N53" s="88">
        <v>51805914</v>
      </c>
      <c r="O53" s="88">
        <v>3596664</v>
      </c>
      <c r="P53" s="87">
        <v>3626664</v>
      </c>
      <c r="Q53" s="86">
        <v>359666</v>
      </c>
      <c r="R53" s="86">
        <v>2022843</v>
      </c>
      <c r="S53" s="85">
        <v>533930</v>
      </c>
      <c r="T53" s="85">
        <v>122521</v>
      </c>
      <c r="U53" s="85">
        <v>347804</v>
      </c>
      <c r="V53" s="84">
        <v>599566</v>
      </c>
      <c r="W53" s="84">
        <v>3626664</v>
      </c>
    </row>
    <row r="54" spans="1:23" x14ac:dyDescent="0.2">
      <c r="A54" s="57" t="s">
        <v>32</v>
      </c>
      <c r="B54" s="95" t="s">
        <v>72</v>
      </c>
      <c r="C54" s="95" t="s">
        <v>26</v>
      </c>
      <c r="D54" s="95" t="s">
        <v>27</v>
      </c>
      <c r="E54" s="95" t="s">
        <v>27</v>
      </c>
      <c r="F54" s="94" t="s">
        <v>72</v>
      </c>
      <c r="G54" s="93" t="s">
        <v>73</v>
      </c>
      <c r="H54" s="92" t="s">
        <v>778</v>
      </c>
      <c r="I54" s="91">
        <v>104</v>
      </c>
      <c r="J54" s="88">
        <v>104000</v>
      </c>
      <c r="K54" s="90">
        <v>0</v>
      </c>
      <c r="L54" s="89">
        <v>0</v>
      </c>
      <c r="M54" s="88">
        <v>0</v>
      </c>
      <c r="N54" s="88">
        <v>23457530</v>
      </c>
      <c r="O54" s="88">
        <v>1628556</v>
      </c>
      <c r="P54" s="87">
        <v>1732556</v>
      </c>
      <c r="Q54" s="86">
        <v>162856</v>
      </c>
      <c r="R54" s="86">
        <v>966367</v>
      </c>
      <c r="S54" s="85">
        <v>255073</v>
      </c>
      <c r="T54" s="85">
        <v>58532</v>
      </c>
      <c r="U54" s="85">
        <v>166155</v>
      </c>
      <c r="V54" s="84">
        <v>286429</v>
      </c>
      <c r="W54" s="84">
        <v>1732556</v>
      </c>
    </row>
    <row r="55" spans="1:23" x14ac:dyDescent="0.2">
      <c r="A55" s="57" t="s">
        <v>32</v>
      </c>
      <c r="B55" s="95" t="s">
        <v>75</v>
      </c>
      <c r="C55" s="95" t="s">
        <v>26</v>
      </c>
      <c r="D55" s="95" t="s">
        <v>27</v>
      </c>
      <c r="E55" s="95" t="s">
        <v>27</v>
      </c>
      <c r="F55" s="94" t="s">
        <v>75</v>
      </c>
      <c r="G55" s="93" t="s">
        <v>76</v>
      </c>
      <c r="H55" s="92" t="s">
        <v>778</v>
      </c>
      <c r="I55" s="91">
        <v>388</v>
      </c>
      <c r="J55" s="88">
        <v>388000</v>
      </c>
      <c r="K55" s="90">
        <v>0</v>
      </c>
      <c r="L55" s="89">
        <v>0</v>
      </c>
      <c r="M55" s="88">
        <v>0</v>
      </c>
      <c r="N55" s="88">
        <v>177844636</v>
      </c>
      <c r="O55" s="88">
        <v>12346996</v>
      </c>
      <c r="P55" s="87">
        <v>12734996</v>
      </c>
      <c r="Q55" s="86">
        <v>1234700</v>
      </c>
      <c r="R55" s="86">
        <v>7103192</v>
      </c>
      <c r="S55" s="85">
        <v>1874892</v>
      </c>
      <c r="T55" s="85">
        <v>430232</v>
      </c>
      <c r="U55" s="85">
        <v>1221309</v>
      </c>
      <c r="V55" s="84">
        <v>2105371</v>
      </c>
      <c r="W55" s="84">
        <v>12734996</v>
      </c>
    </row>
    <row r="56" spans="1:23" ht="30" x14ac:dyDescent="0.2">
      <c r="A56" s="57" t="s">
        <v>32</v>
      </c>
      <c r="B56" s="95" t="s">
        <v>75</v>
      </c>
      <c r="C56" s="95" t="s">
        <v>736</v>
      </c>
      <c r="D56" s="95" t="s">
        <v>737</v>
      </c>
      <c r="E56" s="92" t="s">
        <v>781</v>
      </c>
      <c r="F56" s="94" t="s">
        <v>738</v>
      </c>
      <c r="G56" s="93" t="s">
        <v>739</v>
      </c>
      <c r="H56" s="92" t="s">
        <v>779</v>
      </c>
      <c r="I56" s="91">
        <v>36</v>
      </c>
      <c r="J56" s="88">
        <v>36000</v>
      </c>
      <c r="K56" s="90">
        <v>0</v>
      </c>
      <c r="L56" s="89">
        <v>0</v>
      </c>
      <c r="M56" s="88">
        <v>0</v>
      </c>
      <c r="N56" s="88">
        <v>3327369</v>
      </c>
      <c r="O56" s="88">
        <v>231005</v>
      </c>
      <c r="P56" s="87">
        <v>267005</v>
      </c>
      <c r="Q56" s="86">
        <v>23101</v>
      </c>
      <c r="R56" s="86">
        <v>148928</v>
      </c>
      <c r="S56" s="85">
        <v>39309</v>
      </c>
      <c r="T56" s="85">
        <v>9020</v>
      </c>
      <c r="U56" s="85">
        <v>25606</v>
      </c>
      <c r="V56" s="84">
        <v>44142</v>
      </c>
      <c r="W56" s="84">
        <v>267005</v>
      </c>
    </row>
    <row r="57" spans="1:23" x14ac:dyDescent="0.2">
      <c r="A57" s="57" t="s">
        <v>32</v>
      </c>
      <c r="B57" s="95" t="s">
        <v>75</v>
      </c>
      <c r="C57" s="95" t="s">
        <v>426</v>
      </c>
      <c r="D57" s="95" t="s">
        <v>427</v>
      </c>
      <c r="E57" s="92" t="s">
        <v>781</v>
      </c>
      <c r="F57" s="94" t="s">
        <v>428</v>
      </c>
      <c r="G57" s="93" t="s">
        <v>429</v>
      </c>
      <c r="H57" s="92" t="s">
        <v>779</v>
      </c>
      <c r="I57" s="91">
        <v>6</v>
      </c>
      <c r="J57" s="88">
        <v>6000</v>
      </c>
      <c r="K57" s="90">
        <v>0</v>
      </c>
      <c r="L57" s="89">
        <v>0</v>
      </c>
      <c r="M57" s="88">
        <v>0</v>
      </c>
      <c r="N57" s="88">
        <v>21305923</v>
      </c>
      <c r="O57" s="88">
        <v>1479180</v>
      </c>
      <c r="P57" s="87">
        <v>1485180</v>
      </c>
      <c r="Q57" s="86">
        <v>147918</v>
      </c>
      <c r="R57" s="86">
        <v>828390</v>
      </c>
      <c r="S57" s="85">
        <v>218653</v>
      </c>
      <c r="T57" s="85">
        <v>50174</v>
      </c>
      <c r="U57" s="85">
        <v>142431</v>
      </c>
      <c r="V57" s="84">
        <v>245532</v>
      </c>
      <c r="W57" s="84">
        <v>1485180</v>
      </c>
    </row>
    <row r="58" spans="1:23" x14ac:dyDescent="0.2">
      <c r="A58" s="57" t="s">
        <v>32</v>
      </c>
      <c r="B58" s="95" t="s">
        <v>75</v>
      </c>
      <c r="C58" s="95" t="s">
        <v>226</v>
      </c>
      <c r="D58" s="95" t="s">
        <v>227</v>
      </c>
      <c r="E58" s="92" t="s">
        <v>781</v>
      </c>
      <c r="F58" s="94" t="s">
        <v>228</v>
      </c>
      <c r="G58" s="93" t="s">
        <v>229</v>
      </c>
      <c r="H58" s="92" t="s">
        <v>779</v>
      </c>
      <c r="I58" s="91">
        <v>72</v>
      </c>
      <c r="J58" s="88">
        <v>72000</v>
      </c>
      <c r="K58" s="90">
        <v>0</v>
      </c>
      <c r="L58" s="89">
        <v>0</v>
      </c>
      <c r="M58" s="88">
        <v>0</v>
      </c>
      <c r="N58" s="88">
        <v>25391878</v>
      </c>
      <c r="O58" s="88">
        <v>1762850</v>
      </c>
      <c r="P58" s="87">
        <v>1834850</v>
      </c>
      <c r="Q58" s="86">
        <v>176285</v>
      </c>
      <c r="R58" s="86">
        <v>1023424</v>
      </c>
      <c r="S58" s="85">
        <v>270133</v>
      </c>
      <c r="T58" s="85">
        <v>61988</v>
      </c>
      <c r="U58" s="85">
        <v>175965</v>
      </c>
      <c r="V58" s="84">
        <v>303340</v>
      </c>
      <c r="W58" s="84">
        <v>1834850</v>
      </c>
    </row>
    <row r="59" spans="1:23" x14ac:dyDescent="0.2">
      <c r="A59" s="57" t="s">
        <v>32</v>
      </c>
      <c r="B59" s="95" t="s">
        <v>78</v>
      </c>
      <c r="C59" s="95" t="s">
        <v>26</v>
      </c>
      <c r="D59" s="95" t="s">
        <v>27</v>
      </c>
      <c r="E59" s="95" t="s">
        <v>27</v>
      </c>
      <c r="F59" s="94" t="s">
        <v>78</v>
      </c>
      <c r="G59" s="93" t="s">
        <v>79</v>
      </c>
      <c r="H59" s="92" t="s">
        <v>778</v>
      </c>
      <c r="I59" s="91">
        <v>25</v>
      </c>
      <c r="J59" s="88">
        <v>25000</v>
      </c>
      <c r="K59" s="90">
        <v>0</v>
      </c>
      <c r="L59" s="89">
        <v>0</v>
      </c>
      <c r="M59" s="88">
        <v>0</v>
      </c>
      <c r="N59" s="88">
        <v>5329089</v>
      </c>
      <c r="O59" s="88">
        <v>369976</v>
      </c>
      <c r="P59" s="87">
        <v>394976</v>
      </c>
      <c r="Q59" s="86">
        <v>36998</v>
      </c>
      <c r="R59" s="86">
        <v>220305</v>
      </c>
      <c r="S59" s="85">
        <v>58150</v>
      </c>
      <c r="T59" s="85">
        <v>13344</v>
      </c>
      <c r="U59" s="85">
        <v>37879</v>
      </c>
      <c r="V59" s="84">
        <v>65298</v>
      </c>
      <c r="W59" s="84">
        <v>394976</v>
      </c>
    </row>
    <row r="60" spans="1:23" x14ac:dyDescent="0.2">
      <c r="A60" s="57" t="s">
        <v>32</v>
      </c>
      <c r="B60" s="95" t="s">
        <v>78</v>
      </c>
      <c r="C60" s="95" t="s">
        <v>246</v>
      </c>
      <c r="D60" s="95" t="s">
        <v>247</v>
      </c>
      <c r="E60" s="92" t="s">
        <v>781</v>
      </c>
      <c r="F60" s="94" t="s">
        <v>248</v>
      </c>
      <c r="G60" s="93" t="s">
        <v>249</v>
      </c>
      <c r="H60" s="92" t="s">
        <v>779</v>
      </c>
      <c r="I60" s="91">
        <v>6</v>
      </c>
      <c r="J60" s="88">
        <v>6000</v>
      </c>
      <c r="K60" s="90">
        <v>0</v>
      </c>
      <c r="L60" s="89">
        <v>0</v>
      </c>
      <c r="M60" s="88">
        <v>0</v>
      </c>
      <c r="N60" s="88">
        <v>1566578</v>
      </c>
      <c r="O60" s="88">
        <v>108761</v>
      </c>
      <c r="P60" s="87">
        <v>114761</v>
      </c>
      <c r="Q60" s="86">
        <v>10876</v>
      </c>
      <c r="R60" s="86">
        <v>64010</v>
      </c>
      <c r="S60" s="85">
        <v>16896</v>
      </c>
      <c r="T60" s="85">
        <v>3877</v>
      </c>
      <c r="U60" s="85">
        <v>11006</v>
      </c>
      <c r="V60" s="84">
        <v>18972</v>
      </c>
      <c r="W60" s="84">
        <v>114761</v>
      </c>
    </row>
    <row r="61" spans="1:23" x14ac:dyDescent="0.2">
      <c r="A61" s="57" t="s">
        <v>32</v>
      </c>
      <c r="B61" s="95" t="s">
        <v>81</v>
      </c>
      <c r="C61" s="95" t="s">
        <v>26</v>
      </c>
      <c r="D61" s="95" t="s">
        <v>27</v>
      </c>
      <c r="E61" s="95" t="s">
        <v>27</v>
      </c>
      <c r="F61" s="94" t="s">
        <v>81</v>
      </c>
      <c r="G61" s="93" t="s">
        <v>82</v>
      </c>
      <c r="H61" s="92" t="s">
        <v>778</v>
      </c>
      <c r="I61" s="91">
        <v>47</v>
      </c>
      <c r="J61" s="88">
        <v>47000</v>
      </c>
      <c r="K61" s="90">
        <v>0</v>
      </c>
      <c r="L61" s="89">
        <v>0</v>
      </c>
      <c r="M61" s="88">
        <v>0</v>
      </c>
      <c r="N61" s="88">
        <v>2565992</v>
      </c>
      <c r="O61" s="88">
        <v>178146</v>
      </c>
      <c r="P61" s="87">
        <v>225146</v>
      </c>
      <c r="Q61" s="86">
        <v>17815</v>
      </c>
      <c r="R61" s="86">
        <v>125579</v>
      </c>
      <c r="S61" s="85">
        <v>33147</v>
      </c>
      <c r="T61" s="85">
        <v>7606</v>
      </c>
      <c r="U61" s="85">
        <v>21592</v>
      </c>
      <c r="V61" s="84">
        <v>37222</v>
      </c>
      <c r="W61" s="84">
        <v>225146</v>
      </c>
    </row>
    <row r="62" spans="1:23" x14ac:dyDescent="0.2">
      <c r="A62" s="57" t="s">
        <v>32</v>
      </c>
      <c r="B62" s="95" t="s">
        <v>81</v>
      </c>
      <c r="C62" s="95" t="s">
        <v>545</v>
      </c>
      <c r="D62" s="95" t="s">
        <v>546</v>
      </c>
      <c r="E62" s="92" t="s">
        <v>781</v>
      </c>
      <c r="F62" s="94" t="s">
        <v>547</v>
      </c>
      <c r="G62" s="93" t="s">
        <v>548</v>
      </c>
      <c r="H62" s="92" t="s">
        <v>779</v>
      </c>
      <c r="I62" s="91">
        <v>18</v>
      </c>
      <c r="J62" s="88">
        <v>18000</v>
      </c>
      <c r="K62" s="90">
        <v>0</v>
      </c>
      <c r="L62" s="89">
        <v>0</v>
      </c>
      <c r="M62" s="88">
        <v>0</v>
      </c>
      <c r="N62" s="88">
        <v>2274077</v>
      </c>
      <c r="O62" s="88">
        <v>157879</v>
      </c>
      <c r="P62" s="87">
        <v>175879</v>
      </c>
      <c r="Q62" s="86">
        <v>15788</v>
      </c>
      <c r="R62" s="86">
        <v>98099</v>
      </c>
      <c r="S62" s="85">
        <v>25894</v>
      </c>
      <c r="T62" s="85">
        <v>5942</v>
      </c>
      <c r="U62" s="85">
        <v>16867</v>
      </c>
      <c r="V62" s="84">
        <v>29077</v>
      </c>
      <c r="W62" s="84">
        <v>175879</v>
      </c>
    </row>
    <row r="63" spans="1:23" ht="30" x14ac:dyDescent="0.2">
      <c r="A63" s="57" t="s">
        <v>32</v>
      </c>
      <c r="B63" s="95" t="s">
        <v>81</v>
      </c>
      <c r="C63" s="95" t="s">
        <v>643</v>
      </c>
      <c r="D63" s="95" t="s">
        <v>644</v>
      </c>
      <c r="E63" s="92" t="s">
        <v>781</v>
      </c>
      <c r="F63" s="94" t="s">
        <v>645</v>
      </c>
      <c r="G63" s="93" t="s">
        <v>821</v>
      </c>
      <c r="H63" s="92" t="s">
        <v>779</v>
      </c>
      <c r="I63" s="91">
        <v>21</v>
      </c>
      <c r="J63" s="88">
        <v>21000</v>
      </c>
      <c r="K63" s="90">
        <v>0</v>
      </c>
      <c r="L63" s="89">
        <v>0</v>
      </c>
      <c r="M63" s="88">
        <v>0</v>
      </c>
      <c r="N63" s="88">
        <v>4223341</v>
      </c>
      <c r="O63" s="88">
        <v>293209</v>
      </c>
      <c r="P63" s="87">
        <v>314209</v>
      </c>
      <c r="Q63" s="86">
        <v>29321</v>
      </c>
      <c r="R63" s="86">
        <v>175256</v>
      </c>
      <c r="S63" s="85">
        <v>46259</v>
      </c>
      <c r="T63" s="85">
        <v>10615</v>
      </c>
      <c r="U63" s="85">
        <v>30133</v>
      </c>
      <c r="V63" s="84">
        <v>51946</v>
      </c>
      <c r="W63" s="84">
        <v>314209</v>
      </c>
    </row>
    <row r="64" spans="1:23" x14ac:dyDescent="0.2">
      <c r="A64" s="57" t="s">
        <v>32</v>
      </c>
      <c r="B64" s="95" t="s">
        <v>81</v>
      </c>
      <c r="C64" s="95" t="s">
        <v>696</v>
      </c>
      <c r="D64" s="95" t="s">
        <v>697</v>
      </c>
      <c r="E64" s="92" t="s">
        <v>781</v>
      </c>
      <c r="F64" s="94" t="s">
        <v>698</v>
      </c>
      <c r="G64" s="93" t="s">
        <v>699</v>
      </c>
      <c r="H64" s="92" t="s">
        <v>779</v>
      </c>
      <c r="I64" s="91">
        <v>0</v>
      </c>
      <c r="J64" s="88">
        <v>0</v>
      </c>
      <c r="K64" s="90">
        <v>0</v>
      </c>
      <c r="L64" s="89">
        <v>0</v>
      </c>
      <c r="M64" s="88">
        <v>0</v>
      </c>
      <c r="N64" s="88">
        <v>2489440</v>
      </c>
      <c r="O64" s="88">
        <v>172831</v>
      </c>
      <c r="P64" s="87">
        <v>172831</v>
      </c>
      <c r="Q64" s="86">
        <v>17283</v>
      </c>
      <c r="R64" s="86">
        <v>96399</v>
      </c>
      <c r="S64" s="85">
        <v>25445</v>
      </c>
      <c r="T64" s="85">
        <v>5839</v>
      </c>
      <c r="U64" s="85">
        <v>16575</v>
      </c>
      <c r="V64" s="84">
        <v>28573</v>
      </c>
      <c r="W64" s="84">
        <v>172831</v>
      </c>
    </row>
    <row r="65" spans="1:23" x14ac:dyDescent="0.2">
      <c r="A65" s="57" t="s">
        <v>32</v>
      </c>
      <c r="B65" s="95" t="s">
        <v>81</v>
      </c>
      <c r="C65" s="95" t="s">
        <v>721</v>
      </c>
      <c r="D65" s="95" t="s">
        <v>722</v>
      </c>
      <c r="E65" s="92" t="s">
        <v>781</v>
      </c>
      <c r="F65" s="94" t="s">
        <v>723</v>
      </c>
      <c r="G65" s="93" t="s">
        <v>724</v>
      </c>
      <c r="H65" s="92" t="s">
        <v>779</v>
      </c>
      <c r="I65" s="91">
        <v>0</v>
      </c>
      <c r="J65" s="88">
        <v>0</v>
      </c>
      <c r="K65" s="90">
        <v>0</v>
      </c>
      <c r="L65" s="89">
        <v>0</v>
      </c>
      <c r="M65" s="88">
        <v>0</v>
      </c>
      <c r="N65" s="88">
        <v>1518830</v>
      </c>
      <c r="O65" s="88">
        <v>105446</v>
      </c>
      <c r="P65" s="87">
        <v>105446</v>
      </c>
      <c r="Q65" s="86">
        <v>10545</v>
      </c>
      <c r="R65" s="86">
        <v>58815</v>
      </c>
      <c r="S65" s="85">
        <v>15524</v>
      </c>
      <c r="T65" s="85">
        <v>3562</v>
      </c>
      <c r="U65" s="85">
        <v>10112</v>
      </c>
      <c r="V65" s="84">
        <v>17433</v>
      </c>
      <c r="W65" s="84">
        <v>105446</v>
      </c>
    </row>
    <row r="66" spans="1:23" ht="30" x14ac:dyDescent="0.2">
      <c r="A66" s="57" t="s">
        <v>32</v>
      </c>
      <c r="B66" s="95" t="s">
        <v>81</v>
      </c>
      <c r="C66" s="95" t="s">
        <v>760</v>
      </c>
      <c r="D66" s="95" t="s">
        <v>761</v>
      </c>
      <c r="E66" s="92" t="s">
        <v>781</v>
      </c>
      <c r="F66" s="94" t="s">
        <v>762</v>
      </c>
      <c r="G66" s="93" t="s">
        <v>763</v>
      </c>
      <c r="H66" s="92" t="s">
        <v>779</v>
      </c>
      <c r="I66" s="91">
        <v>1</v>
      </c>
      <c r="J66" s="88">
        <v>1000</v>
      </c>
      <c r="K66" s="90">
        <v>0</v>
      </c>
      <c r="L66" s="89">
        <v>0</v>
      </c>
      <c r="M66" s="88">
        <v>0</v>
      </c>
      <c r="N66" s="88">
        <v>1941919</v>
      </c>
      <c r="O66" s="88">
        <v>134819</v>
      </c>
      <c r="P66" s="87">
        <v>135819</v>
      </c>
      <c r="Q66" s="86">
        <v>13482</v>
      </c>
      <c r="R66" s="86">
        <v>75756</v>
      </c>
      <c r="S66" s="85">
        <v>19996</v>
      </c>
      <c r="T66" s="85">
        <v>4588</v>
      </c>
      <c r="U66" s="85">
        <v>13025</v>
      </c>
      <c r="V66" s="84">
        <v>22454</v>
      </c>
      <c r="W66" s="84">
        <v>135819</v>
      </c>
    </row>
    <row r="67" spans="1:23" x14ac:dyDescent="0.2">
      <c r="A67" s="57" t="s">
        <v>32</v>
      </c>
      <c r="B67" s="95" t="s">
        <v>81</v>
      </c>
      <c r="C67" s="95" t="s">
        <v>256</v>
      </c>
      <c r="D67" s="95" t="s">
        <v>257</v>
      </c>
      <c r="E67" s="92" t="s">
        <v>781</v>
      </c>
      <c r="F67" s="94" t="s">
        <v>258</v>
      </c>
      <c r="G67" s="93" t="s">
        <v>259</v>
      </c>
      <c r="H67" s="92" t="s">
        <v>779</v>
      </c>
      <c r="I67" s="91">
        <v>1</v>
      </c>
      <c r="J67" s="88">
        <v>1000</v>
      </c>
      <c r="K67" s="90">
        <v>0</v>
      </c>
      <c r="L67" s="89">
        <v>0</v>
      </c>
      <c r="M67" s="88">
        <v>0</v>
      </c>
      <c r="N67" s="88">
        <v>378928</v>
      </c>
      <c r="O67" s="88">
        <v>26307</v>
      </c>
      <c r="P67" s="87">
        <v>27307</v>
      </c>
      <c r="Q67" s="86">
        <v>2631</v>
      </c>
      <c r="R67" s="86">
        <v>15231</v>
      </c>
      <c r="S67" s="85">
        <v>4020</v>
      </c>
      <c r="T67" s="85">
        <v>923</v>
      </c>
      <c r="U67" s="85">
        <v>2619</v>
      </c>
      <c r="V67" s="84">
        <v>4514</v>
      </c>
      <c r="W67" s="84">
        <v>27307</v>
      </c>
    </row>
    <row r="68" spans="1:23" x14ac:dyDescent="0.2">
      <c r="A68" s="57" t="s">
        <v>32</v>
      </c>
      <c r="B68" s="95" t="s">
        <v>84</v>
      </c>
      <c r="C68" s="95" t="s">
        <v>26</v>
      </c>
      <c r="D68" s="95" t="s">
        <v>27</v>
      </c>
      <c r="E68" s="95" t="s">
        <v>27</v>
      </c>
      <c r="F68" s="94" t="s">
        <v>84</v>
      </c>
      <c r="G68" s="93" t="s">
        <v>85</v>
      </c>
      <c r="H68" s="92" t="s">
        <v>778</v>
      </c>
      <c r="I68" s="91">
        <v>7</v>
      </c>
      <c r="J68" s="88">
        <v>7000</v>
      </c>
      <c r="K68" s="90">
        <v>0</v>
      </c>
      <c r="L68" s="89">
        <v>0</v>
      </c>
      <c r="M68" s="88">
        <v>0</v>
      </c>
      <c r="N68" s="88">
        <v>1623484</v>
      </c>
      <c r="O68" s="88">
        <v>112712</v>
      </c>
      <c r="P68" s="87">
        <v>119712</v>
      </c>
      <c r="Q68" s="86">
        <v>11271</v>
      </c>
      <c r="R68" s="86">
        <v>66772</v>
      </c>
      <c r="S68" s="85">
        <v>17624</v>
      </c>
      <c r="T68" s="85">
        <v>4044</v>
      </c>
      <c r="U68" s="85">
        <v>11481</v>
      </c>
      <c r="V68" s="84">
        <v>19791</v>
      </c>
      <c r="W68" s="84">
        <v>119712</v>
      </c>
    </row>
    <row r="69" spans="1:23" x14ac:dyDescent="0.2">
      <c r="A69" s="57" t="s">
        <v>32</v>
      </c>
      <c r="B69" s="95" t="s">
        <v>87</v>
      </c>
      <c r="C69" s="95" t="s">
        <v>26</v>
      </c>
      <c r="D69" s="95" t="s">
        <v>27</v>
      </c>
      <c r="E69" s="95" t="s">
        <v>27</v>
      </c>
      <c r="F69" s="94" t="s">
        <v>87</v>
      </c>
      <c r="G69" s="93" t="s">
        <v>28</v>
      </c>
      <c r="H69" s="92" t="s">
        <v>778</v>
      </c>
      <c r="I69" s="91">
        <v>18</v>
      </c>
      <c r="J69" s="88">
        <v>18000</v>
      </c>
      <c r="K69" s="90">
        <v>0</v>
      </c>
      <c r="L69" s="89">
        <v>0</v>
      </c>
      <c r="M69" s="88">
        <v>0</v>
      </c>
      <c r="N69" s="88">
        <v>43767066</v>
      </c>
      <c r="O69" s="88">
        <v>3038561</v>
      </c>
      <c r="P69" s="87">
        <v>3056561</v>
      </c>
      <c r="Q69" s="86">
        <v>303856</v>
      </c>
      <c r="R69" s="86">
        <v>1704856</v>
      </c>
      <c r="S69" s="85">
        <v>449998</v>
      </c>
      <c r="T69" s="85">
        <v>103261</v>
      </c>
      <c r="U69" s="85">
        <v>293130</v>
      </c>
      <c r="V69" s="84">
        <v>505316</v>
      </c>
      <c r="W69" s="84">
        <v>3056561</v>
      </c>
    </row>
    <row r="70" spans="1:23" x14ac:dyDescent="0.2">
      <c r="A70" s="57" t="s">
        <v>32</v>
      </c>
      <c r="B70" s="95" t="s">
        <v>87</v>
      </c>
      <c r="C70" s="95" t="s">
        <v>211</v>
      </c>
      <c r="D70" s="95" t="s">
        <v>212</v>
      </c>
      <c r="E70" s="92" t="s">
        <v>781</v>
      </c>
      <c r="F70" s="94" t="s">
        <v>213</v>
      </c>
      <c r="G70" s="93" t="s">
        <v>214</v>
      </c>
      <c r="H70" s="92" t="s">
        <v>779</v>
      </c>
      <c r="I70" s="91">
        <v>0</v>
      </c>
      <c r="J70" s="88">
        <v>0</v>
      </c>
      <c r="K70" s="90">
        <v>0</v>
      </c>
      <c r="L70" s="89">
        <v>0</v>
      </c>
      <c r="M70" s="88">
        <v>0</v>
      </c>
      <c r="N70" s="88">
        <v>2860979</v>
      </c>
      <c r="O70" s="88">
        <v>198626</v>
      </c>
      <c r="P70" s="87">
        <v>198626</v>
      </c>
      <c r="Q70" s="86">
        <v>19863</v>
      </c>
      <c r="R70" s="86">
        <v>110788</v>
      </c>
      <c r="S70" s="85">
        <v>29242</v>
      </c>
      <c r="T70" s="85">
        <v>6710</v>
      </c>
      <c r="U70" s="85">
        <v>19049</v>
      </c>
      <c r="V70" s="84">
        <v>32837</v>
      </c>
      <c r="W70" s="84">
        <v>198626</v>
      </c>
    </row>
    <row r="71" spans="1:23" x14ac:dyDescent="0.2">
      <c r="A71" s="57" t="s">
        <v>32</v>
      </c>
      <c r="B71" s="95" t="s">
        <v>87</v>
      </c>
      <c r="C71" s="95" t="s">
        <v>296</v>
      </c>
      <c r="D71" s="95" t="s">
        <v>297</v>
      </c>
      <c r="E71" s="92" t="s">
        <v>781</v>
      </c>
      <c r="F71" s="94" t="s">
        <v>298</v>
      </c>
      <c r="G71" s="93" t="s">
        <v>299</v>
      </c>
      <c r="H71" s="92" t="s">
        <v>779</v>
      </c>
      <c r="I71" s="91">
        <v>0</v>
      </c>
      <c r="J71" s="88">
        <v>0</v>
      </c>
      <c r="K71" s="90">
        <v>0</v>
      </c>
      <c r="L71" s="89">
        <v>0</v>
      </c>
      <c r="M71" s="88">
        <v>0</v>
      </c>
      <c r="N71" s="88">
        <v>911759</v>
      </c>
      <c r="O71" s="88">
        <v>63300</v>
      </c>
      <c r="P71" s="87">
        <v>63300</v>
      </c>
      <c r="Q71" s="86">
        <v>6330</v>
      </c>
      <c r="R71" s="86">
        <v>35307</v>
      </c>
      <c r="S71" s="85">
        <v>9319</v>
      </c>
      <c r="T71" s="85">
        <v>2138</v>
      </c>
      <c r="U71" s="85">
        <v>6071</v>
      </c>
      <c r="V71" s="84">
        <v>10465</v>
      </c>
      <c r="W71" s="84">
        <v>63300</v>
      </c>
    </row>
    <row r="72" spans="1:23" x14ac:dyDescent="0.2">
      <c r="A72" s="57" t="s">
        <v>32</v>
      </c>
      <c r="B72" s="95" t="s">
        <v>89</v>
      </c>
      <c r="C72" s="95" t="s">
        <v>26</v>
      </c>
      <c r="D72" s="95" t="s">
        <v>27</v>
      </c>
      <c r="E72" s="95" t="s">
        <v>27</v>
      </c>
      <c r="F72" s="94" t="s">
        <v>89</v>
      </c>
      <c r="G72" s="93" t="s">
        <v>90</v>
      </c>
      <c r="H72" s="92" t="s">
        <v>778</v>
      </c>
      <c r="I72" s="91">
        <v>396</v>
      </c>
      <c r="J72" s="88">
        <v>396000</v>
      </c>
      <c r="K72" s="90">
        <v>0</v>
      </c>
      <c r="L72" s="89">
        <v>0</v>
      </c>
      <c r="M72" s="88">
        <v>0</v>
      </c>
      <c r="N72" s="88">
        <v>107664495</v>
      </c>
      <c r="O72" s="88">
        <v>7474688</v>
      </c>
      <c r="P72" s="87">
        <v>7870688</v>
      </c>
      <c r="Q72" s="86">
        <v>747469</v>
      </c>
      <c r="R72" s="86">
        <v>4390030</v>
      </c>
      <c r="S72" s="85">
        <v>1158751</v>
      </c>
      <c r="T72" s="85">
        <v>265899</v>
      </c>
      <c r="U72" s="85">
        <v>754813</v>
      </c>
      <c r="V72" s="84">
        <v>1301195</v>
      </c>
      <c r="W72" s="84">
        <v>7870688</v>
      </c>
    </row>
    <row r="73" spans="1:23" x14ac:dyDescent="0.2">
      <c r="A73" s="57" t="s">
        <v>32</v>
      </c>
      <c r="B73" s="95" t="s">
        <v>89</v>
      </c>
      <c r="C73" s="95" t="s">
        <v>622</v>
      </c>
      <c r="D73" s="95" t="s">
        <v>623</v>
      </c>
      <c r="E73" s="92" t="s">
        <v>781</v>
      </c>
      <c r="F73" s="94" t="s">
        <v>624</v>
      </c>
      <c r="G73" s="93" t="s">
        <v>820</v>
      </c>
      <c r="H73" s="92" t="s">
        <v>779</v>
      </c>
      <c r="I73" s="91">
        <v>0</v>
      </c>
      <c r="J73" s="88">
        <v>0</v>
      </c>
      <c r="K73" s="90">
        <v>0</v>
      </c>
      <c r="L73" s="89">
        <v>0</v>
      </c>
      <c r="M73" s="88">
        <v>0</v>
      </c>
      <c r="N73" s="88">
        <v>2688050</v>
      </c>
      <c r="O73" s="88">
        <v>186620</v>
      </c>
      <c r="P73" s="87">
        <v>186620</v>
      </c>
      <c r="Q73" s="86">
        <v>18662</v>
      </c>
      <c r="R73" s="86">
        <v>104091</v>
      </c>
      <c r="S73" s="85">
        <v>27475</v>
      </c>
      <c r="T73" s="85">
        <v>6305</v>
      </c>
      <c r="U73" s="85">
        <v>17897</v>
      </c>
      <c r="V73" s="84">
        <v>30852</v>
      </c>
      <c r="W73" s="84">
        <v>186620</v>
      </c>
    </row>
    <row r="74" spans="1:23" x14ac:dyDescent="0.2">
      <c r="A74" s="57" t="s">
        <v>32</v>
      </c>
      <c r="B74" s="95" t="s">
        <v>92</v>
      </c>
      <c r="C74" s="95" t="s">
        <v>26</v>
      </c>
      <c r="D74" s="95" t="s">
        <v>27</v>
      </c>
      <c r="E74" s="95" t="s">
        <v>27</v>
      </c>
      <c r="F74" s="94" t="s">
        <v>92</v>
      </c>
      <c r="G74" s="93" t="s">
        <v>93</v>
      </c>
      <c r="H74" s="92" t="s">
        <v>778</v>
      </c>
      <c r="I74" s="91">
        <v>25</v>
      </c>
      <c r="J74" s="88">
        <v>25000</v>
      </c>
      <c r="K74" s="90">
        <v>0</v>
      </c>
      <c r="L74" s="89">
        <v>0</v>
      </c>
      <c r="M74" s="88">
        <v>0</v>
      </c>
      <c r="N74" s="88">
        <v>33785811</v>
      </c>
      <c r="O74" s="88">
        <v>2345605</v>
      </c>
      <c r="P74" s="87">
        <v>2370605</v>
      </c>
      <c r="Q74" s="86">
        <v>234561</v>
      </c>
      <c r="R74" s="86">
        <v>1322252</v>
      </c>
      <c r="S74" s="85">
        <v>349009</v>
      </c>
      <c r="T74" s="85">
        <v>80087</v>
      </c>
      <c r="U74" s="85">
        <v>227345</v>
      </c>
      <c r="V74" s="84">
        <v>391912</v>
      </c>
      <c r="W74" s="84">
        <v>2370605</v>
      </c>
    </row>
    <row r="75" spans="1:23" x14ac:dyDescent="0.2">
      <c r="A75" s="57" t="s">
        <v>32</v>
      </c>
      <c r="B75" s="95" t="s">
        <v>95</v>
      </c>
      <c r="C75" s="95" t="s">
        <v>26</v>
      </c>
      <c r="D75" s="95" t="s">
        <v>27</v>
      </c>
      <c r="E75" s="95" t="s">
        <v>27</v>
      </c>
      <c r="F75" s="94" t="s">
        <v>95</v>
      </c>
      <c r="G75" s="93" t="s">
        <v>96</v>
      </c>
      <c r="H75" s="92" t="s">
        <v>778</v>
      </c>
      <c r="I75" s="91">
        <v>30</v>
      </c>
      <c r="J75" s="88">
        <v>30000</v>
      </c>
      <c r="K75" s="90">
        <v>0</v>
      </c>
      <c r="L75" s="89">
        <v>0</v>
      </c>
      <c r="M75" s="88">
        <v>0</v>
      </c>
      <c r="N75" s="88">
        <v>17362260</v>
      </c>
      <c r="O75" s="88">
        <v>1205388</v>
      </c>
      <c r="P75" s="87">
        <v>1235388</v>
      </c>
      <c r="Q75" s="86">
        <v>120539</v>
      </c>
      <c r="R75" s="86">
        <v>689062</v>
      </c>
      <c r="S75" s="85">
        <v>181878</v>
      </c>
      <c r="T75" s="85">
        <v>41736</v>
      </c>
      <c r="U75" s="85">
        <v>118476</v>
      </c>
      <c r="V75" s="84">
        <v>204236</v>
      </c>
      <c r="W75" s="84">
        <v>1235388</v>
      </c>
    </row>
    <row r="76" spans="1:23" x14ac:dyDescent="0.2">
      <c r="A76" s="57" t="s">
        <v>32</v>
      </c>
      <c r="B76" s="95" t="s">
        <v>95</v>
      </c>
      <c r="C76" s="95" t="s">
        <v>481</v>
      </c>
      <c r="D76" s="95" t="s">
        <v>482</v>
      </c>
      <c r="E76" s="92" t="s">
        <v>781</v>
      </c>
      <c r="F76" s="94" t="s">
        <v>483</v>
      </c>
      <c r="G76" s="93" t="s">
        <v>484</v>
      </c>
      <c r="H76" s="92" t="s">
        <v>779</v>
      </c>
      <c r="I76" s="91">
        <v>98</v>
      </c>
      <c r="J76" s="88">
        <v>98000</v>
      </c>
      <c r="K76" s="90">
        <v>0</v>
      </c>
      <c r="L76" s="89">
        <v>0</v>
      </c>
      <c r="M76" s="88">
        <v>0</v>
      </c>
      <c r="N76" s="88">
        <v>4119295</v>
      </c>
      <c r="O76" s="88">
        <v>285985</v>
      </c>
      <c r="P76" s="87">
        <v>383985</v>
      </c>
      <c r="Q76" s="86">
        <v>28599</v>
      </c>
      <c r="R76" s="86">
        <v>214175</v>
      </c>
      <c r="S76" s="85">
        <v>56532</v>
      </c>
      <c r="T76" s="85">
        <v>12972</v>
      </c>
      <c r="U76" s="85">
        <v>36825</v>
      </c>
      <c r="V76" s="84">
        <v>63481</v>
      </c>
      <c r="W76" s="84">
        <v>383985</v>
      </c>
    </row>
    <row r="77" spans="1:23" ht="30" x14ac:dyDescent="0.2">
      <c r="A77" s="57" t="s">
        <v>32</v>
      </c>
      <c r="B77" s="95" t="s">
        <v>95</v>
      </c>
      <c r="C77" s="95" t="s">
        <v>530</v>
      </c>
      <c r="D77" s="95" t="s">
        <v>531</v>
      </c>
      <c r="E77" s="92" t="s">
        <v>781</v>
      </c>
      <c r="F77" s="94" t="s">
        <v>532</v>
      </c>
      <c r="G77" s="93" t="s">
        <v>533</v>
      </c>
      <c r="H77" s="92" t="s">
        <v>779</v>
      </c>
      <c r="I77" s="91">
        <v>160</v>
      </c>
      <c r="J77" s="88">
        <v>160000</v>
      </c>
      <c r="K77" s="90">
        <v>0</v>
      </c>
      <c r="L77" s="89">
        <v>0</v>
      </c>
      <c r="M77" s="88">
        <v>0</v>
      </c>
      <c r="N77" s="88">
        <v>11314141</v>
      </c>
      <c r="O77" s="88">
        <v>785493</v>
      </c>
      <c r="P77" s="87">
        <v>945493</v>
      </c>
      <c r="Q77" s="86">
        <v>78549</v>
      </c>
      <c r="R77" s="86">
        <v>527368</v>
      </c>
      <c r="S77" s="85">
        <v>139199</v>
      </c>
      <c r="T77" s="85">
        <v>31942</v>
      </c>
      <c r="U77" s="85">
        <v>90674</v>
      </c>
      <c r="V77" s="84">
        <v>156310</v>
      </c>
      <c r="W77" s="84">
        <v>945493</v>
      </c>
    </row>
    <row r="78" spans="1:23" x14ac:dyDescent="0.2">
      <c r="A78" s="57" t="s">
        <v>32</v>
      </c>
      <c r="B78" s="95" t="s">
        <v>95</v>
      </c>
      <c r="C78" s="95" t="s">
        <v>555</v>
      </c>
      <c r="D78" s="95" t="s">
        <v>556</v>
      </c>
      <c r="E78" s="92" t="s">
        <v>781</v>
      </c>
      <c r="F78" s="94" t="s">
        <v>557</v>
      </c>
      <c r="G78" s="93" t="s">
        <v>819</v>
      </c>
      <c r="H78" s="92" t="s">
        <v>779</v>
      </c>
      <c r="I78" s="91">
        <v>3</v>
      </c>
      <c r="J78" s="88">
        <v>3000</v>
      </c>
      <c r="K78" s="90">
        <v>0</v>
      </c>
      <c r="L78" s="89">
        <v>0</v>
      </c>
      <c r="M78" s="88">
        <v>0</v>
      </c>
      <c r="N78" s="88">
        <v>1307233</v>
      </c>
      <c r="O78" s="88">
        <v>90756</v>
      </c>
      <c r="P78" s="87">
        <v>93756</v>
      </c>
      <c r="Q78" s="86">
        <v>9076</v>
      </c>
      <c r="R78" s="86">
        <v>52295</v>
      </c>
      <c r="S78" s="85">
        <v>13803</v>
      </c>
      <c r="T78" s="85">
        <v>3167</v>
      </c>
      <c r="U78" s="85">
        <v>8991</v>
      </c>
      <c r="V78" s="84">
        <v>15500</v>
      </c>
      <c r="W78" s="84">
        <v>93756</v>
      </c>
    </row>
    <row r="79" spans="1:23" ht="30" x14ac:dyDescent="0.2">
      <c r="A79" s="57" t="s">
        <v>32</v>
      </c>
      <c r="B79" s="95" t="s">
        <v>95</v>
      </c>
      <c r="C79" s="95" t="s">
        <v>638</v>
      </c>
      <c r="D79" s="95" t="s">
        <v>639</v>
      </c>
      <c r="E79" s="92" t="s">
        <v>781</v>
      </c>
      <c r="F79" s="94" t="s">
        <v>640</v>
      </c>
      <c r="G79" s="93" t="s">
        <v>641</v>
      </c>
      <c r="H79" s="92" t="s">
        <v>779</v>
      </c>
      <c r="I79" s="91">
        <v>1</v>
      </c>
      <c r="J79" s="88">
        <v>1000</v>
      </c>
      <c r="K79" s="90">
        <v>0</v>
      </c>
      <c r="L79" s="89">
        <v>0</v>
      </c>
      <c r="M79" s="88">
        <v>0</v>
      </c>
      <c r="N79" s="88">
        <v>6367445</v>
      </c>
      <c r="O79" s="88">
        <v>442065</v>
      </c>
      <c r="P79" s="87">
        <v>443065</v>
      </c>
      <c r="Q79" s="86">
        <v>44207</v>
      </c>
      <c r="R79" s="86">
        <v>247128</v>
      </c>
      <c r="S79" s="85">
        <v>65230</v>
      </c>
      <c r="T79" s="85">
        <v>14968</v>
      </c>
      <c r="U79" s="85">
        <v>42491</v>
      </c>
      <c r="V79" s="84">
        <v>73248</v>
      </c>
      <c r="W79" s="84">
        <v>443065</v>
      </c>
    </row>
    <row r="80" spans="1:23" x14ac:dyDescent="0.2">
      <c r="A80" s="57" t="s">
        <v>32</v>
      </c>
      <c r="B80" s="95" t="s">
        <v>95</v>
      </c>
      <c r="C80" s="95" t="s">
        <v>716</v>
      </c>
      <c r="D80" s="95" t="s">
        <v>717</v>
      </c>
      <c r="E80" s="92" t="s">
        <v>781</v>
      </c>
      <c r="F80" s="94" t="s">
        <v>718</v>
      </c>
      <c r="G80" s="93" t="s">
        <v>719</v>
      </c>
      <c r="H80" s="92" t="s">
        <v>779</v>
      </c>
      <c r="I80" s="91">
        <v>3</v>
      </c>
      <c r="J80" s="88">
        <v>3000</v>
      </c>
      <c r="K80" s="90">
        <v>0</v>
      </c>
      <c r="L80" s="89">
        <v>0</v>
      </c>
      <c r="M80" s="88">
        <v>0</v>
      </c>
      <c r="N80" s="88">
        <v>1389526</v>
      </c>
      <c r="O80" s="88">
        <v>96469</v>
      </c>
      <c r="P80" s="87">
        <v>99469</v>
      </c>
      <c r="Q80" s="86">
        <v>9647</v>
      </c>
      <c r="R80" s="86">
        <v>55482</v>
      </c>
      <c r="S80" s="85">
        <v>14644</v>
      </c>
      <c r="T80" s="85">
        <v>3360</v>
      </c>
      <c r="U80" s="85">
        <v>9539</v>
      </c>
      <c r="V80" s="84">
        <v>16444</v>
      </c>
      <c r="W80" s="84">
        <v>99469</v>
      </c>
    </row>
    <row r="81" spans="1:23" x14ac:dyDescent="0.2">
      <c r="A81" s="57" t="s">
        <v>32</v>
      </c>
      <c r="B81" s="95" t="s">
        <v>98</v>
      </c>
      <c r="C81" s="95" t="s">
        <v>26</v>
      </c>
      <c r="D81" s="95" t="s">
        <v>27</v>
      </c>
      <c r="E81" s="95" t="s">
        <v>27</v>
      </c>
      <c r="F81" s="94" t="s">
        <v>98</v>
      </c>
      <c r="G81" s="93" t="s">
        <v>99</v>
      </c>
      <c r="H81" s="92" t="s">
        <v>778</v>
      </c>
      <c r="I81" s="91">
        <v>311</v>
      </c>
      <c r="J81" s="88">
        <v>311000</v>
      </c>
      <c r="K81" s="90">
        <v>0</v>
      </c>
      <c r="L81" s="89">
        <v>0</v>
      </c>
      <c r="M81" s="88">
        <v>0</v>
      </c>
      <c r="N81" s="88">
        <v>53069596</v>
      </c>
      <c r="O81" s="88">
        <v>3684396</v>
      </c>
      <c r="P81" s="87">
        <v>3995396</v>
      </c>
      <c r="Q81" s="86">
        <v>368440</v>
      </c>
      <c r="R81" s="86">
        <v>2228511</v>
      </c>
      <c r="S81" s="85">
        <v>588216</v>
      </c>
      <c r="T81" s="85">
        <v>134978</v>
      </c>
      <c r="U81" s="85">
        <v>383166</v>
      </c>
      <c r="V81" s="84">
        <v>660525</v>
      </c>
      <c r="W81" s="84">
        <v>3995396</v>
      </c>
    </row>
    <row r="82" spans="1:23" x14ac:dyDescent="0.2">
      <c r="A82" s="57" t="s">
        <v>32</v>
      </c>
      <c r="B82" s="95" t="s">
        <v>98</v>
      </c>
      <c r="C82" s="95" t="s">
        <v>331</v>
      </c>
      <c r="D82" s="95" t="s">
        <v>332</v>
      </c>
      <c r="E82" s="92" t="s">
        <v>781</v>
      </c>
      <c r="F82" s="94" t="s">
        <v>333</v>
      </c>
      <c r="G82" s="93" t="s">
        <v>334</v>
      </c>
      <c r="H82" s="92" t="s">
        <v>779</v>
      </c>
      <c r="I82" s="91">
        <v>52</v>
      </c>
      <c r="J82" s="88">
        <v>52000</v>
      </c>
      <c r="K82" s="90">
        <v>0</v>
      </c>
      <c r="L82" s="89">
        <v>0</v>
      </c>
      <c r="M82" s="88">
        <v>0</v>
      </c>
      <c r="N82" s="88">
        <v>3880998</v>
      </c>
      <c r="O82" s="88">
        <v>269441</v>
      </c>
      <c r="P82" s="87">
        <v>321441</v>
      </c>
      <c r="Q82" s="86">
        <v>26944</v>
      </c>
      <c r="R82" s="86">
        <v>179290</v>
      </c>
      <c r="S82" s="85">
        <v>47324</v>
      </c>
      <c r="T82" s="85">
        <v>10859</v>
      </c>
      <c r="U82" s="85">
        <v>30827</v>
      </c>
      <c r="V82" s="84">
        <v>53141</v>
      </c>
      <c r="W82" s="84">
        <v>321441</v>
      </c>
    </row>
    <row r="83" spans="1:23" x14ac:dyDescent="0.2">
      <c r="A83" s="57" t="s">
        <v>32</v>
      </c>
      <c r="B83" s="95" t="s">
        <v>101</v>
      </c>
      <c r="C83" s="95" t="s">
        <v>26</v>
      </c>
      <c r="D83" s="95" t="s">
        <v>27</v>
      </c>
      <c r="E83" s="95" t="s">
        <v>27</v>
      </c>
      <c r="F83" s="94" t="s">
        <v>101</v>
      </c>
      <c r="G83" s="93" t="s">
        <v>102</v>
      </c>
      <c r="H83" s="92" t="s">
        <v>778</v>
      </c>
      <c r="I83" s="91">
        <v>781</v>
      </c>
      <c r="J83" s="88">
        <v>781000</v>
      </c>
      <c r="K83" s="90">
        <v>0</v>
      </c>
      <c r="L83" s="89">
        <v>0</v>
      </c>
      <c r="M83" s="88">
        <v>0</v>
      </c>
      <c r="N83" s="88">
        <v>321606645</v>
      </c>
      <c r="O83" s="88">
        <v>22327780</v>
      </c>
      <c r="P83" s="87">
        <v>23108780</v>
      </c>
      <c r="Q83" s="86">
        <v>2232778</v>
      </c>
      <c r="R83" s="86">
        <v>12889373</v>
      </c>
      <c r="S83" s="85">
        <v>3402157</v>
      </c>
      <c r="T83" s="85">
        <v>780694</v>
      </c>
      <c r="U83" s="85">
        <v>2216174</v>
      </c>
      <c r="V83" s="84">
        <v>3820382</v>
      </c>
      <c r="W83" s="84">
        <v>23108780</v>
      </c>
    </row>
    <row r="84" spans="1:23" x14ac:dyDescent="0.2">
      <c r="A84" s="57" t="s">
        <v>32</v>
      </c>
      <c r="B84" s="95" t="s">
        <v>104</v>
      </c>
      <c r="C84" s="95" t="s">
        <v>26</v>
      </c>
      <c r="D84" s="95" t="s">
        <v>27</v>
      </c>
      <c r="E84" s="95" t="s">
        <v>27</v>
      </c>
      <c r="F84" s="94" t="s">
        <v>104</v>
      </c>
      <c r="G84" s="93" t="s">
        <v>105</v>
      </c>
      <c r="H84" s="92" t="s">
        <v>778</v>
      </c>
      <c r="I84" s="91">
        <v>28</v>
      </c>
      <c r="J84" s="88">
        <v>28000</v>
      </c>
      <c r="K84" s="90">
        <v>0</v>
      </c>
      <c r="L84" s="89">
        <v>0</v>
      </c>
      <c r="M84" s="88">
        <v>0</v>
      </c>
      <c r="N84" s="88">
        <v>49035195</v>
      </c>
      <c r="O84" s="88">
        <v>3404305</v>
      </c>
      <c r="P84" s="87">
        <v>3432305</v>
      </c>
      <c r="Q84" s="86">
        <v>340431</v>
      </c>
      <c r="R84" s="86">
        <v>1914436</v>
      </c>
      <c r="S84" s="85">
        <v>505316</v>
      </c>
      <c r="T84" s="85">
        <v>115955</v>
      </c>
      <c r="U84" s="85">
        <v>329164</v>
      </c>
      <c r="V84" s="84">
        <v>567434</v>
      </c>
      <c r="W84" s="84">
        <v>3432305</v>
      </c>
    </row>
    <row r="85" spans="1:23" x14ac:dyDescent="0.2">
      <c r="A85" s="57" t="s">
        <v>32</v>
      </c>
      <c r="B85" s="95" t="s">
        <v>107</v>
      </c>
      <c r="C85" s="95" t="s">
        <v>26</v>
      </c>
      <c r="D85" s="95" t="s">
        <v>27</v>
      </c>
      <c r="E85" s="95" t="s">
        <v>27</v>
      </c>
      <c r="F85" s="94" t="s">
        <v>107</v>
      </c>
      <c r="G85" s="93" t="s">
        <v>108</v>
      </c>
      <c r="H85" s="92" t="s">
        <v>778</v>
      </c>
      <c r="I85" s="91">
        <v>0</v>
      </c>
      <c r="J85" s="88">
        <v>0</v>
      </c>
      <c r="K85" s="90">
        <v>0</v>
      </c>
      <c r="L85" s="89">
        <v>0</v>
      </c>
      <c r="M85" s="88">
        <v>0</v>
      </c>
      <c r="N85" s="88">
        <v>4485240</v>
      </c>
      <c r="O85" s="88">
        <v>311391</v>
      </c>
      <c r="P85" s="87">
        <v>311391</v>
      </c>
      <c r="Q85" s="86">
        <v>31139</v>
      </c>
      <c r="R85" s="86">
        <v>173684</v>
      </c>
      <c r="S85" s="85">
        <v>45844</v>
      </c>
      <c r="T85" s="85">
        <v>10520</v>
      </c>
      <c r="U85" s="85">
        <v>29863</v>
      </c>
      <c r="V85" s="84">
        <v>51480</v>
      </c>
      <c r="W85" s="84">
        <v>311391</v>
      </c>
    </row>
    <row r="86" spans="1:23" x14ac:dyDescent="0.2">
      <c r="A86" s="57" t="s">
        <v>32</v>
      </c>
      <c r="B86" s="95" t="s">
        <v>110</v>
      </c>
      <c r="C86" s="95" t="s">
        <v>26</v>
      </c>
      <c r="D86" s="95" t="s">
        <v>27</v>
      </c>
      <c r="E86" s="95" t="s">
        <v>27</v>
      </c>
      <c r="F86" s="94" t="s">
        <v>110</v>
      </c>
      <c r="G86" s="93" t="s">
        <v>111</v>
      </c>
      <c r="H86" s="92" t="s">
        <v>778</v>
      </c>
      <c r="I86" s="91">
        <v>6315</v>
      </c>
      <c r="J86" s="88">
        <v>6315000</v>
      </c>
      <c r="K86" s="90">
        <v>0</v>
      </c>
      <c r="L86" s="89">
        <v>0</v>
      </c>
      <c r="M86" s="88">
        <v>0</v>
      </c>
      <c r="N86" s="88">
        <v>1030209710</v>
      </c>
      <c r="O86" s="88">
        <v>71523075</v>
      </c>
      <c r="P86" s="87">
        <v>77838075</v>
      </c>
      <c r="Q86" s="86">
        <v>7152308</v>
      </c>
      <c r="R86" s="86">
        <v>43415709</v>
      </c>
      <c r="S86" s="85">
        <v>11459599</v>
      </c>
      <c r="T86" s="85">
        <v>2629636</v>
      </c>
      <c r="U86" s="85">
        <v>7464812</v>
      </c>
      <c r="V86" s="84">
        <v>12868319</v>
      </c>
      <c r="W86" s="84">
        <v>77838075</v>
      </c>
    </row>
    <row r="87" spans="1:23" x14ac:dyDescent="0.2">
      <c r="A87" s="57" t="s">
        <v>32</v>
      </c>
      <c r="B87" s="95" t="s">
        <v>110</v>
      </c>
      <c r="C87" s="95" t="s">
        <v>321</v>
      </c>
      <c r="D87" s="95" t="s">
        <v>322</v>
      </c>
      <c r="E87" s="92" t="s">
        <v>781</v>
      </c>
      <c r="F87" s="94" t="s">
        <v>323</v>
      </c>
      <c r="G87" s="93" t="s">
        <v>324</v>
      </c>
      <c r="H87" s="92" t="s">
        <v>779</v>
      </c>
      <c r="I87" s="91">
        <v>0</v>
      </c>
      <c r="J87" s="88">
        <v>0</v>
      </c>
      <c r="K87" s="90">
        <v>0</v>
      </c>
      <c r="L87" s="89">
        <v>0</v>
      </c>
      <c r="M87" s="88">
        <v>0</v>
      </c>
      <c r="N87" s="88">
        <v>2826672</v>
      </c>
      <c r="O87" s="88">
        <v>196244</v>
      </c>
      <c r="P87" s="87">
        <v>196244</v>
      </c>
      <c r="Q87" s="86">
        <v>19624</v>
      </c>
      <c r="R87" s="86">
        <v>109459</v>
      </c>
      <c r="S87" s="85">
        <v>28892</v>
      </c>
      <c r="T87" s="85">
        <v>6630</v>
      </c>
      <c r="U87" s="85">
        <v>18820</v>
      </c>
      <c r="V87" s="84">
        <v>32443</v>
      </c>
      <c r="W87" s="84">
        <v>196244</v>
      </c>
    </row>
    <row r="88" spans="1:23" ht="30" x14ac:dyDescent="0.2">
      <c r="A88" s="57" t="s">
        <v>32</v>
      </c>
      <c r="B88" s="95" t="s">
        <v>110</v>
      </c>
      <c r="C88" s="95" t="s">
        <v>326</v>
      </c>
      <c r="D88" s="95" t="s">
        <v>327</v>
      </c>
      <c r="E88" s="92" t="s">
        <v>781</v>
      </c>
      <c r="F88" s="94" t="s">
        <v>328</v>
      </c>
      <c r="G88" s="93" t="s">
        <v>329</v>
      </c>
      <c r="H88" s="92" t="s">
        <v>779</v>
      </c>
      <c r="I88" s="91">
        <v>6</v>
      </c>
      <c r="J88" s="88">
        <v>6000</v>
      </c>
      <c r="K88" s="90">
        <v>0</v>
      </c>
      <c r="L88" s="89">
        <v>0</v>
      </c>
      <c r="M88" s="88">
        <v>0</v>
      </c>
      <c r="N88" s="88">
        <v>2820992</v>
      </c>
      <c r="O88" s="88">
        <v>195849</v>
      </c>
      <c r="P88" s="87">
        <v>201849</v>
      </c>
      <c r="Q88" s="86">
        <v>19585</v>
      </c>
      <c r="R88" s="86">
        <v>112585</v>
      </c>
      <c r="S88" s="85">
        <v>29717</v>
      </c>
      <c r="T88" s="85">
        <v>6819</v>
      </c>
      <c r="U88" s="85">
        <v>19358</v>
      </c>
      <c r="V88" s="84">
        <v>33370</v>
      </c>
      <c r="W88" s="84">
        <v>201849</v>
      </c>
    </row>
    <row r="89" spans="1:23" x14ac:dyDescent="0.2">
      <c r="A89" s="57" t="s">
        <v>32</v>
      </c>
      <c r="B89" s="95" t="s">
        <v>110</v>
      </c>
      <c r="C89" s="95" t="s">
        <v>346</v>
      </c>
      <c r="D89" s="95" t="s">
        <v>347</v>
      </c>
      <c r="E89" s="92" t="s">
        <v>781</v>
      </c>
      <c r="F89" s="94" t="s">
        <v>348</v>
      </c>
      <c r="G89" s="93" t="s">
        <v>349</v>
      </c>
      <c r="H89" s="92" t="s">
        <v>779</v>
      </c>
      <c r="I89" s="91">
        <v>8</v>
      </c>
      <c r="J89" s="88">
        <v>8000</v>
      </c>
      <c r="K89" s="90">
        <v>0</v>
      </c>
      <c r="L89" s="89">
        <v>0</v>
      </c>
      <c r="M89" s="88">
        <v>0</v>
      </c>
      <c r="N89" s="88">
        <v>3808577</v>
      </c>
      <c r="O89" s="88">
        <v>264413</v>
      </c>
      <c r="P89" s="87">
        <v>272413</v>
      </c>
      <c r="Q89" s="86">
        <v>26441</v>
      </c>
      <c r="R89" s="86">
        <v>151943</v>
      </c>
      <c r="S89" s="85">
        <v>40106</v>
      </c>
      <c r="T89" s="85">
        <v>9203</v>
      </c>
      <c r="U89" s="85">
        <v>26125</v>
      </c>
      <c r="V89" s="84">
        <v>45036</v>
      </c>
      <c r="W89" s="84">
        <v>272413</v>
      </c>
    </row>
    <row r="90" spans="1:23" x14ac:dyDescent="0.2">
      <c r="A90" s="57" t="s">
        <v>32</v>
      </c>
      <c r="B90" s="95" t="s">
        <v>110</v>
      </c>
      <c r="C90" s="95" t="s">
        <v>356</v>
      </c>
      <c r="D90" s="95" t="s">
        <v>357</v>
      </c>
      <c r="E90" s="92" t="s">
        <v>781</v>
      </c>
      <c r="F90" s="94" t="s">
        <v>358</v>
      </c>
      <c r="G90" s="93" t="s">
        <v>359</v>
      </c>
      <c r="H90" s="92" t="s">
        <v>779</v>
      </c>
      <c r="I90" s="91">
        <v>11</v>
      </c>
      <c r="J90" s="88">
        <v>11000</v>
      </c>
      <c r="K90" s="90">
        <v>0</v>
      </c>
      <c r="L90" s="89">
        <v>0</v>
      </c>
      <c r="M90" s="88">
        <v>0</v>
      </c>
      <c r="N90" s="88">
        <v>1994689</v>
      </c>
      <c r="O90" s="88">
        <v>138483</v>
      </c>
      <c r="P90" s="87">
        <v>149483</v>
      </c>
      <c r="Q90" s="86">
        <v>13848</v>
      </c>
      <c r="R90" s="86">
        <v>83377</v>
      </c>
      <c r="S90" s="85">
        <v>22007</v>
      </c>
      <c r="T90" s="85">
        <v>5050</v>
      </c>
      <c r="U90" s="85">
        <v>14336</v>
      </c>
      <c r="V90" s="84">
        <v>24713</v>
      </c>
      <c r="W90" s="84">
        <v>149483</v>
      </c>
    </row>
    <row r="91" spans="1:23" x14ac:dyDescent="0.2">
      <c r="A91" s="57" t="s">
        <v>32</v>
      </c>
      <c r="B91" s="95" t="s">
        <v>110</v>
      </c>
      <c r="C91" s="95" t="s">
        <v>361</v>
      </c>
      <c r="D91" s="95" t="s">
        <v>362</v>
      </c>
      <c r="E91" s="92" t="s">
        <v>781</v>
      </c>
      <c r="F91" s="94" t="s">
        <v>363</v>
      </c>
      <c r="G91" s="93" t="s">
        <v>364</v>
      </c>
      <c r="H91" s="92" t="s">
        <v>779</v>
      </c>
      <c r="I91" s="91">
        <v>1</v>
      </c>
      <c r="J91" s="88">
        <v>1000</v>
      </c>
      <c r="K91" s="90">
        <v>0</v>
      </c>
      <c r="L91" s="89">
        <v>0</v>
      </c>
      <c r="M91" s="88">
        <v>0</v>
      </c>
      <c r="N91" s="88">
        <v>2743608</v>
      </c>
      <c r="O91" s="88">
        <v>190477</v>
      </c>
      <c r="P91" s="87">
        <v>191477</v>
      </c>
      <c r="Q91" s="86">
        <v>19048</v>
      </c>
      <c r="R91" s="86">
        <v>106800</v>
      </c>
      <c r="S91" s="85">
        <v>28190</v>
      </c>
      <c r="T91" s="85">
        <v>6469</v>
      </c>
      <c r="U91" s="85">
        <v>18363</v>
      </c>
      <c r="V91" s="84">
        <v>31655</v>
      </c>
      <c r="W91" s="84">
        <v>191477</v>
      </c>
    </row>
    <row r="92" spans="1:23" x14ac:dyDescent="0.2">
      <c r="A92" s="57" t="s">
        <v>32</v>
      </c>
      <c r="B92" s="95" t="s">
        <v>110</v>
      </c>
      <c r="C92" s="95" t="s">
        <v>341</v>
      </c>
      <c r="D92" s="95" t="s">
        <v>342</v>
      </c>
      <c r="E92" s="92" t="s">
        <v>781</v>
      </c>
      <c r="F92" s="94" t="s">
        <v>343</v>
      </c>
      <c r="G92" s="93" t="s">
        <v>344</v>
      </c>
      <c r="H92" s="92" t="s">
        <v>779</v>
      </c>
      <c r="I92" s="91">
        <v>0</v>
      </c>
      <c r="J92" s="88">
        <v>0</v>
      </c>
      <c r="K92" s="90">
        <v>0</v>
      </c>
      <c r="L92" s="89">
        <v>0</v>
      </c>
      <c r="M92" s="88">
        <v>0</v>
      </c>
      <c r="N92" s="88">
        <v>3874751</v>
      </c>
      <c r="O92" s="88">
        <v>269007</v>
      </c>
      <c r="P92" s="87">
        <v>269007</v>
      </c>
      <c r="Q92" s="86">
        <v>26901</v>
      </c>
      <c r="R92" s="86">
        <v>150044</v>
      </c>
      <c r="S92" s="85">
        <v>39604</v>
      </c>
      <c r="T92" s="85">
        <v>9088</v>
      </c>
      <c r="U92" s="85">
        <v>25798</v>
      </c>
      <c r="V92" s="84">
        <v>44473</v>
      </c>
      <c r="W92" s="84">
        <v>269007</v>
      </c>
    </row>
    <row r="93" spans="1:23" ht="30" x14ac:dyDescent="0.2">
      <c r="A93" s="57" t="s">
        <v>32</v>
      </c>
      <c r="B93" s="95" t="s">
        <v>110</v>
      </c>
      <c r="C93" s="95" t="s">
        <v>386</v>
      </c>
      <c r="D93" s="95" t="s">
        <v>387</v>
      </c>
      <c r="E93" s="92" t="s">
        <v>781</v>
      </c>
      <c r="F93" s="94" t="s">
        <v>388</v>
      </c>
      <c r="G93" s="93" t="s">
        <v>818</v>
      </c>
      <c r="H93" s="92" t="s">
        <v>779</v>
      </c>
      <c r="I93" s="91">
        <v>1</v>
      </c>
      <c r="J93" s="88">
        <v>1000</v>
      </c>
      <c r="K93" s="90">
        <v>0</v>
      </c>
      <c r="L93" s="89">
        <v>0</v>
      </c>
      <c r="M93" s="88">
        <v>0</v>
      </c>
      <c r="N93" s="88">
        <v>2488515</v>
      </c>
      <c r="O93" s="88">
        <v>172767</v>
      </c>
      <c r="P93" s="87">
        <v>173767</v>
      </c>
      <c r="Q93" s="86">
        <v>17277</v>
      </c>
      <c r="R93" s="86">
        <v>96922</v>
      </c>
      <c r="S93" s="85">
        <v>25583</v>
      </c>
      <c r="T93" s="85">
        <v>5870</v>
      </c>
      <c r="U93" s="85">
        <v>16665</v>
      </c>
      <c r="V93" s="84">
        <v>28727</v>
      </c>
      <c r="W93" s="84">
        <v>173767</v>
      </c>
    </row>
    <row r="94" spans="1:23" ht="30" x14ac:dyDescent="0.2">
      <c r="A94" s="57" t="s">
        <v>32</v>
      </c>
      <c r="B94" s="95" t="s">
        <v>110</v>
      </c>
      <c r="C94" s="95" t="s">
        <v>381</v>
      </c>
      <c r="D94" s="95" t="s">
        <v>382</v>
      </c>
      <c r="E94" s="92" t="s">
        <v>781</v>
      </c>
      <c r="F94" s="94" t="s">
        <v>383</v>
      </c>
      <c r="G94" s="93" t="s">
        <v>384</v>
      </c>
      <c r="H94" s="92" t="s">
        <v>779</v>
      </c>
      <c r="I94" s="91">
        <v>11</v>
      </c>
      <c r="J94" s="88">
        <v>11000</v>
      </c>
      <c r="K94" s="90">
        <v>0</v>
      </c>
      <c r="L94" s="89">
        <v>0</v>
      </c>
      <c r="M94" s="88">
        <v>0</v>
      </c>
      <c r="N94" s="88">
        <v>3600296</v>
      </c>
      <c r="O94" s="88">
        <v>249953</v>
      </c>
      <c r="P94" s="87">
        <v>260953</v>
      </c>
      <c r="Q94" s="86">
        <v>24995</v>
      </c>
      <c r="R94" s="86">
        <v>145552</v>
      </c>
      <c r="S94" s="85">
        <v>38418</v>
      </c>
      <c r="T94" s="85">
        <v>8816</v>
      </c>
      <c r="U94" s="85">
        <v>25026</v>
      </c>
      <c r="V94" s="84">
        <v>43141</v>
      </c>
      <c r="W94" s="84">
        <v>260953</v>
      </c>
    </row>
    <row r="95" spans="1:23" ht="30" x14ac:dyDescent="0.2">
      <c r="A95" s="57" t="s">
        <v>32</v>
      </c>
      <c r="B95" s="95" t="s">
        <v>110</v>
      </c>
      <c r="C95" s="95" t="s">
        <v>411</v>
      </c>
      <c r="D95" s="95" t="s">
        <v>412</v>
      </c>
      <c r="E95" s="92" t="s">
        <v>781</v>
      </c>
      <c r="F95" s="94" t="s">
        <v>413</v>
      </c>
      <c r="G95" s="93" t="s">
        <v>414</v>
      </c>
      <c r="H95" s="92" t="s">
        <v>779</v>
      </c>
      <c r="I95" s="91">
        <v>3</v>
      </c>
      <c r="J95" s="88">
        <v>3000</v>
      </c>
      <c r="K95" s="90">
        <v>0</v>
      </c>
      <c r="L95" s="89">
        <v>0</v>
      </c>
      <c r="M95" s="88">
        <v>0</v>
      </c>
      <c r="N95" s="88">
        <v>5160990</v>
      </c>
      <c r="O95" s="88">
        <v>358306</v>
      </c>
      <c r="P95" s="87">
        <v>361306</v>
      </c>
      <c r="Q95" s="86">
        <v>35831</v>
      </c>
      <c r="R95" s="86">
        <v>201525</v>
      </c>
      <c r="S95" s="85">
        <v>53193</v>
      </c>
      <c r="T95" s="85">
        <v>12206</v>
      </c>
      <c r="U95" s="85">
        <v>34650</v>
      </c>
      <c r="V95" s="84">
        <v>59732</v>
      </c>
      <c r="W95" s="84">
        <v>361306</v>
      </c>
    </row>
    <row r="96" spans="1:23" ht="30" x14ac:dyDescent="0.2">
      <c r="A96" s="57" t="s">
        <v>32</v>
      </c>
      <c r="B96" s="95" t="s">
        <v>110</v>
      </c>
      <c r="C96" s="95" t="s">
        <v>406</v>
      </c>
      <c r="D96" s="95" t="s">
        <v>407</v>
      </c>
      <c r="E96" s="92" t="s">
        <v>781</v>
      </c>
      <c r="F96" s="94" t="s">
        <v>408</v>
      </c>
      <c r="G96" s="93" t="s">
        <v>409</v>
      </c>
      <c r="H96" s="92" t="s">
        <v>779</v>
      </c>
      <c r="I96" s="91">
        <v>1</v>
      </c>
      <c r="J96" s="88">
        <v>1000</v>
      </c>
      <c r="K96" s="90">
        <v>0</v>
      </c>
      <c r="L96" s="89">
        <v>0</v>
      </c>
      <c r="M96" s="88">
        <v>0</v>
      </c>
      <c r="N96" s="88">
        <v>3303883</v>
      </c>
      <c r="O96" s="88">
        <v>229375</v>
      </c>
      <c r="P96" s="87">
        <v>230375</v>
      </c>
      <c r="Q96" s="86">
        <v>22938</v>
      </c>
      <c r="R96" s="86">
        <v>128496</v>
      </c>
      <c r="S96" s="85">
        <v>33917</v>
      </c>
      <c r="T96" s="85">
        <v>7783</v>
      </c>
      <c r="U96" s="85">
        <v>22093</v>
      </c>
      <c r="V96" s="84">
        <v>38086</v>
      </c>
      <c r="W96" s="84">
        <v>230375</v>
      </c>
    </row>
    <row r="97" spans="1:23" ht="30" x14ac:dyDescent="0.2">
      <c r="A97" s="57" t="s">
        <v>32</v>
      </c>
      <c r="B97" s="95" t="s">
        <v>110</v>
      </c>
      <c r="C97" s="95" t="s">
        <v>416</v>
      </c>
      <c r="D97" s="95" t="s">
        <v>417</v>
      </c>
      <c r="E97" s="92" t="s">
        <v>781</v>
      </c>
      <c r="F97" s="94" t="s">
        <v>418</v>
      </c>
      <c r="G97" s="93" t="s">
        <v>817</v>
      </c>
      <c r="H97" s="92" t="s">
        <v>779</v>
      </c>
      <c r="I97" s="91">
        <v>0</v>
      </c>
      <c r="J97" s="88">
        <v>0</v>
      </c>
      <c r="K97" s="90">
        <v>0</v>
      </c>
      <c r="L97" s="89">
        <v>0</v>
      </c>
      <c r="M97" s="88">
        <v>0</v>
      </c>
      <c r="N97" s="88">
        <v>6458665</v>
      </c>
      <c r="O97" s="88">
        <v>448398</v>
      </c>
      <c r="P97" s="87">
        <v>448398</v>
      </c>
      <c r="Q97" s="86">
        <v>44840</v>
      </c>
      <c r="R97" s="86">
        <v>250103</v>
      </c>
      <c r="S97" s="85">
        <v>66015</v>
      </c>
      <c r="T97" s="85">
        <v>15148</v>
      </c>
      <c r="U97" s="85">
        <v>43002</v>
      </c>
      <c r="V97" s="84">
        <v>74130</v>
      </c>
      <c r="W97" s="84">
        <v>448398</v>
      </c>
    </row>
    <row r="98" spans="1:23" x14ac:dyDescent="0.2">
      <c r="A98" s="57" t="s">
        <v>32</v>
      </c>
      <c r="B98" s="95" t="s">
        <v>110</v>
      </c>
      <c r="C98" s="95" t="s">
        <v>441</v>
      </c>
      <c r="D98" s="95" t="s">
        <v>442</v>
      </c>
      <c r="E98" s="92" t="s">
        <v>781</v>
      </c>
      <c r="F98" s="94" t="s">
        <v>443</v>
      </c>
      <c r="G98" s="93" t="s">
        <v>444</v>
      </c>
      <c r="H98" s="92" t="s">
        <v>779</v>
      </c>
      <c r="I98" s="91">
        <v>0</v>
      </c>
      <c r="J98" s="88">
        <v>0</v>
      </c>
      <c r="K98" s="90">
        <v>0</v>
      </c>
      <c r="L98" s="89">
        <v>0</v>
      </c>
      <c r="M98" s="88">
        <v>0</v>
      </c>
      <c r="N98" s="88">
        <v>3413314</v>
      </c>
      <c r="O98" s="88">
        <v>236972</v>
      </c>
      <c r="P98" s="87">
        <v>236972</v>
      </c>
      <c r="Q98" s="86">
        <v>23697</v>
      </c>
      <c r="R98" s="86">
        <v>132175</v>
      </c>
      <c r="S98" s="85">
        <v>34888</v>
      </c>
      <c r="T98" s="85">
        <v>8006</v>
      </c>
      <c r="U98" s="85">
        <v>22726</v>
      </c>
      <c r="V98" s="84">
        <v>39177</v>
      </c>
      <c r="W98" s="84">
        <v>236972</v>
      </c>
    </row>
    <row r="99" spans="1:23" x14ac:dyDescent="0.2">
      <c r="A99" s="57" t="s">
        <v>32</v>
      </c>
      <c r="B99" s="95" t="s">
        <v>110</v>
      </c>
      <c r="C99" s="95" t="s">
        <v>436</v>
      </c>
      <c r="D99" s="95" t="s">
        <v>437</v>
      </c>
      <c r="E99" s="92" t="s">
        <v>781</v>
      </c>
      <c r="F99" s="94" t="s">
        <v>438</v>
      </c>
      <c r="G99" s="93" t="s">
        <v>439</v>
      </c>
      <c r="H99" s="92" t="s">
        <v>779</v>
      </c>
      <c r="I99" s="91">
        <v>12</v>
      </c>
      <c r="J99" s="88">
        <v>12000</v>
      </c>
      <c r="K99" s="90">
        <v>0</v>
      </c>
      <c r="L99" s="89">
        <v>0</v>
      </c>
      <c r="M99" s="88">
        <v>0</v>
      </c>
      <c r="N99" s="88">
        <v>3318477</v>
      </c>
      <c r="O99" s="88">
        <v>230388</v>
      </c>
      <c r="P99" s="87">
        <v>242388</v>
      </c>
      <c r="Q99" s="86">
        <v>23039</v>
      </c>
      <c r="R99" s="86">
        <v>135197</v>
      </c>
      <c r="S99" s="85">
        <v>35685</v>
      </c>
      <c r="T99" s="85">
        <v>8189</v>
      </c>
      <c r="U99" s="85">
        <v>23245</v>
      </c>
      <c r="V99" s="84">
        <v>40072</v>
      </c>
      <c r="W99" s="84">
        <v>242388</v>
      </c>
    </row>
    <row r="100" spans="1:23" x14ac:dyDescent="0.2">
      <c r="A100" s="57" t="s">
        <v>32</v>
      </c>
      <c r="B100" s="95" t="s">
        <v>110</v>
      </c>
      <c r="C100" s="95" t="s">
        <v>456</v>
      </c>
      <c r="D100" s="95" t="s">
        <v>457</v>
      </c>
      <c r="E100" s="92" t="s">
        <v>781</v>
      </c>
      <c r="F100" s="94" t="s">
        <v>458</v>
      </c>
      <c r="G100" s="93" t="s">
        <v>459</v>
      </c>
      <c r="H100" s="92" t="s">
        <v>779</v>
      </c>
      <c r="I100" s="91">
        <v>15</v>
      </c>
      <c r="J100" s="88">
        <v>15000</v>
      </c>
      <c r="K100" s="90">
        <v>0</v>
      </c>
      <c r="L100" s="89">
        <v>0</v>
      </c>
      <c r="M100" s="88">
        <v>0</v>
      </c>
      <c r="N100" s="88">
        <v>13482621</v>
      </c>
      <c r="O100" s="88">
        <v>936041</v>
      </c>
      <c r="P100" s="87">
        <v>951041</v>
      </c>
      <c r="Q100" s="86">
        <v>93604</v>
      </c>
      <c r="R100" s="86">
        <v>530461</v>
      </c>
      <c r="S100" s="85">
        <v>140016</v>
      </c>
      <c r="T100" s="85">
        <v>32129</v>
      </c>
      <c r="U100" s="85">
        <v>91207</v>
      </c>
      <c r="V100" s="84">
        <v>157228</v>
      </c>
      <c r="W100" s="84">
        <v>951041</v>
      </c>
    </row>
    <row r="101" spans="1:23" x14ac:dyDescent="0.2">
      <c r="A101" s="57" t="s">
        <v>32</v>
      </c>
      <c r="B101" s="95" t="s">
        <v>110</v>
      </c>
      <c r="C101" s="95" t="s">
        <v>466</v>
      </c>
      <c r="D101" s="95" t="s">
        <v>467</v>
      </c>
      <c r="E101" s="92" t="s">
        <v>781</v>
      </c>
      <c r="F101" s="94" t="s">
        <v>468</v>
      </c>
      <c r="G101" s="93" t="s">
        <v>469</v>
      </c>
      <c r="H101" s="92" t="s">
        <v>779</v>
      </c>
      <c r="I101" s="91">
        <v>15</v>
      </c>
      <c r="J101" s="88">
        <v>15000</v>
      </c>
      <c r="K101" s="90">
        <v>0</v>
      </c>
      <c r="L101" s="89">
        <v>0</v>
      </c>
      <c r="M101" s="88">
        <v>0</v>
      </c>
      <c r="N101" s="88">
        <v>3851902</v>
      </c>
      <c r="O101" s="88">
        <v>267421</v>
      </c>
      <c r="P101" s="87">
        <v>282421</v>
      </c>
      <c r="Q101" s="86">
        <v>26742</v>
      </c>
      <c r="R101" s="86">
        <v>157526</v>
      </c>
      <c r="S101" s="85">
        <v>41579</v>
      </c>
      <c r="T101" s="85">
        <v>9541</v>
      </c>
      <c r="U101" s="85">
        <v>27085</v>
      </c>
      <c r="V101" s="84">
        <v>46690</v>
      </c>
      <c r="W101" s="84">
        <v>282421</v>
      </c>
    </row>
    <row r="102" spans="1:23" ht="30" x14ac:dyDescent="0.2">
      <c r="A102" s="57" t="s">
        <v>32</v>
      </c>
      <c r="B102" s="95" t="s">
        <v>110</v>
      </c>
      <c r="C102" s="95" t="s">
        <v>471</v>
      </c>
      <c r="D102" s="95" t="s">
        <v>472</v>
      </c>
      <c r="E102" s="92" t="s">
        <v>781</v>
      </c>
      <c r="F102" s="94" t="s">
        <v>473</v>
      </c>
      <c r="G102" s="93" t="s">
        <v>474</v>
      </c>
      <c r="H102" s="92" t="s">
        <v>779</v>
      </c>
      <c r="I102" s="91">
        <v>0</v>
      </c>
      <c r="J102" s="88">
        <v>0</v>
      </c>
      <c r="K102" s="90">
        <v>0</v>
      </c>
      <c r="L102" s="89">
        <v>0</v>
      </c>
      <c r="M102" s="88">
        <v>0</v>
      </c>
      <c r="N102" s="88">
        <v>1884785</v>
      </c>
      <c r="O102" s="88">
        <v>130853</v>
      </c>
      <c r="P102" s="87">
        <v>130853</v>
      </c>
      <c r="Q102" s="86">
        <v>13085</v>
      </c>
      <c r="R102" s="86">
        <v>72985</v>
      </c>
      <c r="S102" s="85">
        <v>19265</v>
      </c>
      <c r="T102" s="85">
        <v>4421</v>
      </c>
      <c r="U102" s="85">
        <v>12549</v>
      </c>
      <c r="V102" s="84">
        <v>21633</v>
      </c>
      <c r="W102" s="84">
        <v>130853</v>
      </c>
    </row>
    <row r="103" spans="1:23" x14ac:dyDescent="0.2">
      <c r="A103" s="57" t="s">
        <v>32</v>
      </c>
      <c r="B103" s="95" t="s">
        <v>110</v>
      </c>
      <c r="C103" s="95" t="s">
        <v>486</v>
      </c>
      <c r="D103" s="95" t="s">
        <v>487</v>
      </c>
      <c r="E103" s="92" t="s">
        <v>781</v>
      </c>
      <c r="F103" s="94" t="s">
        <v>488</v>
      </c>
      <c r="G103" s="93" t="s">
        <v>489</v>
      </c>
      <c r="H103" s="92" t="s">
        <v>779</v>
      </c>
      <c r="I103" s="91">
        <v>0</v>
      </c>
      <c r="J103" s="88">
        <v>0</v>
      </c>
      <c r="K103" s="90">
        <v>0</v>
      </c>
      <c r="L103" s="89">
        <v>0</v>
      </c>
      <c r="M103" s="88">
        <v>0</v>
      </c>
      <c r="N103" s="88">
        <v>2142330</v>
      </c>
      <c r="O103" s="88">
        <v>148733</v>
      </c>
      <c r="P103" s="87">
        <v>148733</v>
      </c>
      <c r="Q103" s="86">
        <v>14873</v>
      </c>
      <c r="R103" s="86">
        <v>82958</v>
      </c>
      <c r="S103" s="85">
        <v>21897</v>
      </c>
      <c r="T103" s="85">
        <v>5025</v>
      </c>
      <c r="U103" s="85">
        <v>14264</v>
      </c>
      <c r="V103" s="84">
        <v>24589</v>
      </c>
      <c r="W103" s="84">
        <v>148733</v>
      </c>
    </row>
    <row r="104" spans="1:23" x14ac:dyDescent="0.2">
      <c r="A104" s="57" t="s">
        <v>32</v>
      </c>
      <c r="B104" s="95" t="s">
        <v>110</v>
      </c>
      <c r="C104" s="95" t="s">
        <v>505</v>
      </c>
      <c r="D104" s="95" t="s">
        <v>506</v>
      </c>
      <c r="E104" s="92" t="s">
        <v>781</v>
      </c>
      <c r="F104" s="94" t="s">
        <v>507</v>
      </c>
      <c r="G104" s="93" t="s">
        <v>508</v>
      </c>
      <c r="H104" s="92" t="s">
        <v>779</v>
      </c>
      <c r="I104" s="91">
        <v>0</v>
      </c>
      <c r="J104" s="88">
        <v>0</v>
      </c>
      <c r="K104" s="90">
        <v>0</v>
      </c>
      <c r="L104" s="89">
        <v>0</v>
      </c>
      <c r="M104" s="88">
        <v>0</v>
      </c>
      <c r="N104" s="88">
        <v>1358476</v>
      </c>
      <c r="O104" s="88">
        <v>94313</v>
      </c>
      <c r="P104" s="87">
        <v>94313</v>
      </c>
      <c r="Q104" s="86">
        <v>9431</v>
      </c>
      <c r="R104" s="86">
        <v>52605</v>
      </c>
      <c r="S104" s="85">
        <v>13885</v>
      </c>
      <c r="T104" s="85">
        <v>3186</v>
      </c>
      <c r="U104" s="85">
        <v>9045</v>
      </c>
      <c r="V104" s="84">
        <v>15592</v>
      </c>
      <c r="W104" s="84">
        <v>94313</v>
      </c>
    </row>
    <row r="105" spans="1:23" x14ac:dyDescent="0.2">
      <c r="A105" s="57" t="s">
        <v>32</v>
      </c>
      <c r="B105" s="95" t="s">
        <v>110</v>
      </c>
      <c r="C105" s="95" t="s">
        <v>525</v>
      </c>
      <c r="D105" s="95" t="s">
        <v>526</v>
      </c>
      <c r="E105" s="92" t="s">
        <v>781</v>
      </c>
      <c r="F105" s="94" t="s">
        <v>527</v>
      </c>
      <c r="G105" s="93" t="s">
        <v>528</v>
      </c>
      <c r="H105" s="92" t="s">
        <v>779</v>
      </c>
      <c r="I105" s="91">
        <v>4</v>
      </c>
      <c r="J105" s="88">
        <v>4000</v>
      </c>
      <c r="K105" s="90">
        <v>0</v>
      </c>
      <c r="L105" s="89">
        <v>0</v>
      </c>
      <c r="M105" s="88">
        <v>0</v>
      </c>
      <c r="N105" s="88">
        <v>3043841</v>
      </c>
      <c r="O105" s="88">
        <v>211321</v>
      </c>
      <c r="P105" s="87">
        <v>215321</v>
      </c>
      <c r="Q105" s="86">
        <v>21132</v>
      </c>
      <c r="R105" s="86">
        <v>120100</v>
      </c>
      <c r="S105" s="85">
        <v>31700</v>
      </c>
      <c r="T105" s="85">
        <v>7274</v>
      </c>
      <c r="U105" s="85">
        <v>20650</v>
      </c>
      <c r="V105" s="84">
        <v>35597</v>
      </c>
      <c r="W105" s="84">
        <v>215321</v>
      </c>
    </row>
    <row r="106" spans="1:23" x14ac:dyDescent="0.2">
      <c r="A106" s="57" t="s">
        <v>32</v>
      </c>
      <c r="B106" s="95" t="s">
        <v>110</v>
      </c>
      <c r="C106" s="95" t="s">
        <v>496</v>
      </c>
      <c r="D106" s="95" t="s">
        <v>497</v>
      </c>
      <c r="E106" s="92" t="s">
        <v>781</v>
      </c>
      <c r="F106" s="94" t="s">
        <v>498</v>
      </c>
      <c r="G106" s="93" t="s">
        <v>816</v>
      </c>
      <c r="H106" s="92" t="s">
        <v>779</v>
      </c>
      <c r="I106" s="91">
        <v>12</v>
      </c>
      <c r="J106" s="88">
        <v>12000</v>
      </c>
      <c r="K106" s="90">
        <v>0</v>
      </c>
      <c r="L106" s="89">
        <v>0</v>
      </c>
      <c r="M106" s="88">
        <v>0</v>
      </c>
      <c r="N106" s="88">
        <v>4395612</v>
      </c>
      <c r="O106" s="88">
        <v>305169</v>
      </c>
      <c r="P106" s="87">
        <v>317169</v>
      </c>
      <c r="Q106" s="86">
        <v>30517</v>
      </c>
      <c r="R106" s="86">
        <v>176907</v>
      </c>
      <c r="S106" s="85">
        <v>46695</v>
      </c>
      <c r="T106" s="85">
        <v>10715</v>
      </c>
      <c r="U106" s="85">
        <v>30417</v>
      </c>
      <c r="V106" s="84">
        <v>52435</v>
      </c>
      <c r="W106" s="84">
        <v>317169</v>
      </c>
    </row>
    <row r="107" spans="1:23" x14ac:dyDescent="0.2">
      <c r="A107" s="57" t="s">
        <v>32</v>
      </c>
      <c r="B107" s="95" t="s">
        <v>110</v>
      </c>
      <c r="C107" s="95" t="s">
        <v>565</v>
      </c>
      <c r="D107" s="95" t="s">
        <v>566</v>
      </c>
      <c r="E107" s="92" t="s">
        <v>781</v>
      </c>
      <c r="F107" s="94" t="s">
        <v>567</v>
      </c>
      <c r="G107" s="93" t="s">
        <v>568</v>
      </c>
      <c r="H107" s="92" t="s">
        <v>779</v>
      </c>
      <c r="I107" s="91">
        <v>7</v>
      </c>
      <c r="J107" s="88">
        <v>7000</v>
      </c>
      <c r="K107" s="90">
        <v>0</v>
      </c>
      <c r="L107" s="89">
        <v>0</v>
      </c>
      <c r="M107" s="88">
        <v>0</v>
      </c>
      <c r="N107" s="88">
        <v>1297531</v>
      </c>
      <c r="O107" s="88">
        <v>90082</v>
      </c>
      <c r="P107" s="87">
        <v>97082</v>
      </c>
      <c r="Q107" s="86">
        <v>9008</v>
      </c>
      <c r="R107" s="86">
        <v>54149</v>
      </c>
      <c r="S107" s="85">
        <v>14293</v>
      </c>
      <c r="T107" s="85">
        <v>3280</v>
      </c>
      <c r="U107" s="85">
        <v>9310</v>
      </c>
      <c r="V107" s="84">
        <v>16050</v>
      </c>
      <c r="W107" s="84">
        <v>97082</v>
      </c>
    </row>
    <row r="108" spans="1:23" x14ac:dyDescent="0.2">
      <c r="A108" s="57" t="s">
        <v>32</v>
      </c>
      <c r="B108" s="95" t="s">
        <v>110</v>
      </c>
      <c r="C108" s="95" t="s">
        <v>560</v>
      </c>
      <c r="D108" s="95" t="s">
        <v>561</v>
      </c>
      <c r="E108" s="92" t="s">
        <v>781</v>
      </c>
      <c r="F108" s="94" t="s">
        <v>562</v>
      </c>
      <c r="G108" s="93" t="s">
        <v>815</v>
      </c>
      <c r="H108" s="92" t="s">
        <v>779</v>
      </c>
      <c r="I108" s="91">
        <v>0</v>
      </c>
      <c r="J108" s="88">
        <v>0</v>
      </c>
      <c r="K108" s="90">
        <v>0</v>
      </c>
      <c r="L108" s="89">
        <v>0</v>
      </c>
      <c r="M108" s="88">
        <v>0</v>
      </c>
      <c r="N108" s="88">
        <v>3108971</v>
      </c>
      <c r="O108" s="88">
        <v>215843</v>
      </c>
      <c r="P108" s="87">
        <v>215843</v>
      </c>
      <c r="Q108" s="86">
        <v>21584</v>
      </c>
      <c r="R108" s="86">
        <v>120390</v>
      </c>
      <c r="S108" s="85">
        <v>31777</v>
      </c>
      <c r="T108" s="85">
        <v>7292</v>
      </c>
      <c r="U108" s="85">
        <v>20700</v>
      </c>
      <c r="V108" s="84">
        <v>35684</v>
      </c>
      <c r="W108" s="84">
        <v>215843</v>
      </c>
    </row>
    <row r="109" spans="1:23" x14ac:dyDescent="0.2">
      <c r="A109" s="57" t="s">
        <v>32</v>
      </c>
      <c r="B109" s="95" t="s">
        <v>110</v>
      </c>
      <c r="C109" s="95" t="s">
        <v>570</v>
      </c>
      <c r="D109" s="95" t="s">
        <v>571</v>
      </c>
      <c r="E109" s="92" t="s">
        <v>781</v>
      </c>
      <c r="F109" s="94" t="s">
        <v>572</v>
      </c>
      <c r="G109" s="93" t="s">
        <v>573</v>
      </c>
      <c r="H109" s="92" t="s">
        <v>779</v>
      </c>
      <c r="I109" s="91">
        <v>0</v>
      </c>
      <c r="J109" s="88">
        <v>0</v>
      </c>
      <c r="K109" s="90">
        <v>0</v>
      </c>
      <c r="L109" s="89">
        <v>0</v>
      </c>
      <c r="M109" s="88">
        <v>0</v>
      </c>
      <c r="N109" s="88">
        <v>3680201</v>
      </c>
      <c r="O109" s="88">
        <v>255501</v>
      </c>
      <c r="P109" s="87">
        <v>255501</v>
      </c>
      <c r="Q109" s="86">
        <v>25550</v>
      </c>
      <c r="R109" s="86">
        <v>142510</v>
      </c>
      <c r="S109" s="85">
        <v>37616</v>
      </c>
      <c r="T109" s="85">
        <v>8632</v>
      </c>
      <c r="U109" s="85">
        <v>24503</v>
      </c>
      <c r="V109" s="84">
        <v>42240</v>
      </c>
      <c r="W109" s="84">
        <v>255501</v>
      </c>
    </row>
    <row r="110" spans="1:23" x14ac:dyDescent="0.2">
      <c r="A110" s="57" t="s">
        <v>32</v>
      </c>
      <c r="B110" s="95" t="s">
        <v>110</v>
      </c>
      <c r="C110" s="95" t="s">
        <v>575</v>
      </c>
      <c r="D110" s="95" t="s">
        <v>576</v>
      </c>
      <c r="E110" s="92" t="s">
        <v>781</v>
      </c>
      <c r="F110" s="94" t="s">
        <v>577</v>
      </c>
      <c r="G110" s="93" t="s">
        <v>814</v>
      </c>
      <c r="H110" s="92" t="s">
        <v>779</v>
      </c>
      <c r="I110" s="91">
        <v>37</v>
      </c>
      <c r="J110" s="88">
        <v>37000</v>
      </c>
      <c r="K110" s="90">
        <v>0</v>
      </c>
      <c r="L110" s="89">
        <v>0</v>
      </c>
      <c r="M110" s="88">
        <v>0</v>
      </c>
      <c r="N110" s="88">
        <v>2458192</v>
      </c>
      <c r="O110" s="88">
        <v>170662</v>
      </c>
      <c r="P110" s="87">
        <v>207662</v>
      </c>
      <c r="Q110" s="86">
        <v>17066</v>
      </c>
      <c r="R110" s="86">
        <v>115827</v>
      </c>
      <c r="S110" s="85">
        <v>30573</v>
      </c>
      <c r="T110" s="85">
        <v>7016</v>
      </c>
      <c r="U110" s="85">
        <v>19915</v>
      </c>
      <c r="V110" s="84">
        <v>34331</v>
      </c>
      <c r="W110" s="84">
        <v>207662</v>
      </c>
    </row>
    <row r="111" spans="1:23" ht="30" x14ac:dyDescent="0.2">
      <c r="A111" s="57" t="s">
        <v>32</v>
      </c>
      <c r="B111" s="95" t="s">
        <v>110</v>
      </c>
      <c r="C111" s="95" t="s">
        <v>431</v>
      </c>
      <c r="D111" s="95" t="s">
        <v>432</v>
      </c>
      <c r="E111" s="92" t="s">
        <v>781</v>
      </c>
      <c r="F111" s="94" t="s">
        <v>433</v>
      </c>
      <c r="G111" s="93" t="s">
        <v>434</v>
      </c>
      <c r="H111" s="92" t="s">
        <v>779</v>
      </c>
      <c r="I111" s="91">
        <v>2</v>
      </c>
      <c r="J111" s="88">
        <v>2000</v>
      </c>
      <c r="K111" s="90">
        <v>0</v>
      </c>
      <c r="L111" s="89">
        <v>0</v>
      </c>
      <c r="M111" s="88">
        <v>0</v>
      </c>
      <c r="N111" s="88">
        <v>5269007</v>
      </c>
      <c r="O111" s="88">
        <v>365805</v>
      </c>
      <c r="P111" s="87">
        <v>367805</v>
      </c>
      <c r="Q111" s="86">
        <v>36581</v>
      </c>
      <c r="R111" s="86">
        <v>205150</v>
      </c>
      <c r="S111" s="85">
        <v>54150</v>
      </c>
      <c r="T111" s="85">
        <v>12426</v>
      </c>
      <c r="U111" s="85">
        <v>35273</v>
      </c>
      <c r="V111" s="84">
        <v>60806</v>
      </c>
      <c r="W111" s="84">
        <v>367805</v>
      </c>
    </row>
    <row r="112" spans="1:23" x14ac:dyDescent="0.2">
      <c r="A112" s="57" t="s">
        <v>32</v>
      </c>
      <c r="B112" s="95" t="s">
        <v>110</v>
      </c>
      <c r="C112" s="95" t="s">
        <v>491</v>
      </c>
      <c r="D112" s="95" t="s">
        <v>492</v>
      </c>
      <c r="E112" s="92" t="s">
        <v>781</v>
      </c>
      <c r="F112" s="94" t="s">
        <v>493</v>
      </c>
      <c r="G112" s="93" t="s">
        <v>494</v>
      </c>
      <c r="H112" s="92" t="s">
        <v>779</v>
      </c>
      <c r="I112" s="91">
        <v>2</v>
      </c>
      <c r="J112" s="88">
        <v>2000</v>
      </c>
      <c r="K112" s="90">
        <v>0</v>
      </c>
      <c r="L112" s="89">
        <v>0</v>
      </c>
      <c r="M112" s="88">
        <v>0</v>
      </c>
      <c r="N112" s="88">
        <v>4489420</v>
      </c>
      <c r="O112" s="88">
        <v>311681</v>
      </c>
      <c r="P112" s="87">
        <v>313681</v>
      </c>
      <c r="Q112" s="86">
        <v>31168</v>
      </c>
      <c r="R112" s="86">
        <v>174962</v>
      </c>
      <c r="S112" s="85">
        <v>46181</v>
      </c>
      <c r="T112" s="85">
        <v>10597</v>
      </c>
      <c r="U112" s="85">
        <v>30083</v>
      </c>
      <c r="V112" s="84">
        <v>51858</v>
      </c>
      <c r="W112" s="84">
        <v>313681</v>
      </c>
    </row>
    <row r="113" spans="1:23" ht="30" x14ac:dyDescent="0.2">
      <c r="A113" s="57" t="s">
        <v>32</v>
      </c>
      <c r="B113" s="95" t="s">
        <v>110</v>
      </c>
      <c r="C113" s="95" t="s">
        <v>681</v>
      </c>
      <c r="D113" s="95" t="s">
        <v>682</v>
      </c>
      <c r="E113" s="92" t="s">
        <v>781</v>
      </c>
      <c r="F113" s="94" t="s">
        <v>683</v>
      </c>
      <c r="G113" s="93" t="s">
        <v>684</v>
      </c>
      <c r="H113" s="92" t="s">
        <v>779</v>
      </c>
      <c r="I113" s="91">
        <v>0</v>
      </c>
      <c r="J113" s="88">
        <v>0</v>
      </c>
      <c r="K113" s="90">
        <v>0</v>
      </c>
      <c r="L113" s="89">
        <v>0</v>
      </c>
      <c r="M113" s="88">
        <v>0</v>
      </c>
      <c r="N113" s="88">
        <v>1097014</v>
      </c>
      <c r="O113" s="88">
        <v>76161</v>
      </c>
      <c r="P113" s="87">
        <v>76161</v>
      </c>
      <c r="Q113" s="86">
        <v>7616</v>
      </c>
      <c r="R113" s="86">
        <v>42480</v>
      </c>
      <c r="S113" s="85">
        <v>11213</v>
      </c>
      <c r="T113" s="85">
        <v>2573</v>
      </c>
      <c r="U113" s="85">
        <v>7304</v>
      </c>
      <c r="V113" s="84">
        <v>12591</v>
      </c>
      <c r="W113" s="84">
        <v>76161</v>
      </c>
    </row>
    <row r="114" spans="1:23" x14ac:dyDescent="0.2">
      <c r="A114" s="57" t="s">
        <v>32</v>
      </c>
      <c r="B114" s="95" t="s">
        <v>110</v>
      </c>
      <c r="C114" s="95" t="s">
        <v>161</v>
      </c>
      <c r="D114" s="95" t="s">
        <v>162</v>
      </c>
      <c r="E114" s="92" t="s">
        <v>781</v>
      </c>
      <c r="F114" s="94" t="s">
        <v>163</v>
      </c>
      <c r="G114" s="93" t="s">
        <v>164</v>
      </c>
      <c r="H114" s="92" t="s">
        <v>779</v>
      </c>
      <c r="I114" s="91">
        <v>94</v>
      </c>
      <c r="J114" s="88">
        <v>94000</v>
      </c>
      <c r="K114" s="90">
        <v>0</v>
      </c>
      <c r="L114" s="89">
        <v>0</v>
      </c>
      <c r="M114" s="88">
        <v>0</v>
      </c>
      <c r="N114" s="88">
        <v>18002378</v>
      </c>
      <c r="O114" s="88">
        <v>1249828</v>
      </c>
      <c r="P114" s="87">
        <v>1343828</v>
      </c>
      <c r="Q114" s="86">
        <v>124983</v>
      </c>
      <c r="R114" s="86">
        <v>749546</v>
      </c>
      <c r="S114" s="85">
        <v>197843</v>
      </c>
      <c r="T114" s="85">
        <v>45399</v>
      </c>
      <c r="U114" s="85">
        <v>128876</v>
      </c>
      <c r="V114" s="84">
        <v>222164</v>
      </c>
      <c r="W114" s="84">
        <v>1343828</v>
      </c>
    </row>
    <row r="115" spans="1:23" x14ac:dyDescent="0.2">
      <c r="A115" s="57" t="s">
        <v>32</v>
      </c>
      <c r="B115" s="95" t="s">
        <v>110</v>
      </c>
      <c r="C115" s="95" t="s">
        <v>231</v>
      </c>
      <c r="D115" s="95" t="s">
        <v>232</v>
      </c>
      <c r="E115" s="92" t="s">
        <v>781</v>
      </c>
      <c r="F115" s="94" t="s">
        <v>233</v>
      </c>
      <c r="G115" s="93" t="s">
        <v>234</v>
      </c>
      <c r="H115" s="92" t="s">
        <v>779</v>
      </c>
      <c r="I115" s="91">
        <v>6</v>
      </c>
      <c r="J115" s="88">
        <v>6000</v>
      </c>
      <c r="K115" s="90">
        <v>0</v>
      </c>
      <c r="L115" s="89">
        <v>0</v>
      </c>
      <c r="M115" s="88">
        <v>0</v>
      </c>
      <c r="N115" s="88">
        <v>8672459</v>
      </c>
      <c r="O115" s="88">
        <v>602092</v>
      </c>
      <c r="P115" s="87">
        <v>608092</v>
      </c>
      <c r="Q115" s="86">
        <v>60209</v>
      </c>
      <c r="R115" s="86">
        <v>339176</v>
      </c>
      <c r="S115" s="85">
        <v>89525</v>
      </c>
      <c r="T115" s="85">
        <v>20543</v>
      </c>
      <c r="U115" s="85">
        <v>58317</v>
      </c>
      <c r="V115" s="84">
        <v>100531</v>
      </c>
      <c r="W115" s="84">
        <v>608092</v>
      </c>
    </row>
    <row r="116" spans="1:23" x14ac:dyDescent="0.2">
      <c r="A116" s="57" t="s">
        <v>32</v>
      </c>
      <c r="B116" s="95" t="s">
        <v>110</v>
      </c>
      <c r="C116" s="95" t="s">
        <v>261</v>
      </c>
      <c r="D116" s="95" t="s">
        <v>262</v>
      </c>
      <c r="E116" s="92" t="s">
        <v>781</v>
      </c>
      <c r="F116" s="94" t="s">
        <v>263</v>
      </c>
      <c r="G116" s="93" t="s">
        <v>264</v>
      </c>
      <c r="H116" s="92" t="s">
        <v>779</v>
      </c>
      <c r="I116" s="91">
        <v>0</v>
      </c>
      <c r="J116" s="88">
        <v>0</v>
      </c>
      <c r="K116" s="90">
        <v>0</v>
      </c>
      <c r="L116" s="89">
        <v>0</v>
      </c>
      <c r="M116" s="88">
        <v>0</v>
      </c>
      <c r="N116" s="88">
        <v>4919559</v>
      </c>
      <c r="O116" s="88">
        <v>341544</v>
      </c>
      <c r="P116" s="87">
        <v>341544</v>
      </c>
      <c r="Q116" s="86">
        <v>34154</v>
      </c>
      <c r="R116" s="86">
        <v>190502</v>
      </c>
      <c r="S116" s="85">
        <v>50283</v>
      </c>
      <c r="T116" s="85">
        <v>11539</v>
      </c>
      <c r="U116" s="85">
        <v>32755</v>
      </c>
      <c r="V116" s="84">
        <v>56465</v>
      </c>
      <c r="W116" s="84">
        <v>341544</v>
      </c>
    </row>
    <row r="117" spans="1:23" x14ac:dyDescent="0.2">
      <c r="A117" s="57" t="s">
        <v>32</v>
      </c>
      <c r="B117" s="95" t="s">
        <v>110</v>
      </c>
      <c r="C117" s="95" t="s">
        <v>286</v>
      </c>
      <c r="D117" s="95" t="s">
        <v>287</v>
      </c>
      <c r="E117" s="92" t="s">
        <v>781</v>
      </c>
      <c r="F117" s="94" t="s">
        <v>288</v>
      </c>
      <c r="G117" s="93" t="s">
        <v>289</v>
      </c>
      <c r="H117" s="92" t="s">
        <v>779</v>
      </c>
      <c r="I117" s="91">
        <v>26</v>
      </c>
      <c r="J117" s="88">
        <v>26000</v>
      </c>
      <c r="K117" s="90">
        <v>0</v>
      </c>
      <c r="L117" s="89">
        <v>0</v>
      </c>
      <c r="M117" s="88">
        <v>0</v>
      </c>
      <c r="N117" s="88">
        <v>6230682</v>
      </c>
      <c r="O117" s="88">
        <v>432570</v>
      </c>
      <c r="P117" s="87">
        <v>458570</v>
      </c>
      <c r="Q117" s="86">
        <v>43257</v>
      </c>
      <c r="R117" s="86">
        <v>255776</v>
      </c>
      <c r="S117" s="85">
        <v>67512</v>
      </c>
      <c r="T117" s="85">
        <v>15492</v>
      </c>
      <c r="U117" s="85">
        <v>43978</v>
      </c>
      <c r="V117" s="84">
        <v>75812</v>
      </c>
      <c r="W117" s="84">
        <v>458570</v>
      </c>
    </row>
    <row r="118" spans="1:23" x14ac:dyDescent="0.2">
      <c r="A118" s="57" t="s">
        <v>32</v>
      </c>
      <c r="B118" s="95" t="s">
        <v>110</v>
      </c>
      <c r="C118" s="95" t="s">
        <v>166</v>
      </c>
      <c r="D118" s="95" t="s">
        <v>167</v>
      </c>
      <c r="E118" s="92" t="s">
        <v>781</v>
      </c>
      <c r="F118" s="94" t="s">
        <v>168</v>
      </c>
      <c r="G118" s="93" t="s">
        <v>169</v>
      </c>
      <c r="H118" s="92" t="s">
        <v>779</v>
      </c>
      <c r="I118" s="91">
        <v>15</v>
      </c>
      <c r="J118" s="88">
        <v>15000</v>
      </c>
      <c r="K118" s="90">
        <v>0</v>
      </c>
      <c r="L118" s="89">
        <v>0</v>
      </c>
      <c r="M118" s="88">
        <v>0</v>
      </c>
      <c r="N118" s="88">
        <v>5942083</v>
      </c>
      <c r="O118" s="88">
        <v>412534</v>
      </c>
      <c r="P118" s="87">
        <v>427534</v>
      </c>
      <c r="Q118" s="86">
        <v>41253</v>
      </c>
      <c r="R118" s="86">
        <v>238465</v>
      </c>
      <c r="S118" s="85">
        <v>62943</v>
      </c>
      <c r="T118" s="85">
        <v>14444</v>
      </c>
      <c r="U118" s="85">
        <v>41001</v>
      </c>
      <c r="V118" s="84">
        <v>70681</v>
      </c>
      <c r="W118" s="84">
        <v>427534</v>
      </c>
    </row>
    <row r="119" spans="1:23" x14ac:dyDescent="0.2">
      <c r="A119" s="57" t="s">
        <v>32</v>
      </c>
      <c r="B119" s="95" t="s">
        <v>110</v>
      </c>
      <c r="C119" s="95" t="s">
        <v>376</v>
      </c>
      <c r="D119" s="95" t="s">
        <v>377</v>
      </c>
      <c r="E119" s="92" t="s">
        <v>781</v>
      </c>
      <c r="F119" s="94" t="s">
        <v>378</v>
      </c>
      <c r="G119" s="93" t="s">
        <v>379</v>
      </c>
      <c r="H119" s="92" t="s">
        <v>779</v>
      </c>
      <c r="I119" s="91">
        <v>8</v>
      </c>
      <c r="J119" s="88">
        <v>8000</v>
      </c>
      <c r="K119" s="90">
        <v>0</v>
      </c>
      <c r="L119" s="89">
        <v>0</v>
      </c>
      <c r="M119" s="88">
        <v>0</v>
      </c>
      <c r="N119" s="88">
        <v>5814547</v>
      </c>
      <c r="O119" s="88">
        <v>403679</v>
      </c>
      <c r="P119" s="87">
        <v>411679</v>
      </c>
      <c r="Q119" s="86">
        <v>40368</v>
      </c>
      <c r="R119" s="86">
        <v>229622</v>
      </c>
      <c r="S119" s="85">
        <v>60609</v>
      </c>
      <c r="T119" s="85">
        <v>13908</v>
      </c>
      <c r="U119" s="85">
        <v>39481</v>
      </c>
      <c r="V119" s="84">
        <v>68059</v>
      </c>
      <c r="W119" s="84">
        <v>411679</v>
      </c>
    </row>
    <row r="120" spans="1:23" x14ac:dyDescent="0.2">
      <c r="A120" s="57" t="s">
        <v>32</v>
      </c>
      <c r="B120" s="95" t="s">
        <v>110</v>
      </c>
      <c r="C120" s="95" t="s">
        <v>171</v>
      </c>
      <c r="D120" s="95" t="s">
        <v>172</v>
      </c>
      <c r="E120" s="92" t="s">
        <v>781</v>
      </c>
      <c r="F120" s="94" t="s">
        <v>173</v>
      </c>
      <c r="G120" s="93" t="s">
        <v>174</v>
      </c>
      <c r="H120" s="92" t="s">
        <v>779</v>
      </c>
      <c r="I120" s="91">
        <v>3</v>
      </c>
      <c r="J120" s="88">
        <v>3000</v>
      </c>
      <c r="K120" s="90">
        <v>0</v>
      </c>
      <c r="L120" s="89">
        <v>0</v>
      </c>
      <c r="M120" s="88">
        <v>0</v>
      </c>
      <c r="N120" s="88">
        <v>4000138</v>
      </c>
      <c r="O120" s="88">
        <v>277713</v>
      </c>
      <c r="P120" s="87">
        <v>280713</v>
      </c>
      <c r="Q120" s="86">
        <v>27771</v>
      </c>
      <c r="R120" s="86">
        <v>156573</v>
      </c>
      <c r="S120" s="85">
        <v>41328</v>
      </c>
      <c r="T120" s="85">
        <v>9483</v>
      </c>
      <c r="U120" s="85">
        <v>26921</v>
      </c>
      <c r="V120" s="84">
        <v>46408</v>
      </c>
      <c r="W120" s="84">
        <v>280713</v>
      </c>
    </row>
    <row r="121" spans="1:23" x14ac:dyDescent="0.2">
      <c r="A121" s="57" t="s">
        <v>32</v>
      </c>
      <c r="B121" s="95" t="s">
        <v>110</v>
      </c>
      <c r="C121" s="95" t="s">
        <v>391</v>
      </c>
      <c r="D121" s="95" t="s">
        <v>392</v>
      </c>
      <c r="E121" s="92" t="s">
        <v>781</v>
      </c>
      <c r="F121" s="94" t="s">
        <v>393</v>
      </c>
      <c r="G121" s="93" t="s">
        <v>394</v>
      </c>
      <c r="H121" s="92" t="s">
        <v>779</v>
      </c>
      <c r="I121" s="91">
        <v>3</v>
      </c>
      <c r="J121" s="88">
        <v>3000</v>
      </c>
      <c r="K121" s="90">
        <v>0</v>
      </c>
      <c r="L121" s="89">
        <v>0</v>
      </c>
      <c r="M121" s="88">
        <v>0</v>
      </c>
      <c r="N121" s="88">
        <v>3195595</v>
      </c>
      <c r="O121" s="88">
        <v>221857</v>
      </c>
      <c r="P121" s="87">
        <v>224857</v>
      </c>
      <c r="Q121" s="86">
        <v>22186</v>
      </c>
      <c r="R121" s="86">
        <v>125419</v>
      </c>
      <c r="S121" s="85">
        <v>33104</v>
      </c>
      <c r="T121" s="85">
        <v>7596</v>
      </c>
      <c r="U121" s="85">
        <v>21564</v>
      </c>
      <c r="V121" s="84">
        <v>37174</v>
      </c>
      <c r="W121" s="84">
        <v>224857</v>
      </c>
    </row>
    <row r="122" spans="1:23" x14ac:dyDescent="0.2">
      <c r="A122" s="57" t="s">
        <v>32</v>
      </c>
      <c r="B122" s="95" t="s">
        <v>110</v>
      </c>
      <c r="C122" s="95" t="s">
        <v>176</v>
      </c>
      <c r="D122" s="95" t="s">
        <v>177</v>
      </c>
      <c r="E122" s="92" t="s">
        <v>781</v>
      </c>
      <c r="F122" s="94" t="s">
        <v>178</v>
      </c>
      <c r="G122" s="93" t="s">
        <v>179</v>
      </c>
      <c r="H122" s="92" t="s">
        <v>779</v>
      </c>
      <c r="I122" s="91">
        <v>47</v>
      </c>
      <c r="J122" s="88">
        <v>47000</v>
      </c>
      <c r="K122" s="90">
        <v>0</v>
      </c>
      <c r="L122" s="89">
        <v>0</v>
      </c>
      <c r="M122" s="88">
        <v>0</v>
      </c>
      <c r="N122" s="88">
        <v>18149309</v>
      </c>
      <c r="O122" s="88">
        <v>1260029</v>
      </c>
      <c r="P122" s="87">
        <v>1307029</v>
      </c>
      <c r="Q122" s="86">
        <v>126003</v>
      </c>
      <c r="R122" s="86">
        <v>729022</v>
      </c>
      <c r="S122" s="85">
        <v>192425</v>
      </c>
      <c r="T122" s="85">
        <v>44156</v>
      </c>
      <c r="U122" s="85">
        <v>125346</v>
      </c>
      <c r="V122" s="84">
        <v>216080</v>
      </c>
      <c r="W122" s="84">
        <v>1307029</v>
      </c>
    </row>
    <row r="123" spans="1:23" x14ac:dyDescent="0.2">
      <c r="A123" s="57" t="s">
        <v>32</v>
      </c>
      <c r="B123" s="95" t="s">
        <v>110</v>
      </c>
      <c r="C123" s="95" t="s">
        <v>201</v>
      </c>
      <c r="D123" s="95" t="s">
        <v>202</v>
      </c>
      <c r="E123" s="92" t="s">
        <v>781</v>
      </c>
      <c r="F123" s="94" t="s">
        <v>203</v>
      </c>
      <c r="G123" s="93" t="s">
        <v>204</v>
      </c>
      <c r="H123" s="92" t="s">
        <v>779</v>
      </c>
      <c r="I123" s="91">
        <v>0</v>
      </c>
      <c r="J123" s="88">
        <v>0</v>
      </c>
      <c r="K123" s="90">
        <v>0</v>
      </c>
      <c r="L123" s="89">
        <v>0</v>
      </c>
      <c r="M123" s="88">
        <v>0</v>
      </c>
      <c r="N123" s="88">
        <v>1456089</v>
      </c>
      <c r="O123" s="88">
        <v>101090</v>
      </c>
      <c r="P123" s="87">
        <v>101090</v>
      </c>
      <c r="Q123" s="86">
        <v>10109</v>
      </c>
      <c r="R123" s="86">
        <v>56385</v>
      </c>
      <c r="S123" s="85">
        <v>14883</v>
      </c>
      <c r="T123" s="85">
        <v>3415</v>
      </c>
      <c r="U123" s="85">
        <v>9695</v>
      </c>
      <c r="V123" s="84">
        <v>16712</v>
      </c>
      <c r="W123" s="84">
        <v>101090</v>
      </c>
    </row>
    <row r="124" spans="1:23" x14ac:dyDescent="0.2">
      <c r="A124" s="57" t="s">
        <v>32</v>
      </c>
      <c r="B124" s="95" t="s">
        <v>110</v>
      </c>
      <c r="C124" s="95" t="s">
        <v>196</v>
      </c>
      <c r="D124" s="95" t="s">
        <v>197</v>
      </c>
      <c r="E124" s="92" t="s">
        <v>781</v>
      </c>
      <c r="F124" s="94" t="s">
        <v>198</v>
      </c>
      <c r="G124" s="93" t="s">
        <v>199</v>
      </c>
      <c r="H124" s="92" t="s">
        <v>779</v>
      </c>
      <c r="I124" s="91">
        <v>0</v>
      </c>
      <c r="J124" s="88">
        <v>0</v>
      </c>
      <c r="K124" s="90">
        <v>0</v>
      </c>
      <c r="L124" s="89">
        <v>0</v>
      </c>
      <c r="M124" s="88">
        <v>0</v>
      </c>
      <c r="N124" s="88">
        <v>1968140</v>
      </c>
      <c r="O124" s="88">
        <v>136640</v>
      </c>
      <c r="P124" s="87">
        <v>136640</v>
      </c>
      <c r="Q124" s="86">
        <v>13664</v>
      </c>
      <c r="R124" s="86">
        <v>76213</v>
      </c>
      <c r="S124" s="85">
        <v>20117</v>
      </c>
      <c r="T124" s="85">
        <v>4616</v>
      </c>
      <c r="U124" s="85">
        <v>13104</v>
      </c>
      <c r="V124" s="84">
        <v>22590</v>
      </c>
      <c r="W124" s="84">
        <v>136640</v>
      </c>
    </row>
    <row r="125" spans="1:23" x14ac:dyDescent="0.2">
      <c r="A125" s="57" t="s">
        <v>32</v>
      </c>
      <c r="B125" s="95" t="s">
        <v>110</v>
      </c>
      <c r="C125" s="95" t="s">
        <v>251</v>
      </c>
      <c r="D125" s="95" t="s">
        <v>252</v>
      </c>
      <c r="E125" s="92" t="s">
        <v>781</v>
      </c>
      <c r="F125" s="94" t="s">
        <v>253</v>
      </c>
      <c r="G125" s="93" t="s">
        <v>254</v>
      </c>
      <c r="H125" s="92" t="s">
        <v>779</v>
      </c>
      <c r="I125" s="91">
        <v>3</v>
      </c>
      <c r="J125" s="88">
        <v>3000</v>
      </c>
      <c r="K125" s="90">
        <v>0</v>
      </c>
      <c r="L125" s="89">
        <v>0</v>
      </c>
      <c r="M125" s="88">
        <v>0</v>
      </c>
      <c r="N125" s="88">
        <v>1162029</v>
      </c>
      <c r="O125" s="88">
        <v>80675</v>
      </c>
      <c r="P125" s="87">
        <v>83675</v>
      </c>
      <c r="Q125" s="86">
        <v>8068</v>
      </c>
      <c r="R125" s="86">
        <v>46671</v>
      </c>
      <c r="S125" s="85">
        <v>12319</v>
      </c>
      <c r="T125" s="85">
        <v>2827</v>
      </c>
      <c r="U125" s="85">
        <v>8025</v>
      </c>
      <c r="V125" s="84">
        <v>13833</v>
      </c>
      <c r="W125" s="84">
        <v>83675</v>
      </c>
    </row>
    <row r="126" spans="1:23" x14ac:dyDescent="0.2">
      <c r="A126" s="57" t="s">
        <v>32</v>
      </c>
      <c r="B126" s="95" t="s">
        <v>110</v>
      </c>
      <c r="C126" s="95" t="s">
        <v>266</v>
      </c>
      <c r="D126" s="95" t="s">
        <v>267</v>
      </c>
      <c r="E126" s="92" t="s">
        <v>781</v>
      </c>
      <c r="F126" s="94" t="s">
        <v>268</v>
      </c>
      <c r="G126" s="93" t="s">
        <v>269</v>
      </c>
      <c r="H126" s="92" t="s">
        <v>779</v>
      </c>
      <c r="I126" s="91">
        <v>1</v>
      </c>
      <c r="J126" s="88">
        <v>1000</v>
      </c>
      <c r="K126" s="90">
        <v>0</v>
      </c>
      <c r="L126" s="89">
        <v>0</v>
      </c>
      <c r="M126" s="88">
        <v>0</v>
      </c>
      <c r="N126" s="88">
        <v>3142362</v>
      </c>
      <c r="O126" s="88">
        <v>218161</v>
      </c>
      <c r="P126" s="87">
        <v>219161</v>
      </c>
      <c r="Q126" s="86">
        <v>21816</v>
      </c>
      <c r="R126" s="86">
        <v>122241</v>
      </c>
      <c r="S126" s="85">
        <v>32266</v>
      </c>
      <c r="T126" s="85">
        <v>7404</v>
      </c>
      <c r="U126" s="85">
        <v>21018</v>
      </c>
      <c r="V126" s="84">
        <v>36232</v>
      </c>
      <c r="W126" s="84">
        <v>219161</v>
      </c>
    </row>
    <row r="127" spans="1:23" x14ac:dyDescent="0.2">
      <c r="A127" s="57" t="s">
        <v>32</v>
      </c>
      <c r="B127" s="95" t="s">
        <v>110</v>
      </c>
      <c r="C127" s="95" t="s">
        <v>276</v>
      </c>
      <c r="D127" s="95" t="s">
        <v>277</v>
      </c>
      <c r="E127" s="92" t="s">
        <v>781</v>
      </c>
      <c r="F127" s="94" t="s">
        <v>278</v>
      </c>
      <c r="G127" s="93" t="s">
        <v>279</v>
      </c>
      <c r="H127" s="92" t="s">
        <v>779</v>
      </c>
      <c r="I127" s="91">
        <v>4</v>
      </c>
      <c r="J127" s="88">
        <v>4000</v>
      </c>
      <c r="K127" s="90">
        <v>0</v>
      </c>
      <c r="L127" s="89">
        <v>0</v>
      </c>
      <c r="M127" s="88">
        <v>0</v>
      </c>
      <c r="N127" s="88">
        <v>4921064</v>
      </c>
      <c r="O127" s="88">
        <v>341649</v>
      </c>
      <c r="P127" s="87">
        <v>345649</v>
      </c>
      <c r="Q127" s="86">
        <v>34165</v>
      </c>
      <c r="R127" s="86">
        <v>192793</v>
      </c>
      <c r="S127" s="85">
        <v>50888</v>
      </c>
      <c r="T127" s="85">
        <v>11677</v>
      </c>
      <c r="U127" s="85">
        <v>33148</v>
      </c>
      <c r="V127" s="84">
        <v>57143</v>
      </c>
      <c r="W127" s="84">
        <v>345649</v>
      </c>
    </row>
    <row r="128" spans="1:23" ht="30" x14ac:dyDescent="0.2">
      <c r="A128" s="57" t="s">
        <v>32</v>
      </c>
      <c r="B128" s="95" t="s">
        <v>110</v>
      </c>
      <c r="C128" s="95" t="s">
        <v>291</v>
      </c>
      <c r="D128" s="95" t="s">
        <v>292</v>
      </c>
      <c r="E128" s="92" t="s">
        <v>781</v>
      </c>
      <c r="F128" s="94" t="s">
        <v>293</v>
      </c>
      <c r="G128" s="93" t="s">
        <v>294</v>
      </c>
      <c r="H128" s="92" t="s">
        <v>779</v>
      </c>
      <c r="I128" s="91">
        <v>2</v>
      </c>
      <c r="J128" s="88">
        <v>2000</v>
      </c>
      <c r="K128" s="90">
        <v>0</v>
      </c>
      <c r="L128" s="89">
        <v>0</v>
      </c>
      <c r="M128" s="88">
        <v>0</v>
      </c>
      <c r="N128" s="88">
        <v>2722267</v>
      </c>
      <c r="O128" s="88">
        <v>188995</v>
      </c>
      <c r="P128" s="87">
        <v>190995</v>
      </c>
      <c r="Q128" s="86">
        <v>18900</v>
      </c>
      <c r="R128" s="86">
        <v>106531</v>
      </c>
      <c r="S128" s="85">
        <v>28119</v>
      </c>
      <c r="T128" s="85">
        <v>6452</v>
      </c>
      <c r="U128" s="85">
        <v>18317</v>
      </c>
      <c r="V128" s="84">
        <v>31576</v>
      </c>
      <c r="W128" s="84">
        <v>190995</v>
      </c>
    </row>
    <row r="129" spans="1:23" ht="30" x14ac:dyDescent="0.2">
      <c r="A129" s="57" t="s">
        <v>32</v>
      </c>
      <c r="B129" s="95" t="s">
        <v>110</v>
      </c>
      <c r="C129" s="95" t="s">
        <v>306</v>
      </c>
      <c r="D129" s="95" t="s">
        <v>307</v>
      </c>
      <c r="E129" s="92" t="s">
        <v>781</v>
      </c>
      <c r="F129" s="94" t="s">
        <v>308</v>
      </c>
      <c r="G129" s="93" t="s">
        <v>309</v>
      </c>
      <c r="H129" s="92" t="s">
        <v>779</v>
      </c>
      <c r="I129" s="91">
        <v>3</v>
      </c>
      <c r="J129" s="88">
        <v>3000</v>
      </c>
      <c r="K129" s="90">
        <v>0</v>
      </c>
      <c r="L129" s="89">
        <v>0</v>
      </c>
      <c r="M129" s="88">
        <v>0</v>
      </c>
      <c r="N129" s="88">
        <v>7032300</v>
      </c>
      <c r="O129" s="88">
        <v>488223</v>
      </c>
      <c r="P129" s="87">
        <v>491223</v>
      </c>
      <c r="Q129" s="86">
        <v>48822</v>
      </c>
      <c r="R129" s="86">
        <v>273989</v>
      </c>
      <c r="S129" s="85">
        <v>72320</v>
      </c>
      <c r="T129" s="85">
        <v>16595</v>
      </c>
      <c r="U129" s="85">
        <v>47109</v>
      </c>
      <c r="V129" s="84">
        <v>81210</v>
      </c>
      <c r="W129" s="84">
        <v>491223</v>
      </c>
    </row>
    <row r="130" spans="1:23" x14ac:dyDescent="0.2">
      <c r="A130" s="57" t="s">
        <v>32</v>
      </c>
      <c r="B130" s="95" t="s">
        <v>113</v>
      </c>
      <c r="C130" s="95" t="s">
        <v>26</v>
      </c>
      <c r="D130" s="95" t="s">
        <v>27</v>
      </c>
      <c r="E130" s="95" t="s">
        <v>27</v>
      </c>
      <c r="F130" s="94" t="s">
        <v>113</v>
      </c>
      <c r="G130" s="93" t="s">
        <v>114</v>
      </c>
      <c r="H130" s="92" t="s">
        <v>778</v>
      </c>
      <c r="I130" s="91">
        <v>35</v>
      </c>
      <c r="J130" s="88">
        <v>35000</v>
      </c>
      <c r="K130" s="90">
        <v>0</v>
      </c>
      <c r="L130" s="89">
        <v>0</v>
      </c>
      <c r="M130" s="88">
        <v>0</v>
      </c>
      <c r="N130" s="88">
        <v>120927450</v>
      </c>
      <c r="O130" s="88">
        <v>8395478</v>
      </c>
      <c r="P130" s="87">
        <v>8430478</v>
      </c>
      <c r="Q130" s="86">
        <v>839548</v>
      </c>
      <c r="R130" s="86">
        <v>4702264</v>
      </c>
      <c r="S130" s="85">
        <v>1241165</v>
      </c>
      <c r="T130" s="85">
        <v>284810</v>
      </c>
      <c r="U130" s="85">
        <v>808498</v>
      </c>
      <c r="V130" s="84">
        <v>1393741</v>
      </c>
      <c r="W130" s="84">
        <v>8430478</v>
      </c>
    </row>
    <row r="131" spans="1:23" x14ac:dyDescent="0.2">
      <c r="A131" s="57" t="s">
        <v>32</v>
      </c>
      <c r="B131" s="95" t="s">
        <v>116</v>
      </c>
      <c r="C131" s="95" t="s">
        <v>26</v>
      </c>
      <c r="D131" s="95" t="s">
        <v>27</v>
      </c>
      <c r="E131" s="95" t="s">
        <v>27</v>
      </c>
      <c r="F131" s="94" t="s">
        <v>116</v>
      </c>
      <c r="G131" s="93" t="s">
        <v>117</v>
      </c>
      <c r="H131" s="92" t="s">
        <v>778</v>
      </c>
      <c r="I131" s="91">
        <v>29</v>
      </c>
      <c r="J131" s="88">
        <v>29000</v>
      </c>
      <c r="K131" s="90">
        <v>0</v>
      </c>
      <c r="L131" s="89">
        <v>0</v>
      </c>
      <c r="M131" s="88">
        <v>0</v>
      </c>
      <c r="N131" s="88">
        <v>4691785</v>
      </c>
      <c r="O131" s="88">
        <v>325731</v>
      </c>
      <c r="P131" s="87">
        <v>354731</v>
      </c>
      <c r="Q131" s="86">
        <v>32573</v>
      </c>
      <c r="R131" s="86">
        <v>197858</v>
      </c>
      <c r="S131" s="85">
        <v>52225</v>
      </c>
      <c r="T131" s="85">
        <v>11984</v>
      </c>
      <c r="U131" s="85">
        <v>34019</v>
      </c>
      <c r="V131" s="84">
        <v>58645</v>
      </c>
      <c r="W131" s="84">
        <v>354731</v>
      </c>
    </row>
    <row r="132" spans="1:23" x14ac:dyDescent="0.2">
      <c r="A132" s="57" t="s">
        <v>32</v>
      </c>
      <c r="B132" s="95" t="s">
        <v>119</v>
      </c>
      <c r="C132" s="95" t="s">
        <v>26</v>
      </c>
      <c r="D132" s="95" t="s">
        <v>27</v>
      </c>
      <c r="E132" s="95" t="s">
        <v>27</v>
      </c>
      <c r="F132" s="94" t="s">
        <v>119</v>
      </c>
      <c r="G132" s="93" t="s">
        <v>120</v>
      </c>
      <c r="H132" s="92" t="s">
        <v>778</v>
      </c>
      <c r="I132" s="91">
        <v>148</v>
      </c>
      <c r="J132" s="88">
        <v>148000</v>
      </c>
      <c r="K132" s="90">
        <v>0</v>
      </c>
      <c r="L132" s="89">
        <v>0</v>
      </c>
      <c r="M132" s="88">
        <v>0</v>
      </c>
      <c r="N132" s="88">
        <v>59036894</v>
      </c>
      <c r="O132" s="88">
        <v>4098680</v>
      </c>
      <c r="P132" s="87">
        <v>4246680</v>
      </c>
      <c r="Q132" s="86">
        <v>409868</v>
      </c>
      <c r="R132" s="86">
        <v>2368670</v>
      </c>
      <c r="S132" s="85">
        <v>625211</v>
      </c>
      <c r="T132" s="85">
        <v>143467</v>
      </c>
      <c r="U132" s="85">
        <v>407264</v>
      </c>
      <c r="V132" s="84">
        <v>702068</v>
      </c>
      <c r="W132" s="84">
        <v>4246680</v>
      </c>
    </row>
    <row r="133" spans="1:23" x14ac:dyDescent="0.2">
      <c r="A133" s="57" t="s">
        <v>32</v>
      </c>
      <c r="B133" s="95" t="s">
        <v>122</v>
      </c>
      <c r="C133" s="95" t="s">
        <v>26</v>
      </c>
      <c r="D133" s="95" t="s">
        <v>27</v>
      </c>
      <c r="E133" s="95" t="s">
        <v>27</v>
      </c>
      <c r="F133" s="94" t="s">
        <v>122</v>
      </c>
      <c r="G133" s="93" t="s">
        <v>123</v>
      </c>
      <c r="H133" s="92" t="s">
        <v>778</v>
      </c>
      <c r="I133" s="91">
        <v>969</v>
      </c>
      <c r="J133" s="88">
        <v>969000</v>
      </c>
      <c r="K133" s="90">
        <v>0</v>
      </c>
      <c r="L133" s="89">
        <v>0</v>
      </c>
      <c r="M133" s="88">
        <v>0</v>
      </c>
      <c r="N133" s="88">
        <v>45571515</v>
      </c>
      <c r="O133" s="88">
        <v>3163836</v>
      </c>
      <c r="P133" s="87">
        <v>4132836</v>
      </c>
      <c r="Q133" s="86">
        <v>316384</v>
      </c>
      <c r="R133" s="86">
        <v>2305171</v>
      </c>
      <c r="S133" s="85">
        <v>608451</v>
      </c>
      <c r="T133" s="85">
        <v>139621</v>
      </c>
      <c r="U133" s="85">
        <v>396346</v>
      </c>
      <c r="V133" s="84">
        <v>683247</v>
      </c>
      <c r="W133" s="84">
        <v>4132836</v>
      </c>
    </row>
    <row r="134" spans="1:23" x14ac:dyDescent="0.2">
      <c r="A134" s="57" t="s">
        <v>32</v>
      </c>
      <c r="B134" s="95" t="s">
        <v>125</v>
      </c>
      <c r="C134" s="95" t="s">
        <v>26</v>
      </c>
      <c r="D134" s="95" t="s">
        <v>27</v>
      </c>
      <c r="E134" s="95" t="s">
        <v>27</v>
      </c>
      <c r="F134" s="94" t="s">
        <v>125</v>
      </c>
      <c r="G134" s="93" t="s">
        <v>126</v>
      </c>
      <c r="H134" s="92" t="s">
        <v>778</v>
      </c>
      <c r="I134" s="91">
        <v>10</v>
      </c>
      <c r="J134" s="88">
        <v>10000</v>
      </c>
      <c r="K134" s="90">
        <v>0</v>
      </c>
      <c r="L134" s="89">
        <v>0</v>
      </c>
      <c r="M134" s="88">
        <v>0</v>
      </c>
      <c r="N134" s="88">
        <v>25129694</v>
      </c>
      <c r="O134" s="88">
        <v>1744648</v>
      </c>
      <c r="P134" s="87">
        <v>1754648</v>
      </c>
      <c r="Q134" s="86">
        <v>174465</v>
      </c>
      <c r="R134" s="86">
        <v>978689</v>
      </c>
      <c r="S134" s="85">
        <v>258326</v>
      </c>
      <c r="T134" s="85">
        <v>59278</v>
      </c>
      <c r="U134" s="85">
        <v>168274</v>
      </c>
      <c r="V134" s="84">
        <v>290081</v>
      </c>
      <c r="W134" s="84">
        <v>1754648</v>
      </c>
    </row>
    <row r="135" spans="1:23" x14ac:dyDescent="0.2">
      <c r="A135" s="57" t="s">
        <v>32</v>
      </c>
      <c r="B135" s="95" t="s">
        <v>128</v>
      </c>
      <c r="C135" s="95" t="s">
        <v>26</v>
      </c>
      <c r="D135" s="95" t="s">
        <v>27</v>
      </c>
      <c r="E135" s="95" t="s">
        <v>27</v>
      </c>
      <c r="F135" s="94" t="s">
        <v>128</v>
      </c>
      <c r="G135" s="93" t="s">
        <v>129</v>
      </c>
      <c r="H135" s="92" t="s">
        <v>778</v>
      </c>
      <c r="I135" s="91">
        <v>284</v>
      </c>
      <c r="J135" s="88">
        <v>284000</v>
      </c>
      <c r="K135" s="90">
        <v>0</v>
      </c>
      <c r="L135" s="89">
        <v>0</v>
      </c>
      <c r="M135" s="88">
        <v>0</v>
      </c>
      <c r="N135" s="88">
        <v>50955006</v>
      </c>
      <c r="O135" s="88">
        <v>3537589</v>
      </c>
      <c r="P135" s="87">
        <v>3821589</v>
      </c>
      <c r="Q135" s="86">
        <v>353759</v>
      </c>
      <c r="R135" s="86">
        <v>2131567</v>
      </c>
      <c r="S135" s="85">
        <v>562628</v>
      </c>
      <c r="T135" s="85">
        <v>129106</v>
      </c>
      <c r="U135" s="85">
        <v>366497</v>
      </c>
      <c r="V135" s="84">
        <v>631791</v>
      </c>
      <c r="W135" s="84">
        <v>3821589</v>
      </c>
    </row>
    <row r="136" spans="1:23" x14ac:dyDescent="0.2">
      <c r="A136" s="57" t="s">
        <v>32</v>
      </c>
      <c r="B136" s="95" t="s">
        <v>128</v>
      </c>
      <c r="C136" s="95" t="s">
        <v>813</v>
      </c>
      <c r="D136" s="95" t="s">
        <v>812</v>
      </c>
      <c r="E136" s="92" t="s">
        <v>780</v>
      </c>
      <c r="F136" s="94" t="s">
        <v>128</v>
      </c>
      <c r="G136" s="93" t="s">
        <v>811</v>
      </c>
      <c r="H136" s="92" t="s">
        <v>779</v>
      </c>
      <c r="I136" s="91">
        <v>15</v>
      </c>
      <c r="J136" s="88">
        <v>15000</v>
      </c>
      <c r="K136" s="90">
        <v>0</v>
      </c>
      <c r="L136" s="89">
        <v>0</v>
      </c>
      <c r="M136" s="88">
        <v>0</v>
      </c>
      <c r="N136" s="88">
        <v>7910313</v>
      </c>
      <c r="O136" s="88">
        <v>549179</v>
      </c>
      <c r="P136" s="87">
        <v>564179</v>
      </c>
      <c r="Q136" s="86">
        <v>54918</v>
      </c>
      <c r="R136" s="86">
        <v>314682</v>
      </c>
      <c r="S136" s="85">
        <v>83060</v>
      </c>
      <c r="T136" s="85">
        <v>19060</v>
      </c>
      <c r="U136" s="85">
        <v>54106</v>
      </c>
      <c r="V136" s="84">
        <v>93271</v>
      </c>
      <c r="W136" s="84">
        <v>564179</v>
      </c>
    </row>
    <row r="137" spans="1:23" ht="30" x14ac:dyDescent="0.2">
      <c r="A137" s="57" t="s">
        <v>32</v>
      </c>
      <c r="B137" s="95" t="s">
        <v>128</v>
      </c>
      <c r="C137" s="95" t="s">
        <v>810</v>
      </c>
      <c r="D137" s="95" t="s">
        <v>809</v>
      </c>
      <c r="E137" s="92" t="s">
        <v>780</v>
      </c>
      <c r="F137" s="94" t="s">
        <v>128</v>
      </c>
      <c r="G137" s="93" t="s">
        <v>808</v>
      </c>
      <c r="H137" s="92" t="s">
        <v>779</v>
      </c>
      <c r="I137" s="91">
        <v>23</v>
      </c>
      <c r="J137" s="88">
        <v>23000</v>
      </c>
      <c r="K137" s="90">
        <v>0</v>
      </c>
      <c r="L137" s="89">
        <v>0</v>
      </c>
      <c r="M137" s="88">
        <v>0</v>
      </c>
      <c r="N137" s="88">
        <v>11259512</v>
      </c>
      <c r="O137" s="88">
        <v>781700</v>
      </c>
      <c r="P137" s="87">
        <v>804700</v>
      </c>
      <c r="Q137" s="86">
        <v>78170</v>
      </c>
      <c r="R137" s="86">
        <v>448837</v>
      </c>
      <c r="S137" s="85">
        <v>118471</v>
      </c>
      <c r="T137" s="85">
        <v>27186</v>
      </c>
      <c r="U137" s="85">
        <v>77172</v>
      </c>
      <c r="V137" s="84">
        <v>133034</v>
      </c>
      <c r="W137" s="84">
        <v>804700</v>
      </c>
    </row>
    <row r="138" spans="1:23" x14ac:dyDescent="0.2">
      <c r="A138" s="57" t="s">
        <v>32</v>
      </c>
      <c r="B138" s="95" t="s">
        <v>131</v>
      </c>
      <c r="C138" s="95" t="s">
        <v>26</v>
      </c>
      <c r="D138" s="95" t="s">
        <v>27</v>
      </c>
      <c r="E138" s="95" t="s">
        <v>27</v>
      </c>
      <c r="F138" s="94" t="s">
        <v>131</v>
      </c>
      <c r="G138" s="93" t="s">
        <v>132</v>
      </c>
      <c r="H138" s="92" t="s">
        <v>778</v>
      </c>
      <c r="I138" s="91">
        <v>0</v>
      </c>
      <c r="J138" s="88">
        <v>0</v>
      </c>
      <c r="K138" s="90">
        <v>0</v>
      </c>
      <c r="L138" s="89">
        <v>0</v>
      </c>
      <c r="M138" s="88">
        <v>0</v>
      </c>
      <c r="N138" s="88">
        <v>391755</v>
      </c>
      <c r="O138" s="88">
        <v>27198</v>
      </c>
      <c r="P138" s="87">
        <v>27198</v>
      </c>
      <c r="Q138" s="86">
        <v>2720</v>
      </c>
      <c r="R138" s="86">
        <v>15171</v>
      </c>
      <c r="S138" s="85">
        <v>4004</v>
      </c>
      <c r="T138" s="85">
        <v>919</v>
      </c>
      <c r="U138" s="85">
        <v>2608</v>
      </c>
      <c r="V138" s="84">
        <v>4496</v>
      </c>
      <c r="W138" s="84">
        <v>27198</v>
      </c>
    </row>
    <row r="139" spans="1:23" x14ac:dyDescent="0.2">
      <c r="A139" s="57" t="s">
        <v>32</v>
      </c>
      <c r="B139" s="95" t="s">
        <v>131</v>
      </c>
      <c r="C139" s="95" t="s">
        <v>515</v>
      </c>
      <c r="D139" s="95" t="s">
        <v>516</v>
      </c>
      <c r="E139" s="92" t="s">
        <v>781</v>
      </c>
      <c r="F139" s="94" t="s">
        <v>517</v>
      </c>
      <c r="G139" s="93" t="s">
        <v>518</v>
      </c>
      <c r="H139" s="92" t="s">
        <v>779</v>
      </c>
      <c r="I139" s="91">
        <v>4</v>
      </c>
      <c r="J139" s="88">
        <v>4000</v>
      </c>
      <c r="K139" s="90">
        <v>0</v>
      </c>
      <c r="L139" s="89">
        <v>0</v>
      </c>
      <c r="M139" s="88">
        <v>0</v>
      </c>
      <c r="N139" s="88">
        <v>2324586</v>
      </c>
      <c r="O139" s="88">
        <v>161386</v>
      </c>
      <c r="P139" s="87">
        <v>165386</v>
      </c>
      <c r="Q139" s="86">
        <v>16139</v>
      </c>
      <c r="R139" s="86">
        <v>92247</v>
      </c>
      <c r="S139" s="85">
        <v>24349</v>
      </c>
      <c r="T139" s="85">
        <v>5587</v>
      </c>
      <c r="U139" s="85">
        <v>15861</v>
      </c>
      <c r="V139" s="84">
        <v>27342</v>
      </c>
      <c r="W139" s="84">
        <v>165386</v>
      </c>
    </row>
    <row r="140" spans="1:23" ht="30" x14ac:dyDescent="0.2">
      <c r="A140" s="57" t="s">
        <v>32</v>
      </c>
      <c r="B140" s="95" t="s">
        <v>131</v>
      </c>
      <c r="C140" s="95" t="s">
        <v>311</v>
      </c>
      <c r="D140" s="95" t="s">
        <v>312</v>
      </c>
      <c r="E140" s="92" t="s">
        <v>781</v>
      </c>
      <c r="F140" s="94" t="s">
        <v>313</v>
      </c>
      <c r="G140" s="93" t="s">
        <v>314</v>
      </c>
      <c r="H140" s="92" t="s">
        <v>779</v>
      </c>
      <c r="I140" s="91">
        <v>48</v>
      </c>
      <c r="J140" s="88">
        <v>48000</v>
      </c>
      <c r="K140" s="90">
        <v>0</v>
      </c>
      <c r="L140" s="89">
        <v>0</v>
      </c>
      <c r="M140" s="88">
        <v>0</v>
      </c>
      <c r="N140" s="88">
        <v>21614961</v>
      </c>
      <c r="O140" s="88">
        <v>1500635</v>
      </c>
      <c r="P140" s="87">
        <v>1548635</v>
      </c>
      <c r="Q140" s="86">
        <v>150064</v>
      </c>
      <c r="R140" s="86">
        <v>863781</v>
      </c>
      <c r="S140" s="85">
        <v>227996</v>
      </c>
      <c r="T140" s="85">
        <v>52318</v>
      </c>
      <c r="U140" s="85">
        <v>148517</v>
      </c>
      <c r="V140" s="84">
        <v>256023</v>
      </c>
      <c r="W140" s="84">
        <v>1548635</v>
      </c>
    </row>
    <row r="141" spans="1:23" x14ac:dyDescent="0.2">
      <c r="A141" s="57" t="s">
        <v>32</v>
      </c>
      <c r="B141" s="95" t="s">
        <v>134</v>
      </c>
      <c r="C141" s="95" t="s">
        <v>26</v>
      </c>
      <c r="D141" s="95" t="s">
        <v>27</v>
      </c>
      <c r="E141" s="95" t="s">
        <v>27</v>
      </c>
      <c r="F141" s="94" t="s">
        <v>134</v>
      </c>
      <c r="G141" s="93" t="s">
        <v>135</v>
      </c>
      <c r="H141" s="92" t="s">
        <v>778</v>
      </c>
      <c r="I141" s="91">
        <v>445</v>
      </c>
      <c r="J141" s="88">
        <v>445000</v>
      </c>
      <c r="K141" s="90">
        <v>0</v>
      </c>
      <c r="L141" s="89">
        <v>0</v>
      </c>
      <c r="M141" s="88">
        <v>0</v>
      </c>
      <c r="N141" s="88">
        <v>388886304</v>
      </c>
      <c r="O141" s="88">
        <v>26998721</v>
      </c>
      <c r="P141" s="87">
        <v>27443721</v>
      </c>
      <c r="Q141" s="86">
        <v>2699872</v>
      </c>
      <c r="R141" s="86">
        <v>15307273</v>
      </c>
      <c r="S141" s="85">
        <v>4040362</v>
      </c>
      <c r="T141" s="85">
        <v>927143</v>
      </c>
      <c r="U141" s="85">
        <v>2631902</v>
      </c>
      <c r="V141" s="84">
        <v>4537041</v>
      </c>
      <c r="W141" s="84">
        <v>27443721</v>
      </c>
    </row>
    <row r="142" spans="1:23" x14ac:dyDescent="0.2">
      <c r="A142" s="57" t="s">
        <v>32</v>
      </c>
      <c r="B142" s="95" t="s">
        <v>134</v>
      </c>
      <c r="C142" s="95" t="s">
        <v>520</v>
      </c>
      <c r="D142" s="95" t="s">
        <v>521</v>
      </c>
      <c r="E142" s="92" t="s">
        <v>781</v>
      </c>
      <c r="F142" s="94" t="s">
        <v>522</v>
      </c>
      <c r="G142" s="93" t="s">
        <v>523</v>
      </c>
      <c r="H142" s="92" t="s">
        <v>779</v>
      </c>
      <c r="I142" s="91">
        <v>6</v>
      </c>
      <c r="J142" s="88">
        <v>6000</v>
      </c>
      <c r="K142" s="90">
        <v>0</v>
      </c>
      <c r="L142" s="89">
        <v>0</v>
      </c>
      <c r="M142" s="88">
        <v>0</v>
      </c>
      <c r="N142" s="88">
        <v>12016917</v>
      </c>
      <c r="O142" s="88">
        <v>834283</v>
      </c>
      <c r="P142" s="87">
        <v>840283</v>
      </c>
      <c r="Q142" s="86">
        <v>83428</v>
      </c>
      <c r="R142" s="86">
        <v>468684</v>
      </c>
      <c r="S142" s="85">
        <v>123709</v>
      </c>
      <c r="T142" s="85">
        <v>28388</v>
      </c>
      <c r="U142" s="85">
        <v>80585</v>
      </c>
      <c r="V142" s="84">
        <v>138917</v>
      </c>
      <c r="W142" s="84">
        <v>840283</v>
      </c>
    </row>
    <row r="143" spans="1:23" x14ac:dyDescent="0.2">
      <c r="A143" s="57" t="s">
        <v>32</v>
      </c>
      <c r="B143" s="95" t="s">
        <v>134</v>
      </c>
      <c r="C143" s="95" t="s">
        <v>271</v>
      </c>
      <c r="D143" s="95" t="s">
        <v>272</v>
      </c>
      <c r="E143" s="92" t="s">
        <v>781</v>
      </c>
      <c r="F143" s="94" t="s">
        <v>273</v>
      </c>
      <c r="G143" s="93" t="s">
        <v>274</v>
      </c>
      <c r="H143" s="92" t="s">
        <v>779</v>
      </c>
      <c r="I143" s="91">
        <v>27</v>
      </c>
      <c r="J143" s="88">
        <v>27000</v>
      </c>
      <c r="K143" s="90">
        <v>0</v>
      </c>
      <c r="L143" s="89">
        <v>0</v>
      </c>
      <c r="M143" s="88">
        <v>0</v>
      </c>
      <c r="N143" s="88">
        <v>2699849</v>
      </c>
      <c r="O143" s="88">
        <v>187439</v>
      </c>
      <c r="P143" s="87">
        <v>214439</v>
      </c>
      <c r="Q143" s="86">
        <v>18744</v>
      </c>
      <c r="R143" s="86">
        <v>119609</v>
      </c>
      <c r="S143" s="85">
        <v>31570</v>
      </c>
      <c r="T143" s="85">
        <v>7244</v>
      </c>
      <c r="U143" s="85">
        <v>20565</v>
      </c>
      <c r="V143" s="84">
        <v>35451</v>
      </c>
      <c r="W143" s="84">
        <v>214439</v>
      </c>
    </row>
    <row r="144" spans="1:23" x14ac:dyDescent="0.2">
      <c r="A144" s="57" t="s">
        <v>32</v>
      </c>
      <c r="B144" s="95" t="s">
        <v>137</v>
      </c>
      <c r="C144" s="95" t="s">
        <v>26</v>
      </c>
      <c r="D144" s="95" t="s">
        <v>27</v>
      </c>
      <c r="E144" s="95" t="s">
        <v>27</v>
      </c>
      <c r="F144" s="94" t="s">
        <v>137</v>
      </c>
      <c r="G144" s="93" t="s">
        <v>138</v>
      </c>
      <c r="H144" s="92" t="s">
        <v>778</v>
      </c>
      <c r="I144" s="91">
        <v>3</v>
      </c>
      <c r="J144" s="88">
        <v>3000</v>
      </c>
      <c r="K144" s="90">
        <v>0</v>
      </c>
      <c r="L144" s="89">
        <v>0</v>
      </c>
      <c r="M144" s="88">
        <v>0</v>
      </c>
      <c r="N144" s="88">
        <v>2167848</v>
      </c>
      <c r="O144" s="88">
        <v>150504</v>
      </c>
      <c r="P144" s="87">
        <v>153504</v>
      </c>
      <c r="Q144" s="86">
        <v>15050</v>
      </c>
      <c r="R144" s="86">
        <v>85620</v>
      </c>
      <c r="S144" s="85">
        <v>22599</v>
      </c>
      <c r="T144" s="85">
        <v>5186</v>
      </c>
      <c r="U144" s="85">
        <v>14721</v>
      </c>
      <c r="V144" s="84">
        <v>25378</v>
      </c>
      <c r="W144" s="84">
        <v>153504</v>
      </c>
    </row>
    <row r="145" spans="1:23" x14ac:dyDescent="0.2">
      <c r="A145" s="57" t="s">
        <v>32</v>
      </c>
      <c r="B145" s="95" t="s">
        <v>140</v>
      </c>
      <c r="C145" s="95" t="s">
        <v>26</v>
      </c>
      <c r="D145" s="95" t="s">
        <v>27</v>
      </c>
      <c r="E145" s="95" t="s">
        <v>27</v>
      </c>
      <c r="F145" s="94" t="s">
        <v>140</v>
      </c>
      <c r="G145" s="93" t="s">
        <v>141</v>
      </c>
      <c r="H145" s="92" t="s">
        <v>778</v>
      </c>
      <c r="I145" s="91">
        <v>926</v>
      </c>
      <c r="J145" s="88">
        <v>926000</v>
      </c>
      <c r="K145" s="90">
        <v>0</v>
      </c>
      <c r="L145" s="89">
        <v>0</v>
      </c>
      <c r="M145" s="88">
        <v>0</v>
      </c>
      <c r="N145" s="88">
        <v>203020427</v>
      </c>
      <c r="O145" s="88">
        <v>14094844</v>
      </c>
      <c r="P145" s="87">
        <v>15020844</v>
      </c>
      <c r="Q145" s="86">
        <v>1409484</v>
      </c>
      <c r="R145" s="86">
        <v>8378170</v>
      </c>
      <c r="S145" s="85">
        <v>2211422</v>
      </c>
      <c r="T145" s="85">
        <v>507455</v>
      </c>
      <c r="U145" s="85">
        <v>1440526</v>
      </c>
      <c r="V145" s="84">
        <v>2483271</v>
      </c>
      <c r="W145" s="84">
        <v>15020844</v>
      </c>
    </row>
    <row r="146" spans="1:23" x14ac:dyDescent="0.2">
      <c r="A146" s="57" t="s">
        <v>32</v>
      </c>
      <c r="B146" s="95" t="s">
        <v>140</v>
      </c>
      <c r="C146" s="95" t="s">
        <v>351</v>
      </c>
      <c r="D146" s="95" t="s">
        <v>352</v>
      </c>
      <c r="E146" s="92" t="s">
        <v>781</v>
      </c>
      <c r="F146" s="94" t="s">
        <v>353</v>
      </c>
      <c r="G146" s="93" t="s">
        <v>354</v>
      </c>
      <c r="H146" s="92" t="s">
        <v>779</v>
      </c>
      <c r="I146" s="91">
        <v>34</v>
      </c>
      <c r="J146" s="88">
        <v>34000</v>
      </c>
      <c r="K146" s="90">
        <v>0</v>
      </c>
      <c r="L146" s="89">
        <v>0</v>
      </c>
      <c r="M146" s="88">
        <v>0</v>
      </c>
      <c r="N146" s="88">
        <v>14642153</v>
      </c>
      <c r="O146" s="88">
        <v>1016542</v>
      </c>
      <c r="P146" s="87">
        <v>1050542</v>
      </c>
      <c r="Q146" s="86">
        <v>101654</v>
      </c>
      <c r="R146" s="86">
        <v>585960</v>
      </c>
      <c r="S146" s="85">
        <v>154665</v>
      </c>
      <c r="T146" s="85">
        <v>35491</v>
      </c>
      <c r="U146" s="85">
        <v>100749</v>
      </c>
      <c r="V146" s="84">
        <v>173677</v>
      </c>
      <c r="W146" s="84">
        <v>1050542</v>
      </c>
    </row>
    <row r="147" spans="1:23" x14ac:dyDescent="0.2">
      <c r="A147" s="57" t="s">
        <v>32</v>
      </c>
      <c r="B147" s="95" t="s">
        <v>140</v>
      </c>
      <c r="C147" s="95" t="s">
        <v>421</v>
      </c>
      <c r="D147" s="95" t="s">
        <v>422</v>
      </c>
      <c r="E147" s="92" t="s">
        <v>781</v>
      </c>
      <c r="F147" s="94" t="s">
        <v>423</v>
      </c>
      <c r="G147" s="93" t="s">
        <v>424</v>
      </c>
      <c r="H147" s="92" t="s">
        <v>779</v>
      </c>
      <c r="I147" s="91">
        <v>18</v>
      </c>
      <c r="J147" s="88">
        <v>18000</v>
      </c>
      <c r="K147" s="90">
        <v>0</v>
      </c>
      <c r="L147" s="89">
        <v>0</v>
      </c>
      <c r="M147" s="88">
        <v>0</v>
      </c>
      <c r="N147" s="88">
        <v>1917081</v>
      </c>
      <c r="O147" s="88">
        <v>133095</v>
      </c>
      <c r="P147" s="87">
        <v>151095</v>
      </c>
      <c r="Q147" s="86">
        <v>13310</v>
      </c>
      <c r="R147" s="86">
        <v>84276</v>
      </c>
      <c r="S147" s="85">
        <v>22245</v>
      </c>
      <c r="T147" s="85">
        <v>5105</v>
      </c>
      <c r="U147" s="85">
        <v>14490</v>
      </c>
      <c r="V147" s="84">
        <v>24979</v>
      </c>
      <c r="W147" s="84">
        <v>151095</v>
      </c>
    </row>
    <row r="148" spans="1:23" x14ac:dyDescent="0.2">
      <c r="A148" s="57" t="s">
        <v>32</v>
      </c>
      <c r="B148" s="95" t="s">
        <v>140</v>
      </c>
      <c r="C148" s="95" t="s">
        <v>510</v>
      </c>
      <c r="D148" s="95" t="s">
        <v>511</v>
      </c>
      <c r="E148" s="92" t="s">
        <v>781</v>
      </c>
      <c r="F148" s="94" t="s">
        <v>512</v>
      </c>
      <c r="G148" s="93" t="s">
        <v>513</v>
      </c>
      <c r="H148" s="92" t="s">
        <v>779</v>
      </c>
      <c r="I148" s="91">
        <v>4</v>
      </c>
      <c r="J148" s="88">
        <v>4000</v>
      </c>
      <c r="K148" s="90">
        <v>0</v>
      </c>
      <c r="L148" s="89">
        <v>0</v>
      </c>
      <c r="M148" s="88">
        <v>0</v>
      </c>
      <c r="N148" s="88">
        <v>658587</v>
      </c>
      <c r="O148" s="88">
        <v>45723</v>
      </c>
      <c r="P148" s="87">
        <v>49723</v>
      </c>
      <c r="Q148" s="86">
        <v>4572</v>
      </c>
      <c r="R148" s="86">
        <v>27734</v>
      </c>
      <c r="S148" s="85">
        <v>7320</v>
      </c>
      <c r="T148" s="85">
        <v>1680</v>
      </c>
      <c r="U148" s="85">
        <v>4769</v>
      </c>
      <c r="V148" s="84">
        <v>8220</v>
      </c>
      <c r="W148" s="84">
        <v>49723</v>
      </c>
    </row>
    <row r="149" spans="1:23" x14ac:dyDescent="0.2">
      <c r="A149" s="57" t="s">
        <v>32</v>
      </c>
      <c r="B149" s="95" t="s">
        <v>140</v>
      </c>
      <c r="C149" s="95" t="s">
        <v>540</v>
      </c>
      <c r="D149" s="95" t="s">
        <v>541</v>
      </c>
      <c r="E149" s="92" t="s">
        <v>781</v>
      </c>
      <c r="F149" s="94" t="s">
        <v>542</v>
      </c>
      <c r="G149" s="93" t="s">
        <v>543</v>
      </c>
      <c r="H149" s="92" t="s">
        <v>779</v>
      </c>
      <c r="I149" s="91">
        <v>38</v>
      </c>
      <c r="J149" s="88">
        <v>38000</v>
      </c>
      <c r="K149" s="90">
        <v>0</v>
      </c>
      <c r="L149" s="89">
        <v>0</v>
      </c>
      <c r="M149" s="88">
        <v>0</v>
      </c>
      <c r="N149" s="88">
        <v>5298817</v>
      </c>
      <c r="O149" s="88">
        <v>367874</v>
      </c>
      <c r="P149" s="87">
        <v>405874</v>
      </c>
      <c r="Q149" s="86">
        <v>36787</v>
      </c>
      <c r="R149" s="86">
        <v>226384</v>
      </c>
      <c r="S149" s="85">
        <v>59754</v>
      </c>
      <c r="T149" s="85">
        <v>13712</v>
      </c>
      <c r="U149" s="85">
        <v>38924</v>
      </c>
      <c r="V149" s="84">
        <v>67100</v>
      </c>
      <c r="W149" s="84">
        <v>405874</v>
      </c>
    </row>
    <row r="150" spans="1:23" x14ac:dyDescent="0.2">
      <c r="A150" s="57" t="s">
        <v>32</v>
      </c>
      <c r="B150" s="95" t="s">
        <v>140</v>
      </c>
      <c r="C150" s="95" t="s">
        <v>181</v>
      </c>
      <c r="D150" s="95" t="s">
        <v>182</v>
      </c>
      <c r="E150" s="92" t="s">
        <v>781</v>
      </c>
      <c r="F150" s="94" t="s">
        <v>183</v>
      </c>
      <c r="G150" s="93" t="s">
        <v>184</v>
      </c>
      <c r="H150" s="92" t="s">
        <v>779</v>
      </c>
      <c r="I150" s="91">
        <v>57</v>
      </c>
      <c r="J150" s="88">
        <v>57000</v>
      </c>
      <c r="K150" s="90">
        <v>0</v>
      </c>
      <c r="L150" s="89">
        <v>0</v>
      </c>
      <c r="M150" s="88">
        <v>0</v>
      </c>
      <c r="N150" s="88">
        <v>13616555</v>
      </c>
      <c r="O150" s="88">
        <v>945339</v>
      </c>
      <c r="P150" s="87">
        <v>1002339</v>
      </c>
      <c r="Q150" s="86">
        <v>94534</v>
      </c>
      <c r="R150" s="86">
        <v>559075</v>
      </c>
      <c r="S150" s="85">
        <v>147568</v>
      </c>
      <c r="T150" s="85">
        <v>33862</v>
      </c>
      <c r="U150" s="85">
        <v>96126</v>
      </c>
      <c r="V150" s="84">
        <v>165708</v>
      </c>
      <c r="W150" s="84">
        <v>1002339</v>
      </c>
    </row>
    <row r="151" spans="1:23" x14ac:dyDescent="0.2">
      <c r="A151" s="57" t="s">
        <v>32</v>
      </c>
      <c r="B151" s="95" t="s">
        <v>143</v>
      </c>
      <c r="C151" s="95" t="s">
        <v>26</v>
      </c>
      <c r="D151" s="95" t="s">
        <v>27</v>
      </c>
      <c r="E151" s="95" t="s">
        <v>27</v>
      </c>
      <c r="F151" s="94" t="s">
        <v>143</v>
      </c>
      <c r="G151" s="93" t="s">
        <v>144</v>
      </c>
      <c r="H151" s="92" t="s">
        <v>778</v>
      </c>
      <c r="I151" s="91">
        <v>19</v>
      </c>
      <c r="J151" s="88">
        <v>19000</v>
      </c>
      <c r="K151" s="90">
        <v>0</v>
      </c>
      <c r="L151" s="89">
        <v>0</v>
      </c>
      <c r="M151" s="88">
        <v>0</v>
      </c>
      <c r="N151" s="88">
        <v>100957116</v>
      </c>
      <c r="O151" s="88">
        <v>7009023</v>
      </c>
      <c r="P151" s="87">
        <v>7028023</v>
      </c>
      <c r="Q151" s="86">
        <v>700902</v>
      </c>
      <c r="R151" s="86">
        <v>3920017</v>
      </c>
      <c r="S151" s="85">
        <v>1034691</v>
      </c>
      <c r="T151" s="85">
        <v>237431</v>
      </c>
      <c r="U151" s="85">
        <v>674000</v>
      </c>
      <c r="V151" s="84">
        <v>1161884</v>
      </c>
      <c r="W151" s="84">
        <v>7028023</v>
      </c>
    </row>
    <row r="152" spans="1:23" x14ac:dyDescent="0.2">
      <c r="A152" s="57" t="s">
        <v>32</v>
      </c>
      <c r="B152" s="95" t="s">
        <v>146</v>
      </c>
      <c r="C152" s="95" t="s">
        <v>26</v>
      </c>
      <c r="D152" s="95" t="s">
        <v>27</v>
      </c>
      <c r="E152" s="95" t="s">
        <v>27</v>
      </c>
      <c r="F152" s="94" t="s">
        <v>146</v>
      </c>
      <c r="G152" s="93" t="s">
        <v>147</v>
      </c>
      <c r="H152" s="92" t="s">
        <v>778</v>
      </c>
      <c r="I152" s="91">
        <v>32</v>
      </c>
      <c r="J152" s="88">
        <v>32000</v>
      </c>
      <c r="K152" s="90">
        <v>0</v>
      </c>
      <c r="L152" s="89">
        <v>0</v>
      </c>
      <c r="M152" s="88">
        <v>0</v>
      </c>
      <c r="N152" s="88">
        <v>167527644</v>
      </c>
      <c r="O152" s="88">
        <v>11630731</v>
      </c>
      <c r="P152" s="87">
        <v>11662731</v>
      </c>
      <c r="Q152" s="86">
        <v>1163073</v>
      </c>
      <c r="R152" s="86">
        <v>6505116</v>
      </c>
      <c r="S152" s="85">
        <v>1717029</v>
      </c>
      <c r="T152" s="85">
        <v>394007</v>
      </c>
      <c r="U152" s="85">
        <v>1118477</v>
      </c>
      <c r="V152" s="84">
        <v>1928102</v>
      </c>
      <c r="W152" s="84">
        <v>11662731</v>
      </c>
    </row>
    <row r="153" spans="1:23" x14ac:dyDescent="0.2">
      <c r="A153" s="57" t="s">
        <v>32</v>
      </c>
      <c r="B153" s="95" t="s">
        <v>146</v>
      </c>
      <c r="C153" s="95" t="s">
        <v>316</v>
      </c>
      <c r="D153" s="95" t="s">
        <v>317</v>
      </c>
      <c r="E153" s="92" t="s">
        <v>781</v>
      </c>
      <c r="F153" s="94" t="s">
        <v>318</v>
      </c>
      <c r="G153" s="93" t="s">
        <v>807</v>
      </c>
      <c r="H153" s="92" t="s">
        <v>779</v>
      </c>
      <c r="I153" s="91">
        <v>6</v>
      </c>
      <c r="J153" s="88">
        <v>6000</v>
      </c>
      <c r="K153" s="90">
        <v>0</v>
      </c>
      <c r="L153" s="89">
        <v>0</v>
      </c>
      <c r="M153" s="88">
        <v>0</v>
      </c>
      <c r="N153" s="88">
        <v>13609806</v>
      </c>
      <c r="O153" s="88">
        <v>944871</v>
      </c>
      <c r="P153" s="87">
        <v>950871</v>
      </c>
      <c r="Q153" s="86">
        <v>94487</v>
      </c>
      <c r="R153" s="86">
        <v>530366</v>
      </c>
      <c r="S153" s="85">
        <v>139991</v>
      </c>
      <c r="T153" s="85">
        <v>32124</v>
      </c>
      <c r="U153" s="85">
        <v>91190</v>
      </c>
      <c r="V153" s="84">
        <v>157200</v>
      </c>
      <c r="W153" s="84">
        <v>950871</v>
      </c>
    </row>
    <row r="154" spans="1:23" x14ac:dyDescent="0.2">
      <c r="A154" s="57" t="s">
        <v>32</v>
      </c>
      <c r="B154" s="95" t="s">
        <v>146</v>
      </c>
      <c r="C154" s="95" t="s">
        <v>241</v>
      </c>
      <c r="D154" s="95" t="s">
        <v>242</v>
      </c>
      <c r="E154" s="92" t="s">
        <v>781</v>
      </c>
      <c r="F154" s="94" t="s">
        <v>243</v>
      </c>
      <c r="G154" s="93" t="s">
        <v>244</v>
      </c>
      <c r="H154" s="92" t="s">
        <v>779</v>
      </c>
      <c r="I154" s="91">
        <v>56</v>
      </c>
      <c r="J154" s="88">
        <v>56000</v>
      </c>
      <c r="K154" s="90">
        <v>0</v>
      </c>
      <c r="L154" s="89">
        <v>0</v>
      </c>
      <c r="M154" s="88">
        <v>0</v>
      </c>
      <c r="N154" s="88">
        <v>7699112</v>
      </c>
      <c r="O154" s="88">
        <v>534517</v>
      </c>
      <c r="P154" s="87">
        <v>590517</v>
      </c>
      <c r="Q154" s="86">
        <v>53452</v>
      </c>
      <c r="R154" s="86">
        <v>329372</v>
      </c>
      <c r="S154" s="85">
        <v>86938</v>
      </c>
      <c r="T154" s="85">
        <v>19950</v>
      </c>
      <c r="U154" s="85">
        <v>56632</v>
      </c>
      <c r="V154" s="84">
        <v>97625</v>
      </c>
      <c r="W154" s="84">
        <v>590517</v>
      </c>
    </row>
    <row r="155" spans="1:23" x14ac:dyDescent="0.2">
      <c r="A155" s="57" t="s">
        <v>32</v>
      </c>
      <c r="B155" s="95" t="s">
        <v>149</v>
      </c>
      <c r="C155" s="95" t="s">
        <v>26</v>
      </c>
      <c r="D155" s="95" t="s">
        <v>27</v>
      </c>
      <c r="E155" s="95" t="s">
        <v>27</v>
      </c>
      <c r="F155" s="94" t="s">
        <v>149</v>
      </c>
      <c r="G155" s="93" t="s">
        <v>150</v>
      </c>
      <c r="H155" s="92" t="s">
        <v>778</v>
      </c>
      <c r="I155" s="91">
        <v>201</v>
      </c>
      <c r="J155" s="88">
        <v>201000</v>
      </c>
      <c r="K155" s="90">
        <v>0</v>
      </c>
      <c r="L155" s="89">
        <v>0</v>
      </c>
      <c r="M155" s="88">
        <v>0</v>
      </c>
      <c r="N155" s="88">
        <v>186994787</v>
      </c>
      <c r="O155" s="88">
        <v>12982252</v>
      </c>
      <c r="P155" s="87">
        <v>13183252</v>
      </c>
      <c r="Q155" s="86">
        <v>1298225</v>
      </c>
      <c r="R155" s="86">
        <v>7353217</v>
      </c>
      <c r="S155" s="85">
        <v>1940885</v>
      </c>
      <c r="T155" s="85">
        <v>445375</v>
      </c>
      <c r="U155" s="85">
        <v>1264298</v>
      </c>
      <c r="V155" s="84">
        <v>2179477</v>
      </c>
      <c r="W155" s="84">
        <v>13183252</v>
      </c>
    </row>
    <row r="156" spans="1:23" ht="30" x14ac:dyDescent="0.2">
      <c r="A156" s="57" t="s">
        <v>32</v>
      </c>
      <c r="B156" s="95" t="s">
        <v>149</v>
      </c>
      <c r="C156" s="95" t="s">
        <v>686</v>
      </c>
      <c r="D156" s="95" t="s">
        <v>687</v>
      </c>
      <c r="E156" s="92" t="s">
        <v>781</v>
      </c>
      <c r="F156" s="94" t="s">
        <v>688</v>
      </c>
      <c r="G156" s="93" t="s">
        <v>689</v>
      </c>
      <c r="H156" s="92" t="s">
        <v>779</v>
      </c>
      <c r="I156" s="91">
        <v>7</v>
      </c>
      <c r="J156" s="88">
        <v>7000</v>
      </c>
      <c r="K156" s="90">
        <v>0</v>
      </c>
      <c r="L156" s="89">
        <v>0</v>
      </c>
      <c r="M156" s="88">
        <v>0</v>
      </c>
      <c r="N156" s="88">
        <v>1119341</v>
      </c>
      <c r="O156" s="88">
        <v>77711</v>
      </c>
      <c r="P156" s="87">
        <v>84711</v>
      </c>
      <c r="Q156" s="86">
        <v>7771</v>
      </c>
      <c r="R156" s="86">
        <v>47249</v>
      </c>
      <c r="S156" s="85">
        <v>12471</v>
      </c>
      <c r="T156" s="85">
        <v>2862</v>
      </c>
      <c r="U156" s="85">
        <v>8124</v>
      </c>
      <c r="V156" s="84">
        <v>14005</v>
      </c>
      <c r="W156" s="84">
        <v>84711</v>
      </c>
    </row>
    <row r="157" spans="1:23" x14ac:dyDescent="0.2">
      <c r="A157" s="57" t="s">
        <v>32</v>
      </c>
      <c r="B157" s="95" t="s">
        <v>152</v>
      </c>
      <c r="C157" s="95" t="s">
        <v>26</v>
      </c>
      <c r="D157" s="95" t="s">
        <v>27</v>
      </c>
      <c r="E157" s="95" t="s">
        <v>27</v>
      </c>
      <c r="F157" s="94" t="s">
        <v>152</v>
      </c>
      <c r="G157" s="93" t="s">
        <v>153</v>
      </c>
      <c r="H157" s="92" t="s">
        <v>778</v>
      </c>
      <c r="I157" s="91">
        <v>1</v>
      </c>
      <c r="J157" s="88">
        <v>1000</v>
      </c>
      <c r="K157" s="90">
        <v>0</v>
      </c>
      <c r="L157" s="89">
        <v>0</v>
      </c>
      <c r="M157" s="88">
        <v>0</v>
      </c>
      <c r="N157" s="88">
        <v>2677905</v>
      </c>
      <c r="O157" s="88">
        <v>185916</v>
      </c>
      <c r="P157" s="87">
        <v>186916</v>
      </c>
      <c r="Q157" s="86">
        <v>18592</v>
      </c>
      <c r="R157" s="86">
        <v>104256</v>
      </c>
      <c r="S157" s="85">
        <v>27518</v>
      </c>
      <c r="T157" s="85">
        <v>6315</v>
      </c>
      <c r="U157" s="85">
        <v>17926</v>
      </c>
      <c r="V157" s="84">
        <v>30901</v>
      </c>
      <c r="W157" s="84">
        <v>186916</v>
      </c>
    </row>
    <row r="158" spans="1:23" x14ac:dyDescent="0.2">
      <c r="A158" s="57" t="s">
        <v>32</v>
      </c>
      <c r="B158" s="95" t="s">
        <v>152</v>
      </c>
      <c r="C158" s="95" t="s">
        <v>476</v>
      </c>
      <c r="D158" s="95" t="s">
        <v>477</v>
      </c>
      <c r="E158" s="92" t="s">
        <v>781</v>
      </c>
      <c r="F158" s="94" t="s">
        <v>478</v>
      </c>
      <c r="G158" s="93" t="s">
        <v>479</v>
      </c>
      <c r="H158" s="92" t="s">
        <v>779</v>
      </c>
      <c r="I158" s="91">
        <v>13</v>
      </c>
      <c r="J158" s="88">
        <v>13000</v>
      </c>
      <c r="K158" s="90">
        <v>0</v>
      </c>
      <c r="L158" s="89">
        <v>0</v>
      </c>
      <c r="M158" s="88">
        <v>0</v>
      </c>
      <c r="N158" s="88">
        <v>571498</v>
      </c>
      <c r="O158" s="88">
        <v>39677</v>
      </c>
      <c r="P158" s="87">
        <v>52677</v>
      </c>
      <c r="Q158" s="86">
        <v>3968</v>
      </c>
      <c r="R158" s="86">
        <v>29381</v>
      </c>
      <c r="S158" s="85">
        <v>7755</v>
      </c>
      <c r="T158" s="85">
        <v>1780</v>
      </c>
      <c r="U158" s="85">
        <v>5052</v>
      </c>
      <c r="V158" s="84">
        <v>8709</v>
      </c>
      <c r="W158" s="84">
        <v>52677</v>
      </c>
    </row>
    <row r="159" spans="1:23" ht="30" x14ac:dyDescent="0.2">
      <c r="A159" s="57" t="s">
        <v>32</v>
      </c>
      <c r="B159" s="95" t="s">
        <v>152</v>
      </c>
      <c r="C159" s="95" t="s">
        <v>585</v>
      </c>
      <c r="D159" s="95" t="s">
        <v>586</v>
      </c>
      <c r="E159" s="92" t="s">
        <v>781</v>
      </c>
      <c r="F159" s="94" t="s">
        <v>587</v>
      </c>
      <c r="G159" s="93" t="s">
        <v>806</v>
      </c>
      <c r="H159" s="92" t="s">
        <v>779</v>
      </c>
      <c r="I159" s="91">
        <v>6</v>
      </c>
      <c r="J159" s="88">
        <v>6000</v>
      </c>
      <c r="K159" s="90">
        <v>0</v>
      </c>
      <c r="L159" s="89">
        <v>0</v>
      </c>
      <c r="M159" s="88">
        <v>0</v>
      </c>
      <c r="N159" s="88">
        <v>2550421</v>
      </c>
      <c r="O159" s="88">
        <v>177065</v>
      </c>
      <c r="P159" s="87">
        <v>183065</v>
      </c>
      <c r="Q159" s="86">
        <v>17707</v>
      </c>
      <c r="R159" s="86">
        <v>102108</v>
      </c>
      <c r="S159" s="85">
        <v>26951</v>
      </c>
      <c r="T159" s="85">
        <v>6185</v>
      </c>
      <c r="U159" s="85">
        <v>17556</v>
      </c>
      <c r="V159" s="84">
        <v>30265</v>
      </c>
      <c r="W159" s="84">
        <v>183065</v>
      </c>
    </row>
    <row r="160" spans="1:23" x14ac:dyDescent="0.2">
      <c r="A160" s="57" t="s">
        <v>32</v>
      </c>
      <c r="B160" s="95" t="s">
        <v>152</v>
      </c>
      <c r="C160" s="95" t="s">
        <v>711</v>
      </c>
      <c r="D160" s="95" t="s">
        <v>712</v>
      </c>
      <c r="E160" s="92" t="s">
        <v>781</v>
      </c>
      <c r="F160" s="94" t="s">
        <v>713</v>
      </c>
      <c r="G160" s="93" t="s">
        <v>714</v>
      </c>
      <c r="H160" s="92" t="s">
        <v>779</v>
      </c>
      <c r="I160" s="91">
        <v>15</v>
      </c>
      <c r="J160" s="88">
        <v>15000</v>
      </c>
      <c r="K160" s="90">
        <v>0</v>
      </c>
      <c r="L160" s="89">
        <v>0</v>
      </c>
      <c r="M160" s="88">
        <v>0</v>
      </c>
      <c r="N160" s="88">
        <v>1259572</v>
      </c>
      <c r="O160" s="88">
        <v>87447</v>
      </c>
      <c r="P160" s="87">
        <v>102447</v>
      </c>
      <c r="Q160" s="86">
        <v>8745</v>
      </c>
      <c r="R160" s="86">
        <v>57141</v>
      </c>
      <c r="S160" s="85">
        <v>15083</v>
      </c>
      <c r="T160" s="85">
        <v>3461</v>
      </c>
      <c r="U160" s="85">
        <v>9825</v>
      </c>
      <c r="V160" s="84">
        <v>16937</v>
      </c>
      <c r="W160" s="84">
        <v>102447</v>
      </c>
    </row>
    <row r="161" spans="1:23" x14ac:dyDescent="0.2">
      <c r="A161" s="57" t="s">
        <v>32</v>
      </c>
      <c r="B161" s="95" t="s">
        <v>152</v>
      </c>
      <c r="C161" s="95" t="s">
        <v>741</v>
      </c>
      <c r="D161" s="95" t="s">
        <v>742</v>
      </c>
      <c r="E161" s="92" t="s">
        <v>781</v>
      </c>
      <c r="F161" s="94" t="s">
        <v>743</v>
      </c>
      <c r="G161" s="93" t="s">
        <v>744</v>
      </c>
      <c r="H161" s="92" t="s">
        <v>779</v>
      </c>
      <c r="I161" s="91">
        <v>2</v>
      </c>
      <c r="J161" s="88">
        <v>2000</v>
      </c>
      <c r="K161" s="90">
        <v>0</v>
      </c>
      <c r="L161" s="89">
        <v>0</v>
      </c>
      <c r="M161" s="88">
        <v>0</v>
      </c>
      <c r="N161" s="88">
        <v>3303347</v>
      </c>
      <c r="O161" s="88">
        <v>229337</v>
      </c>
      <c r="P161" s="87">
        <v>231337</v>
      </c>
      <c r="Q161" s="86">
        <v>22934</v>
      </c>
      <c r="R161" s="86">
        <v>129033</v>
      </c>
      <c r="S161" s="85">
        <v>34058</v>
      </c>
      <c r="T161" s="85">
        <v>7815</v>
      </c>
      <c r="U161" s="85">
        <v>22186</v>
      </c>
      <c r="V161" s="84">
        <v>38245</v>
      </c>
      <c r="W161" s="84">
        <v>231337</v>
      </c>
    </row>
    <row r="162" spans="1:23" x14ac:dyDescent="0.2">
      <c r="A162" s="57" t="s">
        <v>32</v>
      </c>
      <c r="B162" s="95" t="s">
        <v>152</v>
      </c>
      <c r="C162" s="95" t="s">
        <v>751</v>
      </c>
      <c r="D162" s="95" t="s">
        <v>752</v>
      </c>
      <c r="E162" s="92" t="s">
        <v>781</v>
      </c>
      <c r="F162" s="94" t="s">
        <v>753</v>
      </c>
      <c r="G162" s="93" t="s">
        <v>29</v>
      </c>
      <c r="H162" s="92" t="s">
        <v>779</v>
      </c>
      <c r="I162" s="91">
        <v>4</v>
      </c>
      <c r="J162" s="88">
        <v>4000</v>
      </c>
      <c r="K162" s="90">
        <v>0</v>
      </c>
      <c r="L162" s="89">
        <v>0</v>
      </c>
      <c r="M162" s="88">
        <v>0</v>
      </c>
      <c r="N162" s="88">
        <v>9550946</v>
      </c>
      <c r="O162" s="88">
        <v>663082</v>
      </c>
      <c r="P162" s="87">
        <v>667082</v>
      </c>
      <c r="Q162" s="86">
        <v>66308</v>
      </c>
      <c r="R162" s="86">
        <v>372079</v>
      </c>
      <c r="S162" s="85">
        <v>98210</v>
      </c>
      <c r="T162" s="85">
        <v>22536</v>
      </c>
      <c r="U162" s="85">
        <v>63974</v>
      </c>
      <c r="V162" s="84">
        <v>110283</v>
      </c>
      <c r="W162" s="84">
        <v>667082</v>
      </c>
    </row>
    <row r="163" spans="1:23" ht="30" x14ac:dyDescent="0.2">
      <c r="A163" s="57" t="s">
        <v>32</v>
      </c>
      <c r="B163" s="95" t="s">
        <v>152</v>
      </c>
      <c r="C163" s="95" t="s">
        <v>746</v>
      </c>
      <c r="D163" s="95" t="s">
        <v>747</v>
      </c>
      <c r="E163" s="92" t="s">
        <v>781</v>
      </c>
      <c r="F163" s="94" t="s">
        <v>748</v>
      </c>
      <c r="G163" s="93" t="s">
        <v>749</v>
      </c>
      <c r="H163" s="92" t="s">
        <v>779</v>
      </c>
      <c r="I163" s="91">
        <v>3</v>
      </c>
      <c r="J163" s="88">
        <v>3000</v>
      </c>
      <c r="K163" s="90">
        <v>0</v>
      </c>
      <c r="L163" s="89">
        <v>0</v>
      </c>
      <c r="M163" s="88">
        <v>0</v>
      </c>
      <c r="N163" s="88">
        <v>185205</v>
      </c>
      <c r="O163" s="88">
        <v>12858</v>
      </c>
      <c r="P163" s="87">
        <v>15858</v>
      </c>
      <c r="Q163" s="86">
        <v>1286</v>
      </c>
      <c r="R163" s="86">
        <v>8844</v>
      </c>
      <c r="S163" s="85">
        <v>2335</v>
      </c>
      <c r="T163" s="85">
        <v>536</v>
      </c>
      <c r="U163" s="85">
        <v>1521</v>
      </c>
      <c r="V163" s="84">
        <v>2622</v>
      </c>
      <c r="W163" s="84">
        <v>15858</v>
      </c>
    </row>
    <row r="164" spans="1:23" x14ac:dyDescent="0.2">
      <c r="A164" s="57" t="s">
        <v>32</v>
      </c>
      <c r="B164" s="95" t="s">
        <v>152</v>
      </c>
      <c r="C164" s="95" t="s">
        <v>446</v>
      </c>
      <c r="D164" s="95" t="s">
        <v>447</v>
      </c>
      <c r="E164" s="92" t="s">
        <v>781</v>
      </c>
      <c r="F164" s="94" t="s">
        <v>448</v>
      </c>
      <c r="G164" s="93" t="s">
        <v>449</v>
      </c>
      <c r="H164" s="92" t="s">
        <v>779</v>
      </c>
      <c r="I164" s="91">
        <v>10</v>
      </c>
      <c r="J164" s="88">
        <v>10000</v>
      </c>
      <c r="K164" s="90">
        <v>0</v>
      </c>
      <c r="L164" s="89">
        <v>0</v>
      </c>
      <c r="M164" s="88">
        <v>0</v>
      </c>
      <c r="N164" s="88">
        <v>657393</v>
      </c>
      <c r="O164" s="88">
        <v>45640</v>
      </c>
      <c r="P164" s="87">
        <v>55640</v>
      </c>
      <c r="Q164" s="86">
        <v>4564</v>
      </c>
      <c r="R164" s="86">
        <v>31034</v>
      </c>
      <c r="S164" s="85">
        <v>8192</v>
      </c>
      <c r="T164" s="85">
        <v>1880</v>
      </c>
      <c r="U164" s="85">
        <v>5336</v>
      </c>
      <c r="V164" s="84">
        <v>9198</v>
      </c>
      <c r="W164" s="84">
        <v>55640</v>
      </c>
    </row>
    <row r="165" spans="1:23" x14ac:dyDescent="0.2">
      <c r="A165" s="57" t="s">
        <v>32</v>
      </c>
      <c r="B165" s="95" t="s">
        <v>155</v>
      </c>
      <c r="C165" s="95" t="s">
        <v>26</v>
      </c>
      <c r="D165" s="95" t="s">
        <v>27</v>
      </c>
      <c r="E165" s="95" t="s">
        <v>27</v>
      </c>
      <c r="F165" s="94" t="s">
        <v>155</v>
      </c>
      <c r="G165" s="93" t="s">
        <v>156</v>
      </c>
      <c r="H165" s="92" t="s">
        <v>778</v>
      </c>
      <c r="I165" s="91">
        <v>15</v>
      </c>
      <c r="J165" s="88">
        <v>15000</v>
      </c>
      <c r="K165" s="90">
        <v>0</v>
      </c>
      <c r="L165" s="89">
        <v>0</v>
      </c>
      <c r="M165" s="88">
        <v>0</v>
      </c>
      <c r="N165" s="88">
        <v>36903607</v>
      </c>
      <c r="O165" s="88">
        <v>2562060</v>
      </c>
      <c r="P165" s="87">
        <v>2577060</v>
      </c>
      <c r="Q165" s="86">
        <v>256206</v>
      </c>
      <c r="R165" s="86">
        <v>1437405</v>
      </c>
      <c r="S165" s="85">
        <v>379404</v>
      </c>
      <c r="T165" s="85">
        <v>87062</v>
      </c>
      <c r="U165" s="85">
        <v>247145</v>
      </c>
      <c r="V165" s="84">
        <v>426044</v>
      </c>
      <c r="W165" s="84">
        <v>2577060</v>
      </c>
    </row>
    <row r="166" spans="1:23" x14ac:dyDescent="0.2">
      <c r="A166" s="57" t="s">
        <v>32</v>
      </c>
      <c r="B166" s="95" t="s">
        <v>396</v>
      </c>
      <c r="C166" s="95" t="s">
        <v>805</v>
      </c>
      <c r="D166" s="95" t="s">
        <v>397</v>
      </c>
      <c r="E166" s="92" t="s">
        <v>781</v>
      </c>
      <c r="F166" s="96" t="s">
        <v>398</v>
      </c>
      <c r="G166" s="93" t="s">
        <v>804</v>
      </c>
      <c r="H166" s="92" t="s">
        <v>779</v>
      </c>
      <c r="I166" s="91">
        <v>0</v>
      </c>
      <c r="J166" s="88">
        <v>0</v>
      </c>
      <c r="K166" s="90">
        <v>0</v>
      </c>
      <c r="L166" s="89">
        <v>0</v>
      </c>
      <c r="M166" s="88">
        <v>0</v>
      </c>
      <c r="N166" s="88">
        <v>5711119</v>
      </c>
      <c r="O166" s="88">
        <v>396499</v>
      </c>
      <c r="P166" s="87">
        <v>396499</v>
      </c>
      <c r="Q166" s="86">
        <v>39649.9</v>
      </c>
      <c r="R166" s="86">
        <v>221155</v>
      </c>
      <c r="S166" s="85">
        <v>58374</v>
      </c>
      <c r="T166" s="85">
        <v>13395</v>
      </c>
      <c r="U166" s="85">
        <v>38025</v>
      </c>
      <c r="V166" s="84">
        <v>65550</v>
      </c>
      <c r="W166" s="84">
        <v>396499</v>
      </c>
    </row>
    <row r="167" spans="1:23" x14ac:dyDescent="0.2">
      <c r="A167" s="57" t="s">
        <v>32</v>
      </c>
      <c r="B167" s="95" t="s">
        <v>396</v>
      </c>
      <c r="C167" s="95" t="s">
        <v>803</v>
      </c>
      <c r="D167" s="95" t="s">
        <v>397</v>
      </c>
      <c r="E167" s="92" t="s">
        <v>781</v>
      </c>
      <c r="F167" s="96" t="s">
        <v>398</v>
      </c>
      <c r="G167" s="93" t="s">
        <v>802</v>
      </c>
      <c r="H167" s="92" t="s">
        <v>779</v>
      </c>
      <c r="I167" s="91">
        <v>2</v>
      </c>
      <c r="J167" s="88">
        <v>2000</v>
      </c>
      <c r="K167" s="90">
        <v>0</v>
      </c>
      <c r="L167" s="89">
        <v>0</v>
      </c>
      <c r="M167" s="88">
        <v>0</v>
      </c>
      <c r="N167" s="88">
        <v>3988948</v>
      </c>
      <c r="O167" s="88">
        <v>276936</v>
      </c>
      <c r="P167" s="87">
        <v>278936</v>
      </c>
      <c r="Q167" s="86">
        <v>27693.600000000002</v>
      </c>
      <c r="R167" s="86">
        <v>155583</v>
      </c>
      <c r="S167" s="85">
        <v>41066</v>
      </c>
      <c r="T167" s="85">
        <v>9423</v>
      </c>
      <c r="U167" s="85">
        <v>26750</v>
      </c>
      <c r="V167" s="84">
        <v>46114</v>
      </c>
      <c r="W167" s="84">
        <v>278936</v>
      </c>
    </row>
    <row r="168" spans="1:23" x14ac:dyDescent="0.2">
      <c r="A168" s="57" t="s">
        <v>32</v>
      </c>
      <c r="B168" s="95" t="s">
        <v>396</v>
      </c>
      <c r="C168" s="95" t="s">
        <v>801</v>
      </c>
      <c r="D168" s="95" t="s">
        <v>397</v>
      </c>
      <c r="E168" s="92" t="s">
        <v>781</v>
      </c>
      <c r="F168" s="96" t="s">
        <v>398</v>
      </c>
      <c r="G168" s="93" t="s">
        <v>800</v>
      </c>
      <c r="H168" s="92" t="s">
        <v>779</v>
      </c>
      <c r="I168" s="91">
        <v>6</v>
      </c>
      <c r="J168" s="88">
        <v>6000</v>
      </c>
      <c r="K168" s="90">
        <v>0</v>
      </c>
      <c r="L168" s="89">
        <v>0</v>
      </c>
      <c r="M168" s="88">
        <v>0</v>
      </c>
      <c r="N168" s="88">
        <v>2833048</v>
      </c>
      <c r="O168" s="88">
        <v>196686</v>
      </c>
      <c r="P168" s="87">
        <v>202686</v>
      </c>
      <c r="Q168" s="86">
        <v>19668.600000000002</v>
      </c>
      <c r="R168" s="86">
        <v>113053</v>
      </c>
      <c r="S168" s="85">
        <v>29840</v>
      </c>
      <c r="T168" s="85">
        <v>6847</v>
      </c>
      <c r="U168" s="85">
        <v>19438</v>
      </c>
      <c r="V168" s="84">
        <v>33508</v>
      </c>
      <c r="W168" s="84">
        <v>202686</v>
      </c>
    </row>
    <row r="169" spans="1:23" x14ac:dyDescent="0.2">
      <c r="A169" s="57" t="s">
        <v>32</v>
      </c>
      <c r="B169" s="95" t="s">
        <v>396</v>
      </c>
      <c r="C169" s="95" t="s">
        <v>799</v>
      </c>
      <c r="D169" s="95" t="s">
        <v>397</v>
      </c>
      <c r="E169" s="92" t="s">
        <v>781</v>
      </c>
      <c r="F169" s="96" t="s">
        <v>398</v>
      </c>
      <c r="G169" s="93" t="s">
        <v>798</v>
      </c>
      <c r="H169" s="92" t="s">
        <v>779</v>
      </c>
      <c r="I169" s="91">
        <v>0</v>
      </c>
      <c r="J169" s="88">
        <v>0</v>
      </c>
      <c r="K169" s="90">
        <v>0</v>
      </c>
      <c r="L169" s="89">
        <v>0</v>
      </c>
      <c r="M169" s="88">
        <v>0</v>
      </c>
      <c r="N169" s="88">
        <v>2873830</v>
      </c>
      <c r="O169" s="88">
        <v>199518</v>
      </c>
      <c r="P169" s="87">
        <v>199518</v>
      </c>
      <c r="Q169" s="86">
        <v>19951.800000000003</v>
      </c>
      <c r="R169" s="86">
        <v>111285</v>
      </c>
      <c r="S169" s="85">
        <v>29374</v>
      </c>
      <c r="T169" s="85">
        <v>6740</v>
      </c>
      <c r="U169" s="85">
        <v>19134</v>
      </c>
      <c r="V169" s="84">
        <v>32985</v>
      </c>
      <c r="W169" s="84">
        <v>199518</v>
      </c>
    </row>
    <row r="170" spans="1:23" x14ac:dyDescent="0.2">
      <c r="A170" s="57" t="s">
        <v>32</v>
      </c>
      <c r="B170" s="95" t="s">
        <v>396</v>
      </c>
      <c r="C170" s="95" t="s">
        <v>797</v>
      </c>
      <c r="D170" s="95" t="s">
        <v>397</v>
      </c>
      <c r="E170" s="92" t="s">
        <v>781</v>
      </c>
      <c r="F170" s="96" t="s">
        <v>398</v>
      </c>
      <c r="G170" s="93" t="s">
        <v>796</v>
      </c>
      <c r="H170" s="92" t="s">
        <v>779</v>
      </c>
      <c r="I170" s="91">
        <v>1</v>
      </c>
      <c r="J170" s="88">
        <v>1000</v>
      </c>
      <c r="K170" s="90">
        <v>0</v>
      </c>
      <c r="L170" s="89">
        <v>0</v>
      </c>
      <c r="M170" s="88">
        <v>0</v>
      </c>
      <c r="N170" s="88">
        <v>3908158</v>
      </c>
      <c r="O170" s="88">
        <v>271327</v>
      </c>
      <c r="P170" s="87">
        <v>272327</v>
      </c>
      <c r="Q170" s="86">
        <v>27132.7</v>
      </c>
      <c r="R170" s="86">
        <v>151895</v>
      </c>
      <c r="S170" s="85">
        <v>40093</v>
      </c>
      <c r="T170" s="85">
        <v>9200</v>
      </c>
      <c r="U170" s="85">
        <v>26117</v>
      </c>
      <c r="V170" s="84">
        <v>45022</v>
      </c>
      <c r="W170" s="84">
        <v>272327</v>
      </c>
    </row>
    <row r="171" spans="1:23" ht="30" x14ac:dyDescent="0.2">
      <c r="A171" s="57" t="s">
        <v>32</v>
      </c>
      <c r="B171" s="95" t="s">
        <v>396</v>
      </c>
      <c r="C171" s="95" t="s">
        <v>795</v>
      </c>
      <c r="D171" s="95" t="s">
        <v>397</v>
      </c>
      <c r="E171" s="92" t="s">
        <v>781</v>
      </c>
      <c r="F171" s="96" t="s">
        <v>398</v>
      </c>
      <c r="G171" s="93" t="s">
        <v>794</v>
      </c>
      <c r="H171" s="92" t="s">
        <v>779</v>
      </c>
      <c r="I171" s="91">
        <v>4</v>
      </c>
      <c r="J171" s="88">
        <v>4000</v>
      </c>
      <c r="K171" s="90">
        <v>0</v>
      </c>
      <c r="L171" s="89">
        <v>0</v>
      </c>
      <c r="M171" s="88">
        <v>0</v>
      </c>
      <c r="N171" s="88">
        <v>3735570</v>
      </c>
      <c r="O171" s="88">
        <v>259345</v>
      </c>
      <c r="P171" s="87">
        <v>263345</v>
      </c>
      <c r="Q171" s="86">
        <v>25934.5</v>
      </c>
      <c r="R171" s="86">
        <v>146885</v>
      </c>
      <c r="S171" s="85">
        <v>38771</v>
      </c>
      <c r="T171" s="85">
        <v>8897</v>
      </c>
      <c r="U171" s="85">
        <v>25255</v>
      </c>
      <c r="V171" s="84">
        <v>43537</v>
      </c>
      <c r="W171" s="84">
        <v>263345</v>
      </c>
    </row>
    <row r="172" spans="1:23" x14ac:dyDescent="0.2">
      <c r="A172" s="57" t="s">
        <v>32</v>
      </c>
      <c r="B172" s="95" t="s">
        <v>396</v>
      </c>
      <c r="C172" s="95" t="s">
        <v>793</v>
      </c>
      <c r="D172" s="95" t="s">
        <v>397</v>
      </c>
      <c r="E172" s="92" t="s">
        <v>781</v>
      </c>
      <c r="F172" s="96" t="s">
        <v>398</v>
      </c>
      <c r="G172" s="93" t="s">
        <v>792</v>
      </c>
      <c r="H172" s="92" t="s">
        <v>779</v>
      </c>
      <c r="I172" s="91">
        <v>0</v>
      </c>
      <c r="J172" s="88">
        <v>0</v>
      </c>
      <c r="K172" s="90">
        <v>0</v>
      </c>
      <c r="L172" s="89">
        <v>0</v>
      </c>
      <c r="M172" s="88">
        <v>0</v>
      </c>
      <c r="N172" s="88">
        <v>2987912</v>
      </c>
      <c r="O172" s="88">
        <v>207438</v>
      </c>
      <c r="P172" s="87">
        <v>207438</v>
      </c>
      <c r="Q172" s="86">
        <v>20743.800000000003</v>
      </c>
      <c r="R172" s="86">
        <v>115702</v>
      </c>
      <c r="S172" s="85">
        <v>30540</v>
      </c>
      <c r="T172" s="85">
        <v>7008</v>
      </c>
      <c r="U172" s="85">
        <v>19894</v>
      </c>
      <c r="V172" s="84">
        <v>34294</v>
      </c>
      <c r="W172" s="84">
        <v>207438</v>
      </c>
    </row>
    <row r="173" spans="1:23" x14ac:dyDescent="0.2">
      <c r="A173" s="57" t="s">
        <v>32</v>
      </c>
      <c r="B173" s="95" t="s">
        <v>396</v>
      </c>
      <c r="C173" s="95" t="s">
        <v>791</v>
      </c>
      <c r="D173" s="95" t="s">
        <v>397</v>
      </c>
      <c r="E173" s="92" t="s">
        <v>781</v>
      </c>
      <c r="F173" s="96" t="s">
        <v>398</v>
      </c>
      <c r="G173" s="93" t="s">
        <v>790</v>
      </c>
      <c r="H173" s="92" t="s">
        <v>779</v>
      </c>
      <c r="I173" s="91">
        <v>1</v>
      </c>
      <c r="J173" s="88">
        <v>1000</v>
      </c>
      <c r="K173" s="90">
        <v>0</v>
      </c>
      <c r="L173" s="89">
        <v>0</v>
      </c>
      <c r="M173" s="88">
        <v>0</v>
      </c>
      <c r="N173" s="88">
        <v>1828035</v>
      </c>
      <c r="O173" s="88">
        <v>126913</v>
      </c>
      <c r="P173" s="87">
        <v>127913</v>
      </c>
      <c r="Q173" s="86">
        <v>12691.300000000001</v>
      </c>
      <c r="R173" s="86">
        <v>71346</v>
      </c>
      <c r="S173" s="85">
        <v>18832</v>
      </c>
      <c r="T173" s="85">
        <v>4321</v>
      </c>
      <c r="U173" s="85">
        <v>12267</v>
      </c>
      <c r="V173" s="84">
        <v>21147</v>
      </c>
      <c r="W173" s="84">
        <v>127913</v>
      </c>
    </row>
    <row r="174" spans="1:23" x14ac:dyDescent="0.2">
      <c r="A174" s="57" t="s">
        <v>32</v>
      </c>
      <c r="B174" s="95" t="s">
        <v>396</v>
      </c>
      <c r="C174" s="95" t="s">
        <v>789</v>
      </c>
      <c r="D174" s="95" t="s">
        <v>397</v>
      </c>
      <c r="E174" s="92" t="s">
        <v>781</v>
      </c>
      <c r="F174" s="96" t="s">
        <v>398</v>
      </c>
      <c r="G174" s="93" t="s">
        <v>788</v>
      </c>
      <c r="H174" s="92" t="s">
        <v>779</v>
      </c>
      <c r="I174" s="91">
        <v>0</v>
      </c>
      <c r="J174" s="88">
        <v>0</v>
      </c>
      <c r="K174" s="90">
        <v>0</v>
      </c>
      <c r="L174" s="89">
        <v>0</v>
      </c>
      <c r="M174" s="88">
        <v>0</v>
      </c>
      <c r="N174" s="88">
        <v>2706047</v>
      </c>
      <c r="O174" s="88">
        <v>187869</v>
      </c>
      <c r="P174" s="87">
        <v>187869</v>
      </c>
      <c r="Q174" s="86">
        <v>18786.900000000001</v>
      </c>
      <c r="R174" s="86">
        <v>104787</v>
      </c>
      <c r="S174" s="85">
        <v>27659</v>
      </c>
      <c r="T174" s="85">
        <v>6347</v>
      </c>
      <c r="U174" s="85">
        <v>18017</v>
      </c>
      <c r="V174" s="84">
        <v>31059</v>
      </c>
      <c r="W174" s="84">
        <v>187869</v>
      </c>
    </row>
    <row r="175" spans="1:23" x14ac:dyDescent="0.2">
      <c r="A175" s="57" t="s">
        <v>32</v>
      </c>
      <c r="B175" s="95" t="s">
        <v>158</v>
      </c>
      <c r="C175" s="95" t="s">
        <v>26</v>
      </c>
      <c r="D175" s="95" t="s">
        <v>27</v>
      </c>
      <c r="E175" s="95" t="s">
        <v>27</v>
      </c>
      <c r="F175" s="94" t="s">
        <v>158</v>
      </c>
      <c r="G175" s="93" t="s">
        <v>159</v>
      </c>
      <c r="H175" s="92" t="s">
        <v>778</v>
      </c>
      <c r="I175" s="91">
        <v>256</v>
      </c>
      <c r="J175" s="88">
        <v>256000</v>
      </c>
      <c r="K175" s="90">
        <v>0</v>
      </c>
      <c r="L175" s="89">
        <v>0</v>
      </c>
      <c r="M175" s="88">
        <v>0</v>
      </c>
      <c r="N175" s="88">
        <v>20758182</v>
      </c>
      <c r="O175" s="88">
        <v>1441152</v>
      </c>
      <c r="P175" s="87">
        <v>1697152</v>
      </c>
      <c r="Q175" s="86">
        <v>144115.20000000001</v>
      </c>
      <c r="R175" s="86">
        <v>946619</v>
      </c>
      <c r="S175" s="85">
        <v>249861</v>
      </c>
      <c r="T175" s="85">
        <v>57336</v>
      </c>
      <c r="U175" s="85">
        <v>162760</v>
      </c>
      <c r="V175" s="84">
        <v>280576</v>
      </c>
      <c r="W175" s="84">
        <v>1697152</v>
      </c>
    </row>
    <row r="176" spans="1:23" x14ac:dyDescent="0.2">
      <c r="A176" s="57" t="s">
        <v>32</v>
      </c>
      <c r="B176" s="95" t="s">
        <v>158</v>
      </c>
      <c r="C176" s="95" t="s">
        <v>787</v>
      </c>
      <c r="D176" s="95" t="s">
        <v>786</v>
      </c>
      <c r="E176" s="92" t="s">
        <v>780</v>
      </c>
      <c r="F176" s="94" t="s">
        <v>158</v>
      </c>
      <c r="G176" s="93" t="s">
        <v>785</v>
      </c>
      <c r="H176" s="92" t="s">
        <v>779</v>
      </c>
      <c r="I176" s="91">
        <v>52</v>
      </c>
      <c r="J176" s="88">
        <v>52000</v>
      </c>
      <c r="K176" s="90">
        <v>0</v>
      </c>
      <c r="L176" s="89">
        <v>0</v>
      </c>
      <c r="M176" s="88">
        <v>0</v>
      </c>
      <c r="N176" s="88">
        <v>862922</v>
      </c>
      <c r="O176" s="88">
        <v>59909</v>
      </c>
      <c r="P176" s="87">
        <v>111909</v>
      </c>
      <c r="Q176" s="86">
        <v>5990.9000000000005</v>
      </c>
      <c r="R176" s="86">
        <v>62419</v>
      </c>
      <c r="S176" s="85">
        <v>16476</v>
      </c>
      <c r="T176" s="85">
        <v>3781</v>
      </c>
      <c r="U176" s="85">
        <v>10732</v>
      </c>
      <c r="V176" s="84">
        <v>18501</v>
      </c>
      <c r="W176" s="84">
        <v>111909</v>
      </c>
    </row>
    <row r="177" spans="1:23" x14ac:dyDescent="0.2">
      <c r="A177" s="57" t="s">
        <v>32</v>
      </c>
      <c r="B177" s="95" t="s">
        <v>600</v>
      </c>
      <c r="C177" s="95" t="s">
        <v>601</v>
      </c>
      <c r="D177" s="95" t="s">
        <v>602</v>
      </c>
      <c r="E177" s="92" t="s">
        <v>781</v>
      </c>
      <c r="F177" s="94" t="s">
        <v>603</v>
      </c>
      <c r="G177" s="93" t="s">
        <v>604</v>
      </c>
      <c r="H177" s="92" t="s">
        <v>779</v>
      </c>
      <c r="I177" s="91">
        <v>9</v>
      </c>
      <c r="J177" s="88">
        <v>9000</v>
      </c>
      <c r="K177" s="90">
        <v>0</v>
      </c>
      <c r="L177" s="89">
        <v>0</v>
      </c>
      <c r="M177" s="88">
        <v>0</v>
      </c>
      <c r="N177" s="88">
        <v>3104564</v>
      </c>
      <c r="O177" s="88">
        <v>215537</v>
      </c>
      <c r="P177" s="87">
        <v>224537</v>
      </c>
      <c r="Q177" s="86">
        <v>21553.7</v>
      </c>
      <c r="R177" s="86">
        <v>125239</v>
      </c>
      <c r="S177" s="85">
        <v>33057</v>
      </c>
      <c r="T177" s="85">
        <v>7586</v>
      </c>
      <c r="U177" s="85">
        <v>21534</v>
      </c>
      <c r="V177" s="84">
        <v>37121</v>
      </c>
      <c r="W177" s="84">
        <v>224537</v>
      </c>
    </row>
    <row r="178" spans="1:23" x14ac:dyDescent="0.2">
      <c r="A178" s="57" t="s">
        <v>32</v>
      </c>
      <c r="B178" s="95" t="s">
        <v>611</v>
      </c>
      <c r="C178" s="95" t="s">
        <v>612</v>
      </c>
      <c r="D178" s="95" t="s">
        <v>613</v>
      </c>
      <c r="E178" s="92" t="s">
        <v>781</v>
      </c>
      <c r="F178" s="94" t="s">
        <v>614</v>
      </c>
      <c r="G178" s="93" t="s">
        <v>784</v>
      </c>
      <c r="H178" s="92" t="s">
        <v>779</v>
      </c>
      <c r="I178" s="91">
        <v>10</v>
      </c>
      <c r="J178" s="88">
        <v>10000</v>
      </c>
      <c r="K178" s="90">
        <v>0</v>
      </c>
      <c r="L178" s="89">
        <v>0</v>
      </c>
      <c r="M178" s="88">
        <v>0</v>
      </c>
      <c r="N178" s="88">
        <v>3826842</v>
      </c>
      <c r="O178" s="88">
        <v>265681</v>
      </c>
      <c r="P178" s="87">
        <v>275681</v>
      </c>
      <c r="Q178" s="86">
        <v>26568.100000000002</v>
      </c>
      <c r="R178" s="86">
        <v>153767</v>
      </c>
      <c r="S178" s="85">
        <v>40587</v>
      </c>
      <c r="T178" s="85">
        <v>9313</v>
      </c>
      <c r="U178" s="85">
        <v>26438</v>
      </c>
      <c r="V178" s="84">
        <v>45576</v>
      </c>
      <c r="W178" s="84">
        <v>275681</v>
      </c>
    </row>
    <row r="179" spans="1:23" x14ac:dyDescent="0.2">
      <c r="A179" s="57" t="s">
        <v>32</v>
      </c>
      <c r="B179" s="95" t="s">
        <v>627</v>
      </c>
      <c r="C179" s="95" t="s">
        <v>628</v>
      </c>
      <c r="D179" s="95" t="s">
        <v>629</v>
      </c>
      <c r="E179" s="92" t="s">
        <v>781</v>
      </c>
      <c r="F179" s="94" t="s">
        <v>630</v>
      </c>
      <c r="G179" s="93" t="s">
        <v>631</v>
      </c>
      <c r="H179" s="92" t="s">
        <v>779</v>
      </c>
      <c r="I179" s="91">
        <v>15</v>
      </c>
      <c r="J179" s="88">
        <v>15000</v>
      </c>
      <c r="K179" s="90">
        <v>0</v>
      </c>
      <c r="L179" s="89">
        <v>0</v>
      </c>
      <c r="M179" s="88">
        <v>0</v>
      </c>
      <c r="N179" s="88">
        <v>3410975</v>
      </c>
      <c r="O179" s="88">
        <v>236809</v>
      </c>
      <c r="P179" s="87">
        <v>251809</v>
      </c>
      <c r="Q179" s="86">
        <v>23680.9</v>
      </c>
      <c r="R179" s="86">
        <v>140452</v>
      </c>
      <c r="S179" s="85">
        <v>37072</v>
      </c>
      <c r="T179" s="85">
        <v>8507</v>
      </c>
      <c r="U179" s="85">
        <v>24149</v>
      </c>
      <c r="V179" s="84">
        <v>41629</v>
      </c>
      <c r="W179" s="84">
        <v>251809</v>
      </c>
    </row>
    <row r="180" spans="1:23" x14ac:dyDescent="0.2">
      <c r="A180" s="57" t="s">
        <v>32</v>
      </c>
      <c r="B180" s="95" t="s">
        <v>675</v>
      </c>
      <c r="C180" s="95" t="s">
        <v>676</v>
      </c>
      <c r="D180" s="95" t="s">
        <v>677</v>
      </c>
      <c r="E180" s="92" t="s">
        <v>781</v>
      </c>
      <c r="F180" s="94" t="s">
        <v>678</v>
      </c>
      <c r="G180" s="93" t="s">
        <v>679</v>
      </c>
      <c r="H180" s="92" t="s">
        <v>779</v>
      </c>
      <c r="I180" s="91">
        <v>31</v>
      </c>
      <c r="J180" s="88">
        <v>31000</v>
      </c>
      <c r="K180" s="90">
        <v>0</v>
      </c>
      <c r="L180" s="89">
        <v>0</v>
      </c>
      <c r="M180" s="88">
        <v>0</v>
      </c>
      <c r="N180" s="88">
        <v>1965326</v>
      </c>
      <c r="O180" s="88">
        <v>136444</v>
      </c>
      <c r="P180" s="87">
        <v>167444</v>
      </c>
      <c r="Q180" s="86">
        <v>13644.400000000001</v>
      </c>
      <c r="R180" s="86">
        <v>93395</v>
      </c>
      <c r="S180" s="85">
        <v>24652</v>
      </c>
      <c r="T180" s="85">
        <v>5657</v>
      </c>
      <c r="U180" s="85">
        <v>16058</v>
      </c>
      <c r="V180" s="84">
        <v>27682</v>
      </c>
      <c r="W180" s="84">
        <v>167444</v>
      </c>
    </row>
    <row r="181" spans="1:23" x14ac:dyDescent="0.2">
      <c r="A181" s="57" t="s">
        <v>32</v>
      </c>
      <c r="B181" s="95" t="s">
        <v>669</v>
      </c>
      <c r="C181" s="95" t="s">
        <v>670</v>
      </c>
      <c r="D181" s="95" t="s">
        <v>671</v>
      </c>
      <c r="E181" s="92" t="s">
        <v>781</v>
      </c>
      <c r="F181" s="94" t="s">
        <v>672</v>
      </c>
      <c r="G181" s="93" t="s">
        <v>783</v>
      </c>
      <c r="H181" s="92" t="s">
        <v>779</v>
      </c>
      <c r="I181" s="91">
        <v>1</v>
      </c>
      <c r="J181" s="88">
        <v>1000</v>
      </c>
      <c r="K181" s="90">
        <v>0</v>
      </c>
      <c r="L181" s="89">
        <v>0</v>
      </c>
      <c r="M181" s="88">
        <v>0</v>
      </c>
      <c r="N181" s="88">
        <v>3277484</v>
      </c>
      <c r="O181" s="88">
        <v>227542</v>
      </c>
      <c r="P181" s="87">
        <v>228542</v>
      </c>
      <c r="Q181" s="86">
        <v>22754.2</v>
      </c>
      <c r="R181" s="86">
        <v>127473</v>
      </c>
      <c r="S181" s="85">
        <v>33647</v>
      </c>
      <c r="T181" s="85">
        <v>7721</v>
      </c>
      <c r="U181" s="85">
        <v>21918</v>
      </c>
      <c r="V181" s="84">
        <v>37783</v>
      </c>
      <c r="W181" s="84">
        <v>228542</v>
      </c>
    </row>
    <row r="182" spans="1:23" ht="30" x14ac:dyDescent="0.2">
      <c r="A182" s="57" t="s">
        <v>32</v>
      </c>
      <c r="B182" s="95" t="s">
        <v>663</v>
      </c>
      <c r="C182" s="95" t="s">
        <v>664</v>
      </c>
      <c r="D182" s="95" t="s">
        <v>665</v>
      </c>
      <c r="E182" s="92" t="s">
        <v>781</v>
      </c>
      <c r="F182" s="94" t="s">
        <v>666</v>
      </c>
      <c r="G182" s="93" t="s">
        <v>667</v>
      </c>
      <c r="H182" s="92" t="s">
        <v>779</v>
      </c>
      <c r="I182" s="91">
        <v>1</v>
      </c>
      <c r="J182" s="88">
        <v>1000</v>
      </c>
      <c r="K182" s="90">
        <v>0</v>
      </c>
      <c r="L182" s="89">
        <v>0</v>
      </c>
      <c r="M182" s="88">
        <v>0</v>
      </c>
      <c r="N182" s="88">
        <v>1376391</v>
      </c>
      <c r="O182" s="88">
        <v>95557</v>
      </c>
      <c r="P182" s="87">
        <v>96557</v>
      </c>
      <c r="Q182" s="86">
        <v>9555.7000000000007</v>
      </c>
      <c r="R182" s="86">
        <v>53857</v>
      </c>
      <c r="S182" s="85">
        <v>14215</v>
      </c>
      <c r="T182" s="85">
        <v>3262</v>
      </c>
      <c r="U182" s="85">
        <v>9260</v>
      </c>
      <c r="V182" s="84">
        <v>15963</v>
      </c>
      <c r="W182" s="84">
        <v>96557</v>
      </c>
    </row>
    <row r="183" spans="1:23" s="77" customFormat="1" ht="15.75" x14ac:dyDescent="0.25">
      <c r="A183" s="82" t="s">
        <v>764</v>
      </c>
      <c r="B183" s="82"/>
      <c r="C183" s="82"/>
      <c r="D183" s="82"/>
      <c r="E183" s="82"/>
      <c r="F183" s="82"/>
      <c r="G183" s="83"/>
      <c r="H183" s="82"/>
      <c r="I183" s="79">
        <f>SUBTOTAL(109,Table14[Homeless Pupil 
Enrollment as of 
the 2020–21 
Fall 1 Census 
A.1])</f>
        <v>15627</v>
      </c>
      <c r="J183" s="78">
        <f>SUBTOTAL(109,Table14[ELO Allocation
 for Homeless Pupils
per EC 43521(b)(1)
(A.1 x $1,000)
A.2])</f>
        <v>15627000</v>
      </c>
      <c r="K183" s="81">
        <f>SUBTOTAL(109,Table14[State Special
Schools Enrollment
 as of the 2020–21 
Fall 1 Census
B.1])</f>
        <v>0</v>
      </c>
      <c r="L183" s="80">
        <f>SUBTOTAL(109,Table14[State Special 
Schools ADA
(B.1 x 97%)
B.2])</f>
        <v>0</v>
      </c>
      <c r="M183" s="78">
        <f>SUBTOTAL(109,Table14[ELO Allocation for 
State Special Schools 
per EC 43521(b)(2)
(B.2 x $725)
B.3])</f>
        <v>0</v>
      </c>
      <c r="N183" s="78">
        <f>SUBTOTAL(109,Table14[Total LCFF 
Entitlement 
for ELO 
C.1])</f>
        <v>4934325141</v>
      </c>
      <c r="O183" s="78">
        <f>SUBTOTAL(109,Table14[ELO Proportionate 
Share per 
EC 43521(b)(3)
(C.1 x 6.9425743358%)
C.2 ])</f>
        <v>342569198</v>
      </c>
      <c r="P183" s="79">
        <f>SUBTOTAL(109,Table14[Total ELO 
Allocation per 
EC 43521(b)(3)
(A.2 + B.3 + C.2)
D.1])</f>
        <v>358196198</v>
      </c>
      <c r="Q183" s="78">
        <f>SUBTOTAL(109,Table14[ELO Allocation
 Restricted to 
Paraprofessionals 
per EC 43522(c)
Res.Code 7426
(C.2 x 10%)
D.2])</f>
        <v>34256927.200000003</v>
      </c>
      <c r="R183" s="78">
        <f>SUBTOTAL(109,Table14[Allocation by Fund
General Fund
(D.1 x 55.7769571%)
Res.Code 7425
Res. Code 7426
E.1])</f>
        <v>199790927</v>
      </c>
      <c r="S183" s="78">
        <f>SUBTOTAL(109,Table14[Allocation by Fund
ESSER II
EC 43521(a)(1)
(D.1 x 14.7223566%)
Res.Code 3216
E.2])</f>
        <v>52734923</v>
      </c>
      <c r="T183" s="78">
        <f>SUBTOTAL(109,Table14[Allocation by Fund
GEER II
EC 43521(a)(2)
(D.1 x 3.3783416%)
Res.Code 3217
E.3])</f>
        <v>12101090</v>
      </c>
      <c r="U183" s="78">
        <f>SUBTOTAL(109,Table14[Allocation by Fund
ESSER III
EC 43521(a)(3)
(D.1 x 9.5901807%)
Res.Code 3218
E.4])</f>
        <v>34351666</v>
      </c>
      <c r="V183" s="78">
        <f>SUBTOTAL(109,Table14[Allocation by Fund
ESSER III State Reserve
EC 43521(a)(4)
(D.1 x 16.5321650%)
Res.Code 3219
E.5])</f>
        <v>59217592</v>
      </c>
      <c r="W183" s="78">
        <f>SUBTOTAL(109,Table14[TOTAL Allocation
General Fund, ESSER II, 
GEER II, ESSER III
ESSER III-State Reserve
(D.1 x 100%)
(E.1 + E.2 + E.3 + E.4 + E.5)
E.6])</f>
        <v>358196198</v>
      </c>
    </row>
    <row r="184" spans="1:23" x14ac:dyDescent="0.2">
      <c r="A184" s="41" t="s">
        <v>765</v>
      </c>
      <c r="F184" s="76"/>
      <c r="Q184" s="75"/>
      <c r="R184" s="75"/>
      <c r="S184" s="74"/>
      <c r="W184" s="72">
        <f>SUMIF(Table14[Charter
Number],"N/A",Table14[TOTAL Allocation
General Fund, ESSER II, 
GEER II, ESSER III
ESSER III-State Reserve
(D.1 x 100%)
(E.1 + E.2 + E.3 + E.4 + E.5)
E.6])</f>
        <v>302295633</v>
      </c>
    </row>
    <row r="185" spans="1:23" x14ac:dyDescent="0.2">
      <c r="A185" s="41" t="s">
        <v>766</v>
      </c>
      <c r="F185" s="76"/>
      <c r="Q185" s="75"/>
      <c r="R185" s="75"/>
      <c r="S185" s="74"/>
      <c r="T185" s="74"/>
      <c r="U185" s="74"/>
      <c r="V185" s="74"/>
      <c r="W185" s="74"/>
    </row>
    <row r="186" spans="1:23" x14ac:dyDescent="0.2">
      <c r="A186" s="40" t="s">
        <v>776</v>
      </c>
      <c r="F186" s="76"/>
      <c r="Q186" s="75"/>
      <c r="R186" s="75"/>
      <c r="S186" s="74"/>
      <c r="T186" s="74"/>
      <c r="U186" s="74"/>
      <c r="V186" s="74"/>
      <c r="W186" s="74"/>
    </row>
    <row r="187" spans="1:23" x14ac:dyDescent="0.2">
      <c r="Q187" s="74"/>
      <c r="R187" s="74"/>
      <c r="S187" s="74"/>
      <c r="T187" s="74"/>
      <c r="U187" s="74"/>
      <c r="V187" s="74"/>
      <c r="W187" s="74"/>
    </row>
    <row r="188" spans="1:23" x14ac:dyDescent="0.2">
      <c r="R188" s="74"/>
      <c r="S188" s="74"/>
      <c r="T188" s="74"/>
      <c r="U188" s="74"/>
      <c r="V188" s="74"/>
      <c r="W188" s="74"/>
    </row>
    <row r="189" spans="1:23" x14ac:dyDescent="0.2">
      <c r="R189" s="74"/>
      <c r="S189" s="74"/>
      <c r="T189" s="74"/>
      <c r="U189" s="74"/>
      <c r="V189" s="74"/>
      <c r="W189" s="74"/>
    </row>
  </sheetData>
  <pageMargins left="0.25" right="0.25" top="0.75" bottom="0.75" header="0.3" footer="0.3"/>
  <pageSetup paperSize="5" scale="35" fitToHeight="0" orientation="landscape" horizontalDpi="1200" verticalDpi="1200" r:id="rId1"/>
  <headerFooter>
    <oddFooter>&amp;C&amp;"Arial,Regular"&amp;12Page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07D2F8BA61314084F1555E4B9A059B" ma:contentTypeVersion="1" ma:contentTypeDescription="Create a new document." ma:contentTypeScope="" ma:versionID="4349300c63cd34b0eddda713139a956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8c5b5cd9b8d25ff6dd15848836f427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F6A6E12-9154-4D08-A3ED-4B0B72F2FE7E}"/>
</file>

<file path=customXml/itemProps2.xml><?xml version="1.0" encoding="utf-8"?>
<ds:datastoreItem xmlns:ds="http://schemas.openxmlformats.org/officeDocument/2006/customXml" ds:itemID="{EA9A7D9F-E3C9-425E-9159-2628DD51DDCB}"/>
</file>

<file path=customXml/itemProps3.xml><?xml version="1.0" encoding="utf-8"?>
<ds:datastoreItem xmlns:ds="http://schemas.openxmlformats.org/officeDocument/2006/customXml" ds:itemID="{BC08AE88-6019-4E8D-9FA8-643F673849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Summary</vt:lpstr>
      <vt:lpstr>20-21 ESSER I Alloc</vt:lpstr>
      <vt:lpstr>20-21 ESSER II Alloc</vt:lpstr>
      <vt:lpstr>2020-21 ESSER III Alloc</vt:lpstr>
      <vt:lpstr>SB 117 Allocation</vt:lpstr>
      <vt:lpstr>fy20 LLMF Allocations</vt:lpstr>
      <vt:lpstr>IPI Grant -Rev Alloc</vt:lpstr>
      <vt:lpstr>ELO RevAlloc (All LEAs)</vt:lpstr>
      <vt:lpstr>'ELO RevAlloc (All LEAs)'!Print_Area</vt:lpstr>
      <vt:lpstr>'IPI Grant -Rev Alloc'!Print_Area</vt:lpstr>
      <vt:lpstr>'20-21 ESSER I Alloc'!Print_Titles</vt:lpstr>
      <vt:lpstr>'ELO RevAlloc (All LEAs)'!Print_Titles</vt:lpstr>
      <vt:lpstr>'fy20 LLMF Allocations'!Print_Titles</vt:lpstr>
      <vt:lpstr>'IPI Grant -Rev Alloc'!Print_Titles</vt:lpstr>
      <vt:lpstr>'SB 117 Allocation'!Print_Titles</vt:lpstr>
      <vt:lpstr>Summary!Print_Titles</vt:lpstr>
    </vt:vector>
  </TitlesOfParts>
  <Company>California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Ent-20: ESSER III (CA Dept of Education)</dc:title>
  <dc:subject>American Rescue Plan (ARP) Act, Elementary and Secondary School Emergency Relief III (ESSER III) Fund allocation schedule for fiscal year 2020-21.</dc:subject>
  <dc:creator>Taylor Uda</dc:creator>
  <cp:lastModifiedBy>Natalie Schuff</cp:lastModifiedBy>
  <cp:lastPrinted>2021-09-09T21:59:21Z</cp:lastPrinted>
  <dcterms:created xsi:type="dcterms:W3CDTF">2021-06-28T23:19:49Z</dcterms:created>
  <dcterms:modified xsi:type="dcterms:W3CDTF">2021-09-09T21:59:25Z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0x010100F307D2F8BA61314084F1555E4B9A059B</vt:lpwstr>
  </property>
</Properties>
</file>