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-fileserver02\Teacher Profiles\jweber\My Documents\Bond Funds Reports\Reports FY 2020\Sept 2019 Reports\"/>
    </mc:Choice>
  </mc:AlternateContent>
  <xr:revisionPtr revIDLastSave="0" documentId="13_ncr:1_{FF79F81B-B25A-4B92-B0BD-72F8BF64B955}" xr6:coauthVersionLast="41" xr6:coauthVersionMax="41" xr10:uidLastSave="{00000000-0000-0000-0000-000000000000}"/>
  <bookViews>
    <workbookView xWindow="-28920" yWindow="-120" windowWidth="29040" windowHeight="15840" xr2:uid="{0F690D1A-3B68-4A77-AF20-A48232D57A04}"/>
  </bookViews>
  <sheets>
    <sheet name="Sheet1" sheetId="1" r:id="rId1"/>
    <sheet name="Sheet2" sheetId="2" r:id="rId2"/>
  </sheets>
  <definedNames>
    <definedName name="_xlnm.Print_Area" localSheetId="0">Sheet1!$A$12:$H$217</definedName>
    <definedName name="_xlnm.Print_Titles" localSheetId="0">Sheet1!$1:$11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8" i="1" l="1"/>
  <c r="G168" i="1"/>
  <c r="V168" i="1" s="1"/>
  <c r="G186" i="1" l="1"/>
  <c r="AQ186" i="1" s="1"/>
  <c r="G183" i="1"/>
  <c r="X183" i="1" s="1"/>
  <c r="G182" i="1"/>
  <c r="AO182" i="1" s="1"/>
  <c r="G191" i="1" l="1"/>
  <c r="AS191" i="1" s="1"/>
  <c r="G190" i="1"/>
  <c r="AS190" i="1" s="1"/>
  <c r="U199" i="1" l="1"/>
  <c r="T199" i="1"/>
  <c r="S199" i="1"/>
  <c r="AD199" i="1"/>
  <c r="AD209" i="1" s="1"/>
  <c r="AC199" i="1"/>
  <c r="AC209" i="1" s="1"/>
  <c r="K5" i="1"/>
  <c r="AU5" i="1"/>
  <c r="U209" i="1"/>
  <c r="S209" i="1" l="1"/>
  <c r="T209" i="1"/>
  <c r="AA199" i="1" l="1"/>
  <c r="AA209" i="1" s="1"/>
  <c r="AB199" i="1"/>
  <c r="AB209" i="1" s="1"/>
  <c r="AF5" i="1" l="1"/>
  <c r="AS5" i="1"/>
  <c r="R5" i="1"/>
  <c r="Q5" i="1"/>
  <c r="P5" i="1"/>
  <c r="G188" i="1" l="1"/>
  <c r="K188" i="1" s="1"/>
  <c r="G187" i="1"/>
  <c r="K187" i="1" s="1"/>
  <c r="G185" i="1"/>
  <c r="Y185" i="1" s="1"/>
  <c r="G184" i="1"/>
  <c r="Z184" i="1" s="1"/>
  <c r="G181" i="1"/>
  <c r="AP181" i="1" s="1"/>
  <c r="G180" i="1"/>
  <c r="R180" i="1" s="1"/>
  <c r="AY199" i="1" l="1"/>
  <c r="AY209" i="1" s="1"/>
  <c r="G177" i="1"/>
  <c r="W177" i="1" s="1"/>
  <c r="G178" i="1"/>
  <c r="W178" i="1" s="1"/>
  <c r="G179" i="1"/>
  <c r="V179" i="1" s="1"/>
  <c r="L199" i="1" l="1"/>
  <c r="L209" i="1" s="1"/>
  <c r="E175" i="1"/>
  <c r="E174" i="1"/>
  <c r="G174" i="1" s="1"/>
  <c r="AM175" i="1" s="1"/>
  <c r="G196" i="1"/>
  <c r="E173" i="1"/>
  <c r="G173" i="1" s="1"/>
  <c r="AO173" i="1" s="1"/>
  <c r="AO199" i="1" s="1"/>
  <c r="AO209" i="1" s="1"/>
  <c r="G172" i="1"/>
  <c r="AI172" i="1" s="1"/>
  <c r="G171" i="1"/>
  <c r="AQ171" i="1" s="1"/>
  <c r="AQ199" i="1" s="1"/>
  <c r="AQ209" i="1" s="1"/>
  <c r="E170" i="1"/>
  <c r="G166" i="1"/>
  <c r="AU166" i="1" s="1"/>
  <c r="G165" i="1"/>
  <c r="R165" i="1" s="1"/>
  <c r="G163" i="1"/>
  <c r="AF163" i="1" s="1"/>
  <c r="G162" i="1"/>
  <c r="AF162" i="1" s="1"/>
  <c r="G161" i="1"/>
  <c r="AS161" i="1" s="1"/>
  <c r="G159" i="1"/>
  <c r="W159" i="1" s="1"/>
  <c r="G157" i="1"/>
  <c r="V157" i="1" s="1"/>
  <c r="G155" i="1"/>
  <c r="K155" i="1" s="1"/>
  <c r="G170" i="1" l="1"/>
  <c r="AL170" i="1" s="1"/>
  <c r="E207" i="1"/>
  <c r="G175" i="1"/>
  <c r="AP175" i="1" s="1"/>
  <c r="AP199" i="1" s="1"/>
  <c r="AP209" i="1" s="1"/>
  <c r="P222" i="1" l="1"/>
  <c r="Q223" i="1" s="1"/>
  <c r="O5" i="1"/>
  <c r="AR5" i="1"/>
  <c r="AT5" i="1"/>
  <c r="AW5" i="1"/>
  <c r="N5" i="1"/>
  <c r="BA199" i="1"/>
  <c r="BA209" i="1" s="1"/>
  <c r="AX5" i="1"/>
  <c r="M5" i="1"/>
  <c r="M199" i="1"/>
  <c r="M209" i="1" s="1"/>
  <c r="R223" i="1" l="1"/>
  <c r="V223" i="1"/>
  <c r="R199" i="1"/>
  <c r="R209" i="1" s="1"/>
  <c r="H43" i="2" l="1"/>
  <c r="AF30" i="2"/>
  <c r="AA30" i="2"/>
  <c r="Z30" i="2"/>
  <c r="Q30" i="2"/>
  <c r="AE30" i="2"/>
  <c r="E23" i="2"/>
  <c r="G23" i="2" s="1"/>
  <c r="J23" i="2" s="1"/>
  <c r="M30" i="2"/>
  <c r="E22" i="2"/>
  <c r="G22" i="2" s="1"/>
  <c r="J22" i="2" s="1"/>
  <c r="E21" i="2"/>
  <c r="G21" i="2" s="1"/>
  <c r="J21" i="2" s="1"/>
  <c r="E20" i="2"/>
  <c r="G20" i="2" s="1"/>
  <c r="J20" i="2" s="1"/>
  <c r="E19" i="2"/>
  <c r="G19" i="2" s="1"/>
  <c r="J19" i="2" s="1"/>
  <c r="G17" i="2"/>
  <c r="J17" i="2" s="1"/>
  <c r="E15" i="2"/>
  <c r="G15" i="2" s="1"/>
  <c r="J15" i="2" s="1"/>
  <c r="G14" i="2"/>
  <c r="J14" i="2" s="1"/>
  <c r="G13" i="2"/>
  <c r="J13" i="2" s="1"/>
  <c r="AH30" i="2"/>
  <c r="E12" i="2"/>
  <c r="G12" i="2" s="1"/>
  <c r="J12" i="2" s="1"/>
  <c r="T30" i="2"/>
  <c r="AI30" i="2"/>
  <c r="E11" i="2"/>
  <c r="G11" i="2" s="1"/>
  <c r="J11" i="2" s="1"/>
  <c r="G10" i="2"/>
  <c r="J10" i="2" s="1"/>
  <c r="U30" i="2"/>
  <c r="E9" i="2"/>
  <c r="G9" i="2" s="1"/>
  <c r="J9" i="2" s="1"/>
  <c r="AB30" i="2"/>
  <c r="G8" i="2"/>
  <c r="J8" i="2" s="1"/>
  <c r="G7" i="2"/>
  <c r="J7" i="2" s="1"/>
  <c r="Y30" i="2"/>
  <c r="S30" i="2"/>
  <c r="R30" i="2"/>
  <c r="E36" i="2"/>
  <c r="J199" i="1"/>
  <c r="AV199" i="1"/>
  <c r="AV209" i="1" s="1"/>
  <c r="V111" i="1"/>
  <c r="AS107" i="1"/>
  <c r="AS80" i="1"/>
  <c r="AG30" i="2" l="1"/>
  <c r="AC30" i="2"/>
  <c r="F30" i="2"/>
  <c r="P30" i="2"/>
  <c r="J30" i="2"/>
  <c r="E37" i="2"/>
  <c r="E43" i="2" s="1"/>
  <c r="AD30" i="2"/>
  <c r="K30" i="2"/>
  <c r="V30" i="2"/>
  <c r="W30" i="2"/>
  <c r="L30" i="2"/>
  <c r="X30" i="2"/>
  <c r="O30" i="2"/>
  <c r="E30" i="2"/>
  <c r="N30" i="2" l="1"/>
  <c r="J32" i="2" s="1"/>
  <c r="G30" i="2"/>
  <c r="J34" i="2" l="1"/>
  <c r="E72" i="1" l="1"/>
  <c r="E146" i="1" l="1"/>
  <c r="G146" i="1" s="1"/>
  <c r="AT146" i="1" s="1"/>
  <c r="E121" i="1"/>
  <c r="G121" i="1" s="1"/>
  <c r="AT121" i="1" s="1"/>
  <c r="G95" i="1"/>
  <c r="P95" i="1" s="1"/>
  <c r="Q95" i="1" s="1"/>
  <c r="G107" i="1"/>
  <c r="G106" i="1"/>
  <c r="AS106" i="1" s="1"/>
  <c r="AS199" i="1" s="1"/>
  <c r="AS209" i="1" s="1"/>
  <c r="G80" i="1"/>
  <c r="AT199" i="1" l="1"/>
  <c r="AT209" i="1" s="1"/>
  <c r="G153" i="1"/>
  <c r="AW153" i="1" s="1"/>
  <c r="E82" i="1"/>
  <c r="E117" i="1"/>
  <c r="E101" i="1"/>
  <c r="G152" i="1"/>
  <c r="AW152" i="1" s="1"/>
  <c r="G151" i="1"/>
  <c r="AW151" i="1" s="1"/>
  <c r="G142" i="1"/>
  <c r="O142" i="1" s="1"/>
  <c r="G140" i="1"/>
  <c r="W140" i="1" s="1"/>
  <c r="W199" i="1" s="1"/>
  <c r="G150" i="1"/>
  <c r="AU150" i="1" s="1"/>
  <c r="AU199" i="1" s="1"/>
  <c r="AU209" i="1" s="1"/>
  <c r="F139" i="1"/>
  <c r="E139" i="1"/>
  <c r="F127" i="1"/>
  <c r="E127" i="1"/>
  <c r="F111" i="1"/>
  <c r="E111" i="1"/>
  <c r="E109" i="1"/>
  <c r="G109" i="1" s="1"/>
  <c r="N109" i="1" s="1"/>
  <c r="G105" i="1"/>
  <c r="G103" i="1"/>
  <c r="N103" i="1" s="1"/>
  <c r="G98" i="1"/>
  <c r="G99" i="1"/>
  <c r="O99" i="1" s="1"/>
  <c r="O199" i="1" s="1"/>
  <c r="O209" i="1" s="1"/>
  <c r="E91" i="1"/>
  <c r="G91" i="1" s="1"/>
  <c r="AX91" i="1" s="1"/>
  <c r="AX199" i="1" s="1"/>
  <c r="AX209" i="1" s="1"/>
  <c r="E145" i="1"/>
  <c r="E133" i="1"/>
  <c r="E129" i="1"/>
  <c r="E119" i="1"/>
  <c r="E87" i="1"/>
  <c r="E70" i="1"/>
  <c r="E63" i="1"/>
  <c r="E56" i="1"/>
  <c r="G136" i="1"/>
  <c r="AM136" i="1" s="1"/>
  <c r="E130" i="1"/>
  <c r="G130" i="1" s="1"/>
  <c r="Z130" i="1" s="1"/>
  <c r="G116" i="1"/>
  <c r="AM116" i="1" s="1"/>
  <c r="E115" i="1"/>
  <c r="G115" i="1" s="1"/>
  <c r="AI115" i="1" s="1"/>
  <c r="G94" i="1"/>
  <c r="AM94" i="1" s="1"/>
  <c r="E75" i="1"/>
  <c r="G75" i="1" s="1"/>
  <c r="AM75" i="1" s="1"/>
  <c r="E71" i="1"/>
  <c r="G71" i="1" s="1"/>
  <c r="Z71" i="1" s="1"/>
  <c r="G64" i="1"/>
  <c r="Z64" i="1" s="1"/>
  <c r="E65" i="1"/>
  <c r="E135" i="1"/>
  <c r="E114" i="1"/>
  <c r="E93" i="1"/>
  <c r="E74" i="1"/>
  <c r="E144" i="1"/>
  <c r="E125" i="1"/>
  <c r="E148" i="1"/>
  <c r="G148" i="1" s="1"/>
  <c r="E123" i="1"/>
  <c r="G123" i="1" s="1"/>
  <c r="E120" i="1"/>
  <c r="G120" i="1" s="1"/>
  <c r="E90" i="1"/>
  <c r="G90" i="1" s="1"/>
  <c r="E84" i="1"/>
  <c r="G84" i="1" s="1"/>
  <c r="E68" i="1"/>
  <c r="G68" i="1" s="1"/>
  <c r="G51" i="1"/>
  <c r="AR51" i="1" s="1"/>
  <c r="G50" i="1"/>
  <c r="AR50" i="1" s="1"/>
  <c r="N199" i="1" l="1"/>
  <c r="N209" i="1" s="1"/>
  <c r="W209" i="1"/>
  <c r="AR199" i="1"/>
  <c r="AR209" i="1" s="1"/>
  <c r="AW199" i="1"/>
  <c r="AW209" i="1" s="1"/>
  <c r="F199" i="1"/>
  <c r="V98" i="1"/>
  <c r="G127" i="1"/>
  <c r="V127" i="1" s="1"/>
  <c r="G139" i="1"/>
  <c r="V139" i="1" s="1"/>
  <c r="G137" i="1"/>
  <c r="AI137" i="1" s="1"/>
  <c r="E131" i="1"/>
  <c r="G131" i="1" s="1"/>
  <c r="X131" i="1" s="1"/>
  <c r="G126" i="1"/>
  <c r="E83" i="1"/>
  <c r="G83" i="1" s="1"/>
  <c r="AI83" i="1" s="1"/>
  <c r="E76" i="1"/>
  <c r="G76" i="1" s="1"/>
  <c r="AI76" i="1" s="1"/>
  <c r="G72" i="1"/>
  <c r="AZ72" i="1" s="1"/>
  <c r="AZ199" i="1" s="1"/>
  <c r="AZ209" i="1" s="1"/>
  <c r="G65" i="1"/>
  <c r="X65" i="1" s="1"/>
  <c r="G145" i="1"/>
  <c r="P145" i="1" s="1"/>
  <c r="Q145" i="1" s="1"/>
  <c r="G133" i="1"/>
  <c r="G119" i="1"/>
  <c r="P119" i="1" s="1"/>
  <c r="Q119" i="1" s="1"/>
  <c r="G117" i="1"/>
  <c r="P117" i="1" s="1"/>
  <c r="Q117" i="1" s="1"/>
  <c r="G101" i="1"/>
  <c r="P101" i="1" s="1"/>
  <c r="Q101" i="1" s="1"/>
  <c r="G87" i="1"/>
  <c r="P87" i="1" s="1"/>
  <c r="Q87" i="1" s="1"/>
  <c r="G70" i="1"/>
  <c r="P70" i="1" s="1"/>
  <c r="Q70" i="1" s="1"/>
  <c r="G61" i="1"/>
  <c r="P61" i="1" s="1"/>
  <c r="Q61" i="1" s="1"/>
  <c r="G56" i="1"/>
  <c r="P56" i="1" s="1"/>
  <c r="Q56" i="1" s="1"/>
  <c r="G135" i="1"/>
  <c r="AL135" i="1" s="1"/>
  <c r="G129" i="1"/>
  <c r="Y129" i="1" s="1"/>
  <c r="G114" i="1"/>
  <c r="AL114" i="1" s="1"/>
  <c r="G93" i="1"/>
  <c r="AL93" i="1" s="1"/>
  <c r="G86" i="1"/>
  <c r="AG86" i="1" s="1"/>
  <c r="AG199" i="1" s="1"/>
  <c r="AG209" i="1" s="1"/>
  <c r="G82" i="1"/>
  <c r="AM82" i="1" s="1"/>
  <c r="G74" i="1"/>
  <c r="AL74" i="1" s="1"/>
  <c r="G63" i="1"/>
  <c r="Y63" i="1" s="1"/>
  <c r="G60" i="1"/>
  <c r="AH60" i="1" s="1"/>
  <c r="AH199" i="1" s="1"/>
  <c r="AH209" i="1" s="1"/>
  <c r="G144" i="1"/>
  <c r="K144" i="1" s="1"/>
  <c r="G125" i="1"/>
  <c r="G113" i="1"/>
  <c r="K113" i="1" s="1"/>
  <c r="G97" i="1"/>
  <c r="K97" i="1" s="1"/>
  <c r="G89" i="1"/>
  <c r="K89" i="1" s="1"/>
  <c r="G78" i="1"/>
  <c r="K78" i="1" s="1"/>
  <c r="G67" i="1"/>
  <c r="K67" i="1" s="1"/>
  <c r="G59" i="1"/>
  <c r="K59" i="1" s="1"/>
  <c r="E54" i="1"/>
  <c r="G53" i="1"/>
  <c r="K53" i="1" s="1"/>
  <c r="G48" i="1"/>
  <c r="Z48" i="1" s="1"/>
  <c r="E206" i="1" l="1"/>
  <c r="V199" i="1"/>
  <c r="V209" i="1" s="1"/>
  <c r="AL199" i="1"/>
  <c r="AL209" i="1" s="1"/>
  <c r="P133" i="1"/>
  <c r="Q133" i="1" s="1"/>
  <c r="G54" i="1"/>
  <c r="K54" i="1" s="1"/>
  <c r="G46" i="1"/>
  <c r="X46" i="1" s="1"/>
  <c r="G47" i="1"/>
  <c r="X47" i="1" s="1"/>
  <c r="G45" i="1"/>
  <c r="Z45" i="1" s="1"/>
  <c r="G40" i="1"/>
  <c r="Z40" i="1" s="1"/>
  <c r="G37" i="1"/>
  <c r="AM37" i="1" s="1"/>
  <c r="G28" i="1"/>
  <c r="AN28" i="1" s="1"/>
  <c r="AN199" i="1" s="1"/>
  <c r="AN209" i="1" s="1"/>
  <c r="G15" i="1"/>
  <c r="Z15" i="1" s="1"/>
  <c r="E34" i="1"/>
  <c r="G34" i="1" s="1"/>
  <c r="P34" i="1" s="1"/>
  <c r="E14" i="1"/>
  <c r="G14" i="1" s="1"/>
  <c r="Y14" i="1" s="1"/>
  <c r="Y199" i="1" s="1"/>
  <c r="Y209" i="1" s="1"/>
  <c r="V201" i="1" l="1"/>
  <c r="W202" i="1" s="1"/>
  <c r="AM199" i="1"/>
  <c r="AM209" i="1" s="1"/>
  <c r="Z199" i="1"/>
  <c r="Z209" i="1" s="1"/>
  <c r="E33" i="1"/>
  <c r="G33" i="1" s="1"/>
  <c r="P33" i="1" s="1"/>
  <c r="G43" i="1"/>
  <c r="G42" i="1"/>
  <c r="G27" i="1"/>
  <c r="AI27" i="1" s="1"/>
  <c r="G24" i="1"/>
  <c r="X24" i="1" s="1"/>
  <c r="G19" i="1"/>
  <c r="K19" i="1" s="1"/>
  <c r="E13" i="1"/>
  <c r="G44" i="1"/>
  <c r="X44" i="1" s="1"/>
  <c r="G39" i="1"/>
  <c r="X39" i="1" s="1"/>
  <c r="G36" i="1"/>
  <c r="AJ36" i="1" s="1"/>
  <c r="AJ199" i="1" s="1"/>
  <c r="AJ209" i="1" s="1"/>
  <c r="G29" i="1"/>
  <c r="AI29" i="1" s="1"/>
  <c r="G26" i="1"/>
  <c r="AK26" i="1" s="1"/>
  <c r="AK199" i="1" s="1"/>
  <c r="AK209" i="1" s="1"/>
  <c r="E22" i="1"/>
  <c r="G22" i="1" s="1"/>
  <c r="AF22" i="1" s="1"/>
  <c r="AF199" i="1" s="1"/>
  <c r="AF209" i="1" s="1"/>
  <c r="G17" i="1"/>
  <c r="AE17" i="1" s="1"/>
  <c r="AE199" i="1" s="1"/>
  <c r="AE209" i="1" s="1"/>
  <c r="G12" i="1"/>
  <c r="E31" i="1"/>
  <c r="E199" i="1" l="1"/>
  <c r="V202" i="1"/>
  <c r="P42" i="1"/>
  <c r="AI199" i="1"/>
  <c r="AI209" i="1" s="1"/>
  <c r="P43" i="1"/>
  <c r="Q43" i="1" s="1"/>
  <c r="G13" i="1"/>
  <c r="X13" i="1" s="1"/>
  <c r="X199" i="1" s="1"/>
  <c r="X209" i="1" s="1"/>
  <c r="E205" i="1"/>
  <c r="G31" i="1"/>
  <c r="K31" i="1" s="1"/>
  <c r="K199" i="1" s="1"/>
  <c r="K209" i="1" l="1"/>
  <c r="P199" i="1"/>
  <c r="P209" i="1" s="1"/>
  <c r="G199" i="1"/>
  <c r="Q42" i="1"/>
  <c r="Q199" i="1" s="1"/>
  <c r="E214" i="1"/>
  <c r="G214" i="1" s="1"/>
  <c r="BB199" i="1" l="1"/>
  <c r="J201" i="1"/>
  <c r="J203" i="1" s="1"/>
  <c r="Q209" i="1"/>
  <c r="G212" i="1" s="1"/>
  <c r="G216" i="1" l="1"/>
</calcChain>
</file>

<file path=xl/sharedStrings.xml><?xml version="1.0" encoding="utf-8"?>
<sst xmlns="http://schemas.openxmlformats.org/spreadsheetml/2006/main" count="797" uniqueCount="339">
  <si>
    <t xml:space="preserve">REQ # </t>
  </si>
  <si>
    <t>DATE PAID</t>
  </si>
  <si>
    <t>VENDOR</t>
  </si>
  <si>
    <t>GROSS AMT</t>
  </si>
  <si>
    <t>RETAINAGE</t>
  </si>
  <si>
    <t>NET AMT</t>
  </si>
  <si>
    <t>PURPOSE</t>
  </si>
  <si>
    <t>PROJECT</t>
  </si>
  <si>
    <t>Legal Fees</t>
  </si>
  <si>
    <t>Total Disbursements to Date:</t>
  </si>
  <si>
    <t>RECAP:</t>
  </si>
  <si>
    <t>EXPENDITURES BY MONTH</t>
  </si>
  <si>
    <t>EXPENDITURES BY TYPE</t>
  </si>
  <si>
    <t>Bond Fees</t>
  </si>
  <si>
    <t>Construction</t>
  </si>
  <si>
    <t>Architect</t>
  </si>
  <si>
    <t>Total:</t>
  </si>
  <si>
    <t>A &amp; E Services = architectural &amp; engineering</t>
  </si>
  <si>
    <t>DRAWS</t>
  </si>
  <si>
    <t>Karczewski, Bradford, LLP</t>
  </si>
  <si>
    <t>CK 099143</t>
  </si>
  <si>
    <t>CK 013090</t>
  </si>
  <si>
    <t>CK 098944</t>
  </si>
  <si>
    <t>Autoarch Architects, LLC</t>
  </si>
  <si>
    <t>CK 099020</t>
  </si>
  <si>
    <t>Paradigm Consultants, Inc</t>
  </si>
  <si>
    <t>Consultant Fees</t>
  </si>
  <si>
    <t>CK 099215</t>
  </si>
  <si>
    <t>Engineering Fees</t>
  </si>
  <si>
    <t>CK 099261</t>
  </si>
  <si>
    <t>Kakuza Inc</t>
  </si>
  <si>
    <t>GJ 013090</t>
  </si>
  <si>
    <t>Kaluza Inc Ck 99966</t>
  </si>
  <si>
    <t>CJ 013122</t>
  </si>
  <si>
    <t>Audit Adj Entry #1003</t>
  </si>
  <si>
    <t>CK 099325</t>
  </si>
  <si>
    <t>Lockwood, Andrews &amp; Newman</t>
  </si>
  <si>
    <t>Project Manager</t>
  </si>
  <si>
    <t>GJ 013122</t>
  </si>
  <si>
    <t>Audit Adjusting Entry #1003</t>
  </si>
  <si>
    <t>Site Work</t>
  </si>
  <si>
    <t>Middle School</t>
  </si>
  <si>
    <t>A&amp;E Services</t>
  </si>
  <si>
    <t>A&amp;E Services Site Work</t>
  </si>
  <si>
    <t>CK 099166</t>
  </si>
  <si>
    <t>CK 99261</t>
  </si>
  <si>
    <t>Kaluza, Inc</t>
  </si>
  <si>
    <t>CK#099966 Kaluza, Inc</t>
  </si>
  <si>
    <t>GJ 031090</t>
  </si>
  <si>
    <t>Autoarch Architects CK#099943</t>
  </si>
  <si>
    <t>AJE #1003</t>
  </si>
  <si>
    <t>August 31, 2018</t>
  </si>
  <si>
    <t>Misc Site Work</t>
  </si>
  <si>
    <t>Misc Site Work Svcs</t>
  </si>
  <si>
    <t>Admin Bldg</t>
  </si>
  <si>
    <t>AJE#1003</t>
  </si>
  <si>
    <t>CK 100224</t>
  </si>
  <si>
    <t>Thompson and Horton LLP</t>
  </si>
  <si>
    <t xml:space="preserve">Legal Fees </t>
  </si>
  <si>
    <t>CK 100181</t>
  </si>
  <si>
    <t>Karczewski and Bradshaw LLP</t>
  </si>
  <si>
    <t>CK 100370</t>
  </si>
  <si>
    <t>CK 100744</t>
  </si>
  <si>
    <t>CK 101207</t>
  </si>
  <si>
    <t>CK 101792</t>
  </si>
  <si>
    <t>CK 102034</t>
  </si>
  <si>
    <t>CK 102406</t>
  </si>
  <si>
    <t>CK 102812</t>
  </si>
  <si>
    <t>CK 103202</t>
  </si>
  <si>
    <t>CK 100421</t>
  </si>
  <si>
    <t>Weissner Engingeering Comp.</t>
  </si>
  <si>
    <t>CK 100434</t>
  </si>
  <si>
    <t>Autoarch Architects LLC</t>
  </si>
  <si>
    <t>CK 100886</t>
  </si>
  <si>
    <t>Kaluza Inc</t>
  </si>
  <si>
    <t>CK 101538</t>
  </si>
  <si>
    <t>CK 101716</t>
  </si>
  <si>
    <t>Weissner Engineering Comp</t>
  </si>
  <si>
    <t>CK 101927</t>
  </si>
  <si>
    <t>CK 102407</t>
  </si>
  <si>
    <t>CK 102941</t>
  </si>
  <si>
    <t>CK 103094</t>
  </si>
  <si>
    <t>CK 100290</t>
  </si>
  <si>
    <t>Lockwood, Andrews and Newman</t>
  </si>
  <si>
    <t>Project Management</t>
  </si>
  <si>
    <t>CK 100374</t>
  </si>
  <si>
    <t>CK 100805</t>
  </si>
  <si>
    <t>CK 101651</t>
  </si>
  <si>
    <t>CK 102136</t>
  </si>
  <si>
    <t>CK 102412</t>
  </si>
  <si>
    <t>CK 102493</t>
  </si>
  <si>
    <t>CK 103030</t>
  </si>
  <si>
    <t>CK 103205</t>
  </si>
  <si>
    <t>CK 100816</t>
  </si>
  <si>
    <t>Techknowledge Consulting</t>
  </si>
  <si>
    <t>CK 102813</t>
  </si>
  <si>
    <t>July 31, 2019</t>
  </si>
  <si>
    <t>GJ013115</t>
  </si>
  <si>
    <t>Land Purchase</t>
  </si>
  <si>
    <t>CK100741</t>
  </si>
  <si>
    <t>Houston Business Journal</t>
  </si>
  <si>
    <t>CK 100793</t>
  </si>
  <si>
    <t>CK 101533</t>
  </si>
  <si>
    <t>Advertising</t>
  </si>
  <si>
    <t>CK 101779</t>
  </si>
  <si>
    <t>CK 102487</t>
  </si>
  <si>
    <t>CK 102704</t>
  </si>
  <si>
    <t>CK 103249</t>
  </si>
  <si>
    <t>CK 101732</t>
  </si>
  <si>
    <t>Bedrock Rocks LLC</t>
  </si>
  <si>
    <t>E 00001</t>
  </si>
  <si>
    <t>Drymall Construction</t>
  </si>
  <si>
    <t>CK 102075</t>
  </si>
  <si>
    <t>Fort Bend CO WCID #2</t>
  </si>
  <si>
    <t>Water Connection Fee?</t>
  </si>
  <si>
    <t>CK 102194</t>
  </si>
  <si>
    <t>Centerpoint Energy</t>
  </si>
  <si>
    <t>Move Electrical Boxes</t>
  </si>
  <si>
    <t>CK 102209</t>
  </si>
  <si>
    <t>Bedrock Rocks LLP</t>
  </si>
  <si>
    <t>CK 102360</t>
  </si>
  <si>
    <t>Electrical Work</t>
  </si>
  <si>
    <t>Payment #1</t>
  </si>
  <si>
    <t>Payment #2</t>
  </si>
  <si>
    <t>E 00003</t>
  </si>
  <si>
    <t>E 00002</t>
  </si>
  <si>
    <t>Payment #3</t>
  </si>
  <si>
    <t>E00004</t>
  </si>
  <si>
    <t>Payment #4</t>
  </si>
  <si>
    <t>CK 103279</t>
  </si>
  <si>
    <t>GJ 013918</t>
  </si>
  <si>
    <t>CK 103150</t>
  </si>
  <si>
    <t>Fort Bend Co WCID #2</t>
  </si>
  <si>
    <t>CK 103278</t>
  </si>
  <si>
    <t>Admin School</t>
  </si>
  <si>
    <t>CK 103280</t>
  </si>
  <si>
    <t>CK 103281</t>
  </si>
  <si>
    <t>CK 101289</t>
  </si>
  <si>
    <t>Classic Chevrolet</t>
  </si>
  <si>
    <t>Purchase Surburban</t>
  </si>
  <si>
    <t>CK 102244</t>
  </si>
  <si>
    <t>Longhorn Bus Sales</t>
  </si>
  <si>
    <t>Transportation</t>
  </si>
  <si>
    <t>Purchased 2 Regular Buses</t>
  </si>
  <si>
    <t>Purchased 1 Spec Ed Bus</t>
  </si>
  <si>
    <t>CK 101984</t>
  </si>
  <si>
    <t>Unique Digital Inc.</t>
  </si>
  <si>
    <t>CK 102465</t>
  </si>
  <si>
    <t>Children's Plus Inc</t>
  </si>
  <si>
    <t>Library Books</t>
  </si>
  <si>
    <t>CK 103192</t>
  </si>
  <si>
    <t>Stafford Municipal School District</t>
  </si>
  <si>
    <t>Bond Payment Log Project to Date</t>
  </si>
  <si>
    <t>As of July 31, 2019</t>
  </si>
  <si>
    <t>Admin Bdlg</t>
  </si>
  <si>
    <t>New NET Bonds</t>
  </si>
  <si>
    <t>Auto arch</t>
  </si>
  <si>
    <t>Middle</t>
  </si>
  <si>
    <t>Auto Arch</t>
  </si>
  <si>
    <t>Engineering</t>
  </si>
  <si>
    <t>Middle Sch.</t>
  </si>
  <si>
    <t>DryMalla</t>
  </si>
  <si>
    <t>Paradigm</t>
  </si>
  <si>
    <t>Consultants</t>
  </si>
  <si>
    <t>Legal</t>
  </si>
  <si>
    <t>Fees</t>
  </si>
  <si>
    <t>Weissner</t>
  </si>
  <si>
    <t>Kaluza</t>
  </si>
  <si>
    <t>Project Mgr</t>
  </si>
  <si>
    <t>LAN</t>
  </si>
  <si>
    <t>City of Stafford</t>
  </si>
  <si>
    <t xml:space="preserve">Land </t>
  </si>
  <si>
    <t>Purchase</t>
  </si>
  <si>
    <t>Admin</t>
  </si>
  <si>
    <t xml:space="preserve">Site </t>
  </si>
  <si>
    <t>Vehicles</t>
  </si>
  <si>
    <t>Buses &amp;</t>
  </si>
  <si>
    <t>Books</t>
  </si>
  <si>
    <t>Library</t>
  </si>
  <si>
    <t>Electrical</t>
  </si>
  <si>
    <t>Work</t>
  </si>
  <si>
    <t>Centerpoint</t>
  </si>
  <si>
    <t>Rocks</t>
  </si>
  <si>
    <t>Bedroom</t>
  </si>
  <si>
    <t>TechKNowledge</t>
  </si>
  <si>
    <t>Consulting</t>
  </si>
  <si>
    <t>Variance Check</t>
  </si>
  <si>
    <t>Proj Mgr</t>
  </si>
  <si>
    <t>Adnmin</t>
  </si>
  <si>
    <t>Site Dev</t>
  </si>
  <si>
    <t xml:space="preserve">Water </t>
  </si>
  <si>
    <t>Connection</t>
  </si>
  <si>
    <t>project mgr</t>
  </si>
  <si>
    <t xml:space="preserve">Allocation </t>
  </si>
  <si>
    <t>based on</t>
  </si>
  <si>
    <t xml:space="preserve">construction </t>
  </si>
  <si>
    <t>costs</t>
  </si>
  <si>
    <t>PAYMENTS</t>
  </si>
  <si>
    <t>PO BALANCES</t>
  </si>
  <si>
    <t>PO AMOUNT  --&gt;</t>
  </si>
  <si>
    <t>---&gt;</t>
  </si>
  <si>
    <t>PO 034335</t>
  </si>
  <si>
    <t>PO 034336</t>
  </si>
  <si>
    <t>PO 034337</t>
  </si>
  <si>
    <t>PO 034575</t>
  </si>
  <si>
    <t>PO 034577</t>
  </si>
  <si>
    <t>PO 034231</t>
  </si>
  <si>
    <t>PO 34764</t>
  </si>
  <si>
    <t>PO 036906</t>
  </si>
  <si>
    <t>PO 035356</t>
  </si>
  <si>
    <t>PO 34763</t>
  </si>
  <si>
    <t>PO 034576</t>
  </si>
  <si>
    <t>PO 034206</t>
  </si>
  <si>
    <t>Housotn</t>
  </si>
  <si>
    <t>Bs Journal</t>
  </si>
  <si>
    <t xml:space="preserve">Bedrock </t>
  </si>
  <si>
    <t>PO 035767 &amp;66</t>
  </si>
  <si>
    <t>PO 036140</t>
  </si>
  <si>
    <t>PO 036139</t>
  </si>
  <si>
    <t>PO 034163</t>
  </si>
  <si>
    <t>PO 036227 &amp; 036226</t>
  </si>
  <si>
    <t>PO 036944</t>
  </si>
  <si>
    <t>PO 036942</t>
  </si>
  <si>
    <t>PO 036943</t>
  </si>
  <si>
    <t>PO 036945</t>
  </si>
  <si>
    <t>PO 035188</t>
  </si>
  <si>
    <t>PO 035190</t>
  </si>
  <si>
    <t>PO 035187</t>
  </si>
  <si>
    <t>PO 035189</t>
  </si>
  <si>
    <t>PO 033066</t>
  </si>
  <si>
    <t>PO 034230</t>
  </si>
  <si>
    <t>PO 033080</t>
  </si>
  <si>
    <t>PO 035321</t>
  </si>
  <si>
    <t>PO035320</t>
  </si>
  <si>
    <t>JE - Land Purchase</t>
  </si>
  <si>
    <t>PO 035978</t>
  </si>
  <si>
    <t>PO 036870</t>
  </si>
  <si>
    <t>Middle PO</t>
  </si>
  <si>
    <t>Admin PO</t>
  </si>
  <si>
    <t>Projected Projc</t>
  </si>
  <si>
    <t>Allocated Total</t>
  </si>
  <si>
    <t xml:space="preserve">Percent of Total </t>
  </si>
  <si>
    <t>Project Management Costs</t>
  </si>
  <si>
    <t>Additional Interest Earnings</t>
  </si>
  <si>
    <t>CK 103393</t>
  </si>
  <si>
    <t>GJ 013942</t>
  </si>
  <si>
    <t xml:space="preserve">Payment #5 </t>
  </si>
  <si>
    <t>GJ 013968</t>
  </si>
  <si>
    <t>CK 103514</t>
  </si>
  <si>
    <t>Knapp Chevrolet</t>
  </si>
  <si>
    <t>Purchase Truck</t>
  </si>
  <si>
    <t>CK 103547</t>
  </si>
  <si>
    <t>Weissner Engineering</t>
  </si>
  <si>
    <t>CK103593</t>
  </si>
  <si>
    <t>Paradigm Consultants</t>
  </si>
  <si>
    <t>CK 103591</t>
  </si>
  <si>
    <t>Lockwood Andrews</t>
  </si>
  <si>
    <t>CK 103579</t>
  </si>
  <si>
    <t>CK 103633</t>
  </si>
  <si>
    <t>Kaluza &amp; Assoc</t>
  </si>
  <si>
    <t>CK 103661</t>
  </si>
  <si>
    <t>Traffic Engineers</t>
  </si>
  <si>
    <t>Traffic Study</t>
  </si>
  <si>
    <t>CK 103631</t>
  </si>
  <si>
    <t>HVJ Associates</t>
  </si>
  <si>
    <t>MEP Work</t>
  </si>
  <si>
    <t>PO 037109</t>
  </si>
  <si>
    <t>Traffic</t>
  </si>
  <si>
    <t>Engineers</t>
  </si>
  <si>
    <t>PO 037138</t>
  </si>
  <si>
    <t xml:space="preserve">HVJ </t>
  </si>
  <si>
    <t>Associates</t>
  </si>
  <si>
    <t>PO 037137</t>
  </si>
  <si>
    <t>As of August 31, 2019</t>
  </si>
  <si>
    <t>Tx Education</t>
  </si>
  <si>
    <t>Agency</t>
  </si>
  <si>
    <t>Drymalla Construction</t>
  </si>
  <si>
    <t>Payment #6</t>
  </si>
  <si>
    <t>Payment #7</t>
  </si>
  <si>
    <t>PO 037133</t>
  </si>
  <si>
    <t>Educators</t>
  </si>
  <si>
    <t>Depot, Inc</t>
  </si>
  <si>
    <t>Project Mgmt</t>
  </si>
  <si>
    <t>Proj Mgmt</t>
  </si>
  <si>
    <t>Autoarch Architects</t>
  </si>
  <si>
    <t>Architect Work</t>
  </si>
  <si>
    <t>Site Improvmnt</t>
  </si>
  <si>
    <t>Legal Services</t>
  </si>
  <si>
    <t>August 31, 2019</t>
  </si>
  <si>
    <t>PO 037044</t>
  </si>
  <si>
    <t>PO 037112</t>
  </si>
  <si>
    <t>PO 037140</t>
  </si>
  <si>
    <t>High School</t>
  </si>
  <si>
    <t>Magnet Schl</t>
  </si>
  <si>
    <t>PO 037139</t>
  </si>
  <si>
    <t>Weisser</t>
  </si>
  <si>
    <t>PO  037036</t>
  </si>
  <si>
    <t>PO 033085</t>
  </si>
  <si>
    <t>PO 033087</t>
  </si>
  <si>
    <t>PO 033086</t>
  </si>
  <si>
    <t>Var Renovations</t>
  </si>
  <si>
    <t>2019-2020 PO's</t>
  </si>
  <si>
    <t>Proj Mgrs</t>
  </si>
  <si>
    <t>Var Renovations #2</t>
  </si>
  <si>
    <t>Site Improvements</t>
  </si>
  <si>
    <t>Pending Encumbrance</t>
  </si>
  <si>
    <t>and PA</t>
  </si>
  <si>
    <t>PA Approved</t>
  </si>
  <si>
    <t>Item is being psid from interest earnings on  pay as you go</t>
  </si>
  <si>
    <t xml:space="preserve">basis. </t>
  </si>
  <si>
    <t>Committed through PO and encumbrances</t>
  </si>
  <si>
    <t>Amount not encumbered OR PO issued</t>
  </si>
  <si>
    <t>Architects</t>
  </si>
  <si>
    <t>Pending E</t>
  </si>
  <si>
    <t>Encumbrance</t>
  </si>
  <si>
    <t>Smith &amp; Co</t>
  </si>
  <si>
    <t>Molina Walker</t>
  </si>
  <si>
    <t>AG Barn and Com Ctr RENO</t>
  </si>
  <si>
    <t>Elem and Pre K RENO</t>
  </si>
  <si>
    <t>Knapp Chevrolet Inc</t>
  </si>
  <si>
    <t>Purchase Chevy Malibu</t>
  </si>
  <si>
    <t>Helfman Ford</t>
  </si>
  <si>
    <t xml:space="preserve">Purchase 10 Pass Van </t>
  </si>
  <si>
    <t>CK 103825</t>
  </si>
  <si>
    <t>CK 103823</t>
  </si>
  <si>
    <t>Weisser Engineering Co.</t>
  </si>
  <si>
    <t>APAUG1</t>
  </si>
  <si>
    <t>Traffic Engineers&lt; Inc</t>
  </si>
  <si>
    <t>GJ 014095</t>
  </si>
  <si>
    <t>DryMalla Construction</t>
  </si>
  <si>
    <t>GJ 014152</t>
  </si>
  <si>
    <t>GJ 014149</t>
  </si>
  <si>
    <t>GJ 014150</t>
  </si>
  <si>
    <t>GJ 014159</t>
  </si>
  <si>
    <t>GJ 014156</t>
  </si>
  <si>
    <t>GJ 014146</t>
  </si>
  <si>
    <t>GJ 014154</t>
  </si>
  <si>
    <t>September 30, 2019</t>
  </si>
  <si>
    <t>Available Cash as September 30,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</si>
</sst>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4" fontId="3" fillId="0" borderId="1" xfId="2" applyFont="1" applyBorder="1" applyAlignment="1">
      <alignment horizontal="right"/>
    </xf>
    <xf numFmtId="44" fontId="3" fillId="0" borderId="1" xfId="2" applyFon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3" fontId="3" fillId="0" borderId="1" xfId="1" applyFont="1" applyBorder="1" applyAlignment="1">
      <alignment horizontal="center"/>
    </xf>
    <xf numFmtId="43" fontId="3" fillId="0" borderId="1" xfId="1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43" fontId="3" fillId="0" borderId="1" xfId="1" applyFont="1" applyBorder="1"/>
    <xf numFmtId="0" fontId="3" fillId="0" borderId="2" xfId="0" applyFont="1" applyBorder="1" applyAlignment="1">
      <alignment horizontal="left"/>
    </xf>
    <xf numFmtId="165" fontId="3" fillId="0" borderId="2" xfId="0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4" fontId="3" fillId="0" borderId="0" xfId="2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44" fontId="4" fillId="0" borderId="3" xfId="0" applyNumberFormat="1" applyFont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0" xfId="0" applyFont="1" applyAlignment="1">
      <alignment horizontal="left"/>
    </xf>
    <xf numFmtId="0" fontId="4" fillId="0" borderId="0" xfId="0" applyFont="1"/>
    <xf numFmtId="15" fontId="3" fillId="0" borderId="0" xfId="0" quotePrefix="1" applyNumberFormat="1" applyFont="1"/>
    <xf numFmtId="43" fontId="3" fillId="0" borderId="0" xfId="1" applyFont="1" applyFill="1"/>
    <xf numFmtId="43" fontId="3" fillId="0" borderId="0" xfId="1" applyFont="1"/>
    <xf numFmtId="43" fontId="3" fillId="0" borderId="0" xfId="0" applyNumberFormat="1" applyFont="1"/>
    <xf numFmtId="15" fontId="3" fillId="0" borderId="0" xfId="0" quotePrefix="1" applyNumberFormat="1" applyFont="1" applyAlignment="1"/>
    <xf numFmtId="0" fontId="4" fillId="0" borderId="0" xfId="0" applyFont="1" applyAlignment="1">
      <alignment horizontal="right"/>
    </xf>
    <xf numFmtId="44" fontId="4" fillId="0" borderId="6" xfId="2" applyFont="1" applyBorder="1"/>
    <xf numFmtId="0" fontId="3" fillId="0" borderId="0" xfId="0" applyFont="1" applyFill="1" applyBorder="1"/>
    <xf numFmtId="44" fontId="4" fillId="0" borderId="0" xfId="2" applyFont="1" applyBorder="1"/>
    <xf numFmtId="44" fontId="3" fillId="0" borderId="0" xfId="0" applyNumberFormat="1" applyFont="1"/>
    <xf numFmtId="0" fontId="3" fillId="2" borderId="1" xfId="0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3" fillId="0" borderId="1" xfId="0" applyFont="1" applyBorder="1" applyAlignment="1"/>
    <xf numFmtId="0" fontId="3" fillId="2" borderId="1" xfId="0" applyFont="1" applyFill="1" applyBorder="1" applyAlignment="1"/>
    <xf numFmtId="164" fontId="5" fillId="0" borderId="1" xfId="1" applyNumberFormat="1" applyFont="1" applyBorder="1" applyAlignment="1">
      <alignment horizontal="left"/>
    </xf>
    <xf numFmtId="0" fontId="0" fillId="0" borderId="0" xfId="0" applyFont="1" applyAlignment="1">
      <alignment horizontal="left"/>
    </xf>
    <xf numFmtId="14" fontId="3" fillId="0" borderId="1" xfId="0" applyNumberFormat="1" applyFont="1" applyBorder="1" applyAlignment="1">
      <alignment horizontal="center"/>
    </xf>
    <xf numFmtId="44" fontId="3" fillId="0" borderId="1" xfId="2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4" fontId="3" fillId="2" borderId="1" xfId="2" applyFont="1" applyFill="1" applyBorder="1" applyAlignment="1">
      <alignment horizontal="left"/>
    </xf>
    <xf numFmtId="44" fontId="3" fillId="2" borderId="1" xfId="2" applyFont="1" applyFill="1" applyBorder="1" applyAlignment="1">
      <alignment horizontal="right"/>
    </xf>
    <xf numFmtId="44" fontId="3" fillId="0" borderId="1" xfId="2" applyFont="1" applyBorder="1"/>
    <xf numFmtId="14" fontId="3" fillId="0" borderId="2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44" fontId="3" fillId="0" borderId="0" xfId="2" applyFont="1" applyBorder="1"/>
    <xf numFmtId="0" fontId="3" fillId="0" borderId="0" xfId="0" applyFont="1" applyBorder="1" applyAlignment="1"/>
    <xf numFmtId="44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4" fillId="0" borderId="1" xfId="1" applyFont="1" applyBorder="1"/>
    <xf numFmtId="44" fontId="4" fillId="0" borderId="0" xfId="2" applyFont="1" applyBorder="1" applyAlignment="1">
      <alignment horizontal="center"/>
    </xf>
    <xf numFmtId="44" fontId="4" fillId="0" borderId="0" xfId="2" applyFont="1"/>
    <xf numFmtId="44" fontId="6" fillId="0" borderId="4" xfId="2" applyFont="1" applyBorder="1"/>
    <xf numFmtId="44" fontId="6" fillId="0" borderId="0" xfId="2" applyFont="1" applyBorder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44" fontId="0" fillId="0" borderId="0" xfId="0" applyNumberFormat="1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4" xfId="0" applyBorder="1"/>
    <xf numFmtId="44" fontId="0" fillId="0" borderId="0" xfId="0" applyNumberFormat="1"/>
    <xf numFmtId="0" fontId="0" fillId="0" borderId="15" xfId="0" applyBorder="1"/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44" fontId="3" fillId="3" borderId="1" xfId="2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2" fillId="0" borderId="16" xfId="0" applyFont="1" applyBorder="1" applyAlignment="1">
      <alignment horizontal="center"/>
    </xf>
    <xf numFmtId="44" fontId="2" fillId="0" borderId="16" xfId="2" applyFont="1" applyBorder="1" applyAlignment="1">
      <alignment horizontal="center"/>
    </xf>
    <xf numFmtId="44" fontId="3" fillId="0" borderId="2" xfId="2" applyFont="1" applyBorder="1" applyAlignment="1">
      <alignment horizontal="right"/>
    </xf>
    <xf numFmtId="44" fontId="3" fillId="0" borderId="2" xfId="2" applyFont="1" applyBorder="1" applyAlignment="1">
      <alignment horizontal="center"/>
    </xf>
    <xf numFmtId="0" fontId="3" fillId="0" borderId="2" xfId="0" applyFont="1" applyBorder="1" applyAlignment="1"/>
    <xf numFmtId="0" fontId="2" fillId="3" borderId="17" xfId="0" applyFont="1" applyFill="1" applyBorder="1" applyAlignment="1">
      <alignment horizontal="center"/>
    </xf>
    <xf numFmtId="44" fontId="2" fillId="3" borderId="18" xfId="2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left"/>
    </xf>
    <xf numFmtId="0" fontId="0" fillId="3" borderId="19" xfId="0" applyFill="1" applyBorder="1"/>
    <xf numFmtId="0" fontId="0" fillId="3" borderId="20" xfId="0" applyFill="1" applyBorder="1"/>
    <xf numFmtId="14" fontId="3" fillId="0" borderId="2" xfId="0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left"/>
    </xf>
    <xf numFmtId="44" fontId="3" fillId="0" borderId="2" xfId="2" applyFont="1" applyBorder="1" applyAlignment="1">
      <alignment horizontal="left"/>
    </xf>
    <xf numFmtId="0" fontId="2" fillId="3" borderId="21" xfId="0" applyFont="1" applyFill="1" applyBorder="1" applyAlignment="1">
      <alignment horizontal="center"/>
    </xf>
    <xf numFmtId="164" fontId="2" fillId="3" borderId="18" xfId="1" applyNumberFormat="1" applyFont="1" applyFill="1" applyBorder="1" applyAlignment="1">
      <alignment horizontal="center"/>
    </xf>
    <xf numFmtId="44" fontId="4" fillId="3" borderId="1" xfId="2" applyFont="1" applyFill="1" applyBorder="1" applyAlignment="1">
      <alignment horizontal="center"/>
    </xf>
    <xf numFmtId="44" fontId="3" fillId="2" borderId="1" xfId="2" applyFont="1" applyFill="1" applyBorder="1" applyAlignment="1">
      <alignment horizontal="center"/>
    </xf>
    <xf numFmtId="166" fontId="0" fillId="0" borderId="6" xfId="2" applyNumberFormat="1" applyFont="1" applyBorder="1"/>
    <xf numFmtId="0" fontId="2" fillId="0" borderId="0" xfId="0" applyFont="1" applyBorder="1" applyAlignment="1">
      <alignment horizontal="center"/>
    </xf>
    <xf numFmtId="0" fontId="2" fillId="3" borderId="19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44" fontId="3" fillId="3" borderId="0" xfId="0" applyNumberFormat="1" applyFont="1" applyFill="1" applyBorder="1" applyAlignment="1">
      <alignment horizontal="left"/>
    </xf>
    <xf numFmtId="44" fontId="3" fillId="0" borderId="0" xfId="0" applyNumberFormat="1" applyFont="1" applyBorder="1" applyAlignment="1">
      <alignment horizontal="left"/>
    </xf>
    <xf numFmtId="43" fontId="0" fillId="0" borderId="0" xfId="1" applyFont="1"/>
    <xf numFmtId="166" fontId="0" fillId="4" borderId="7" xfId="0" applyNumberForma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44" fontId="3" fillId="4" borderId="8" xfId="0" applyNumberFormat="1" applyFont="1" applyFill="1" applyBorder="1" applyAlignment="1">
      <alignment horizontal="left"/>
    </xf>
    <xf numFmtId="44" fontId="4" fillId="4" borderId="7" xfId="2" applyFont="1" applyFill="1" applyBorder="1"/>
    <xf numFmtId="44" fontId="4" fillId="4" borderId="8" xfId="0" applyNumberFormat="1" applyFont="1" applyFill="1" applyBorder="1"/>
    <xf numFmtId="44" fontId="3" fillId="2" borderId="0" xfId="0" applyNumberFormat="1" applyFont="1" applyFill="1" applyBorder="1" applyAlignment="1">
      <alignment horizontal="left"/>
    </xf>
    <xf numFmtId="166" fontId="0" fillId="0" borderId="0" xfId="0" applyNumberFormat="1"/>
    <xf numFmtId="9" fontId="0" fillId="0" borderId="0" xfId="3" applyFont="1"/>
    <xf numFmtId="164" fontId="0" fillId="0" borderId="0" xfId="1" applyNumberFormat="1" applyFont="1"/>
    <xf numFmtId="164" fontId="0" fillId="2" borderId="0" xfId="1" applyNumberFormat="1" applyFont="1" applyFill="1"/>
    <xf numFmtId="0" fontId="0" fillId="0" borderId="7" xfId="0" applyBorder="1"/>
    <xf numFmtId="0" fontId="0" fillId="0" borderId="22" xfId="0" applyBorder="1"/>
    <xf numFmtId="0" fontId="0" fillId="0" borderId="22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/>
    <xf numFmtId="166" fontId="0" fillId="6" borderId="0" xfId="0" applyNumberFormat="1" applyFill="1"/>
    <xf numFmtId="0" fontId="0" fillId="0" borderId="0" xfId="0" quotePrefix="1"/>
    <xf numFmtId="44" fontId="8" fillId="0" borderId="0" xfId="0" applyNumberFormat="1" applyFont="1" applyAlignment="1">
      <alignment horizontal="left"/>
    </xf>
    <xf numFmtId="44" fontId="8" fillId="0" borderId="0" xfId="0" applyNumberFormat="1" applyFont="1"/>
    <xf numFmtId="43" fontId="8" fillId="0" borderId="0" xfId="1" applyFont="1"/>
    <xf numFmtId="43" fontId="0" fillId="5" borderId="1" xfId="1" applyFont="1" applyFill="1" applyBorder="1"/>
    <xf numFmtId="164" fontId="0" fillId="5" borderId="1" xfId="1" applyNumberFormat="1" applyFont="1" applyFill="1" applyBorder="1"/>
    <xf numFmtId="0" fontId="0" fillId="3" borderId="0" xfId="0" applyFill="1"/>
    <xf numFmtId="166" fontId="0" fillId="3" borderId="0" xfId="0" applyNumberFormat="1" applyFill="1"/>
    <xf numFmtId="0" fontId="0" fillId="0" borderId="0" xfId="0" quotePrefix="1" applyAlignment="1">
      <alignment horizontal="center"/>
    </xf>
    <xf numFmtId="166" fontId="8" fillId="0" borderId="0" xfId="0" applyNumberFormat="1" applyFont="1"/>
    <xf numFmtId="43" fontId="0" fillId="0" borderId="0" xfId="0" applyNumberFormat="1"/>
    <xf numFmtId="0" fontId="0" fillId="3" borderId="9" xfId="0" applyFill="1" applyBorder="1"/>
    <xf numFmtId="0" fontId="0" fillId="3" borderId="15" xfId="0" applyFill="1" applyBorder="1"/>
    <xf numFmtId="0" fontId="0" fillId="3" borderId="11" xfId="0" applyFill="1" applyBorder="1"/>
    <xf numFmtId="164" fontId="0" fillId="3" borderId="12" xfId="0" applyNumberFormat="1" applyFill="1" applyBorder="1"/>
    <xf numFmtId="164" fontId="0" fillId="3" borderId="0" xfId="1" applyNumberFormat="1" applyFont="1" applyFill="1" applyBorder="1"/>
    <xf numFmtId="164" fontId="0" fillId="3" borderId="13" xfId="1" applyNumberFormat="1" applyFont="1" applyFill="1" applyBorder="1"/>
    <xf numFmtId="0" fontId="0" fillId="3" borderId="12" xfId="0" applyFill="1" applyBorder="1"/>
    <xf numFmtId="9" fontId="0" fillId="3" borderId="0" xfId="3" applyFont="1" applyFill="1" applyBorder="1"/>
    <xf numFmtId="9" fontId="0" fillId="3" borderId="13" xfId="3" applyFont="1" applyFill="1" applyBorder="1"/>
    <xf numFmtId="0" fontId="0" fillId="3" borderId="0" xfId="0" applyFill="1" applyBorder="1"/>
    <xf numFmtId="0" fontId="0" fillId="3" borderId="13" xfId="0" applyFill="1" applyBorder="1"/>
    <xf numFmtId="0" fontId="0" fillId="3" borderId="10" xfId="0" applyFill="1" applyBorder="1"/>
    <xf numFmtId="0" fontId="0" fillId="3" borderId="4" xfId="0" applyFill="1" applyBorder="1"/>
    <xf numFmtId="0" fontId="0" fillId="3" borderId="14" xfId="0" applyFill="1" applyBorder="1"/>
    <xf numFmtId="44" fontId="3" fillId="0" borderId="1" xfId="2" applyFont="1" applyBorder="1" applyAlignment="1"/>
    <xf numFmtId="44" fontId="0" fillId="0" borderId="0" xfId="2" applyFont="1"/>
    <xf numFmtId="43" fontId="3" fillId="0" borderId="0" xfId="0" quotePrefix="1" applyNumberFormat="1" applyFont="1" applyAlignment="1"/>
    <xf numFmtId="0" fontId="0" fillId="3" borderId="0" xfId="0" applyFill="1" applyAlignment="1">
      <alignment horizontal="center"/>
    </xf>
    <xf numFmtId="166" fontId="0" fillId="6" borderId="9" xfId="0" applyNumberFormat="1" applyFill="1" applyBorder="1"/>
    <xf numFmtId="166" fontId="0" fillId="6" borderId="15" xfId="0" applyNumberFormat="1" applyFill="1" applyBorder="1"/>
    <xf numFmtId="166" fontId="0" fillId="6" borderId="11" xfId="0" applyNumberFormat="1" applyFill="1" applyBorder="1"/>
    <xf numFmtId="164" fontId="0" fillId="0" borderId="12" xfId="1" applyNumberFormat="1" applyFont="1" applyBorder="1"/>
    <xf numFmtId="164" fontId="0" fillId="0" borderId="0" xfId="1" applyNumberFormat="1" applyFont="1" applyBorder="1"/>
    <xf numFmtId="164" fontId="0" fillId="0" borderId="10" xfId="1" applyNumberFormat="1" applyFont="1" applyBorder="1"/>
    <xf numFmtId="164" fontId="0" fillId="0" borderId="4" xfId="1" applyNumberFormat="1" applyFont="1" applyBorder="1"/>
    <xf numFmtId="0" fontId="9" fillId="0" borderId="0" xfId="0" applyFont="1"/>
    <xf numFmtId="164" fontId="9" fillId="0" borderId="0" xfId="0" applyNumberFormat="1" applyFont="1"/>
    <xf numFmtId="0" fontId="4" fillId="0" borderId="0" xfId="0" applyFont="1" applyBorder="1"/>
    <xf numFmtId="43" fontId="3" fillId="0" borderId="0" xfId="1" applyFont="1" applyBorder="1"/>
    <xf numFmtId="43" fontId="3" fillId="0" borderId="0" xfId="0" applyNumberFormat="1" applyFont="1" applyBorder="1"/>
    <xf numFmtId="0" fontId="3" fillId="3" borderId="0" xfId="0" applyFont="1" applyFill="1" applyAlignment="1">
      <alignment horizontal="left"/>
    </xf>
    <xf numFmtId="0" fontId="9" fillId="3" borderId="0" xfId="0" applyFont="1" applyFill="1"/>
    <xf numFmtId="0" fontId="10" fillId="3" borderId="0" xfId="0" applyFont="1" applyFill="1"/>
    <xf numFmtId="166" fontId="9" fillId="3" borderId="0" xfId="2" applyNumberFormat="1" applyFont="1" applyFill="1"/>
    <xf numFmtId="0" fontId="4" fillId="0" borderId="23" xfId="0" applyFont="1" applyBorder="1" applyAlignment="1">
      <alignment horizontal="right"/>
    </xf>
    <xf numFmtId="44" fontId="4" fillId="0" borderId="19" xfId="2" applyFont="1" applyBorder="1"/>
    <xf numFmtId="0" fontId="3" fillId="0" borderId="20" xfId="0" applyFont="1" applyBorder="1"/>
    <xf numFmtId="164" fontId="9" fillId="3" borderId="23" xfId="1" applyNumberFormat="1" applyFont="1" applyFill="1" applyBorder="1"/>
    <xf numFmtId="0" fontId="9" fillId="3" borderId="19" xfId="0" applyFont="1" applyFill="1" applyBorder="1"/>
    <xf numFmtId="0" fontId="9" fillId="3" borderId="20" xfId="0" applyFont="1" applyFill="1" applyBorder="1"/>
    <xf numFmtId="44" fontId="4" fillId="6" borderId="0" xfId="2" applyFont="1" applyFill="1" applyBorder="1"/>
    <xf numFmtId="0" fontId="3" fillId="6" borderId="0" xfId="0" applyFont="1" applyFill="1" applyBorder="1"/>
    <xf numFmtId="0" fontId="3" fillId="6" borderId="0" xfId="0" applyFont="1" applyFill="1" applyAlignment="1">
      <alignment horizontal="left"/>
    </xf>
    <xf numFmtId="166" fontId="9" fillId="6" borderId="0" xfId="0" applyNumberFormat="1" applyFont="1" applyFill="1"/>
    <xf numFmtId="0" fontId="9" fillId="6" borderId="0" xfId="0" applyFont="1" applyFill="1"/>
    <xf numFmtId="0" fontId="0" fillId="6" borderId="0" xfId="0" applyFill="1"/>
    <xf numFmtId="0" fontId="4" fillId="6" borderId="0" xfId="0" applyFont="1" applyFill="1" applyAlignment="1">
      <alignment horizontal="left"/>
    </xf>
    <xf numFmtId="0" fontId="3" fillId="6" borderId="0" xfId="0" quotePrefix="1" applyFont="1" applyFill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4" xfId="0" applyFill="1" applyBorder="1"/>
    <xf numFmtId="0" fontId="0" fillId="7" borderId="23" xfId="0" applyFill="1" applyBorder="1"/>
    <xf numFmtId="0" fontId="0" fillId="7" borderId="19" xfId="0" applyFill="1" applyBorder="1"/>
    <xf numFmtId="0" fontId="0" fillId="7" borderId="20" xfId="0" applyFill="1" applyBorder="1"/>
    <xf numFmtId="0" fontId="0" fillId="8" borderId="11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9" borderId="13" xfId="0" applyFill="1" applyBorder="1" applyAlignment="1">
      <alignment horizontal="center"/>
    </xf>
    <xf numFmtId="0" fontId="0" fillId="9" borderId="14" xfId="0" applyFill="1" applyBorder="1"/>
    <xf numFmtId="0" fontId="0" fillId="8" borderId="14" xfId="0" applyFill="1" applyBorder="1" applyAlignment="1">
      <alignment horizontal="center"/>
    </xf>
    <xf numFmtId="44" fontId="11" fillId="0" borderId="0" xfId="0" applyNumberFormat="1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F14A-F7EA-49ED-B24C-0A0E236661F6}">
  <dimension ref="A1:BB225"/>
  <sheetViews>
    <sheetView tabSelected="1" workbookViewId="0">
      <pane ySplit="10" topLeftCell="A194" activePane="bottomLeft" state="frozen"/>
      <selection activeCell="B1" sqref="B1"/>
      <selection pane="bottomLeft" activeCell="E210" sqref="E210"/>
    </sheetView>
  </sheetViews>
  <sheetFormatPr defaultRowHeight="15" x14ac:dyDescent="0.25"/>
  <cols>
    <col min="1" max="1" width="14.7109375" customWidth="1"/>
    <col min="2" max="2" width="12.85546875" customWidth="1"/>
    <col min="3" max="3" width="9.140625" customWidth="1"/>
    <col min="4" max="4" width="33" customWidth="1"/>
    <col min="5" max="5" width="18.42578125" customWidth="1"/>
    <col min="6" max="6" width="15" customWidth="1"/>
    <col min="7" max="7" width="18.28515625" style="65" customWidth="1"/>
    <col min="8" max="8" width="30.85546875" customWidth="1"/>
    <col min="9" max="9" width="17.140625" customWidth="1"/>
    <col min="10" max="10" width="17.85546875" customWidth="1"/>
    <col min="11" max="11" width="17.5703125" bestFit="1" customWidth="1"/>
    <col min="12" max="12" width="13.7109375" customWidth="1"/>
    <col min="13" max="13" width="10.85546875" customWidth="1"/>
    <col min="14" max="14" width="18.28515625" bestFit="1" customWidth="1"/>
    <col min="15" max="15" width="10.85546875" customWidth="1"/>
    <col min="16" max="16" width="16.5703125" customWidth="1"/>
    <col min="17" max="17" width="15.42578125" customWidth="1"/>
    <col min="18" max="18" width="17.140625" customWidth="1"/>
    <col min="19" max="19" width="15.42578125" customWidth="1"/>
    <col min="20" max="21" width="19" customWidth="1"/>
    <col min="22" max="22" width="14.85546875" customWidth="1"/>
    <col min="23" max="23" width="14" customWidth="1"/>
    <col min="24" max="24" width="14.85546875" customWidth="1"/>
    <col min="25" max="25" width="11.85546875" customWidth="1"/>
    <col min="26" max="28" width="12.42578125" customWidth="1"/>
    <col min="29" max="29" width="20.85546875" customWidth="1"/>
    <col min="30" max="30" width="23" customWidth="1"/>
    <col min="31" max="31" width="11.5703125" customWidth="1"/>
    <col min="32" max="33" width="12" customWidth="1"/>
    <col min="34" max="34" width="12.42578125" customWidth="1"/>
    <col min="35" max="37" width="12.140625" customWidth="1"/>
    <col min="38" max="38" width="11.5703125" customWidth="1"/>
    <col min="39" max="43" width="13.28515625" customWidth="1"/>
    <col min="44" max="44" width="17" customWidth="1"/>
    <col min="45" max="45" width="11.85546875" bestFit="1" customWidth="1"/>
    <col min="46" max="46" width="12.85546875" customWidth="1"/>
    <col min="47" max="47" width="11.42578125" customWidth="1"/>
    <col min="48" max="48" width="11.7109375" customWidth="1"/>
    <col min="49" max="49" width="11.140625" customWidth="1"/>
    <col min="50" max="51" width="15.7109375" customWidth="1"/>
    <col min="52" max="52" width="13.7109375" bestFit="1" customWidth="1"/>
    <col min="53" max="53" width="14.28515625" bestFit="1" customWidth="1"/>
    <col min="54" max="54" width="12.5703125" bestFit="1" customWidth="1"/>
  </cols>
  <sheetData>
    <row r="1" spans="1:53" x14ac:dyDescent="0.25">
      <c r="N1" s="67"/>
      <c r="O1" s="67"/>
      <c r="P1" s="67"/>
      <c r="AS1" s="67" t="s">
        <v>232</v>
      </c>
      <c r="AT1" s="67" t="s">
        <v>227</v>
      </c>
      <c r="AW1" s="67" t="s">
        <v>224</v>
      </c>
    </row>
    <row r="2" spans="1:53" x14ac:dyDescent="0.25">
      <c r="N2" s="67" t="s">
        <v>218</v>
      </c>
      <c r="O2" s="67" t="s">
        <v>236</v>
      </c>
      <c r="P2" s="67"/>
      <c r="AG2" s="67"/>
      <c r="AH2" s="67"/>
      <c r="AS2" s="67" t="s">
        <v>232</v>
      </c>
      <c r="AT2" s="67" t="s">
        <v>228</v>
      </c>
      <c r="AU2" t="s">
        <v>221</v>
      </c>
      <c r="AW2" s="67"/>
    </row>
    <row r="3" spans="1:53" ht="18.75" x14ac:dyDescent="0.3">
      <c r="A3" s="66"/>
      <c r="K3" t="s">
        <v>219</v>
      </c>
      <c r="M3" t="s">
        <v>212</v>
      </c>
      <c r="N3" s="67" t="s">
        <v>220</v>
      </c>
      <c r="O3" s="67" t="s">
        <v>235</v>
      </c>
      <c r="P3" s="67" t="s">
        <v>206</v>
      </c>
      <c r="Q3" s="67" t="s">
        <v>206</v>
      </c>
      <c r="R3" s="67" t="s">
        <v>206</v>
      </c>
      <c r="S3" s="67" t="s">
        <v>301</v>
      </c>
      <c r="T3" s="67" t="s">
        <v>301</v>
      </c>
      <c r="U3" s="156" t="s">
        <v>305</v>
      </c>
      <c r="V3" s="67" t="s">
        <v>209</v>
      </c>
      <c r="W3" s="67" t="s">
        <v>208</v>
      </c>
      <c r="X3" s="67" t="s">
        <v>205</v>
      </c>
      <c r="Y3" t="s">
        <v>204</v>
      </c>
      <c r="Z3" s="67" t="s">
        <v>211</v>
      </c>
      <c r="AA3" s="67" t="s">
        <v>291</v>
      </c>
      <c r="AB3" s="67" t="s">
        <v>294</v>
      </c>
      <c r="AC3" s="156" t="s">
        <v>313</v>
      </c>
      <c r="AD3" s="156" t="s">
        <v>313</v>
      </c>
      <c r="AE3" s="67" t="s">
        <v>229</v>
      </c>
      <c r="AF3" t="s">
        <v>296</v>
      </c>
      <c r="AH3" s="67" t="s">
        <v>230</v>
      </c>
      <c r="AI3" s="136" t="s">
        <v>202</v>
      </c>
      <c r="AJ3" s="136" t="s">
        <v>299</v>
      </c>
      <c r="AK3" s="136" t="s">
        <v>297</v>
      </c>
      <c r="AL3" s="136" t="s">
        <v>201</v>
      </c>
      <c r="AM3" s="136" t="s">
        <v>203</v>
      </c>
      <c r="AN3" s="136" t="s">
        <v>298</v>
      </c>
      <c r="AO3" s="136" t="s">
        <v>269</v>
      </c>
      <c r="AP3" s="136" t="s">
        <v>272</v>
      </c>
      <c r="AQ3" s="136" t="s">
        <v>266</v>
      </c>
      <c r="AR3" s="67" t="s">
        <v>234</v>
      </c>
      <c r="AS3" s="67" t="s">
        <v>233</v>
      </c>
      <c r="AT3" s="67" t="s">
        <v>226</v>
      </c>
      <c r="AU3" s="67" t="s">
        <v>306</v>
      </c>
      <c r="AW3" s="67" t="s">
        <v>222</v>
      </c>
      <c r="AX3" s="67" t="s">
        <v>216</v>
      </c>
      <c r="AY3" s="67" t="s">
        <v>279</v>
      </c>
      <c r="AZ3" s="67" t="s">
        <v>207</v>
      </c>
      <c r="BA3" s="67" t="s">
        <v>210</v>
      </c>
    </row>
    <row r="4" spans="1:53" ht="18.75" x14ac:dyDescent="0.3">
      <c r="A4" s="66" t="s">
        <v>151</v>
      </c>
      <c r="N4" s="67" t="s">
        <v>290</v>
      </c>
      <c r="O4" s="67"/>
      <c r="P4" s="67"/>
      <c r="Q4" s="67"/>
      <c r="R4" s="67"/>
      <c r="S4" s="67"/>
      <c r="T4" s="67"/>
      <c r="U4" s="67"/>
      <c r="V4" s="67"/>
      <c r="W4" s="67"/>
      <c r="Z4" s="67"/>
      <c r="AA4" s="67"/>
      <c r="AB4" s="67"/>
      <c r="AC4" s="156" t="s">
        <v>314</v>
      </c>
      <c r="AD4" s="156" t="s">
        <v>314</v>
      </c>
      <c r="AF4" t="s">
        <v>231</v>
      </c>
      <c r="AG4" s="67" t="s">
        <v>76</v>
      </c>
      <c r="AI4" s="128"/>
      <c r="AJ4" s="128"/>
      <c r="AK4" s="128"/>
      <c r="AL4" s="128"/>
      <c r="AM4" s="128"/>
      <c r="AN4" s="128"/>
      <c r="AO4" s="128"/>
      <c r="AP4" s="128"/>
      <c r="AQ4" s="128"/>
      <c r="AS4" s="67" t="s">
        <v>289</v>
      </c>
      <c r="AT4" s="67" t="s">
        <v>225</v>
      </c>
      <c r="AU4" t="s">
        <v>221</v>
      </c>
      <c r="AW4" s="67" t="s">
        <v>223</v>
      </c>
      <c r="AX4" s="67" t="s">
        <v>217</v>
      </c>
      <c r="AY4" s="67"/>
      <c r="AZ4" s="67"/>
      <c r="BA4" s="67"/>
    </row>
    <row r="5" spans="1:53" ht="18.75" x14ac:dyDescent="0.3">
      <c r="A5" s="66" t="s">
        <v>152</v>
      </c>
      <c r="J5" s="65" t="s">
        <v>199</v>
      </c>
      <c r="K5" s="132">
        <f>5000+10000+7000+2400+3869+10000</f>
        <v>38269</v>
      </c>
      <c r="L5" s="132">
        <v>1500</v>
      </c>
      <c r="M5" s="132">
        <f>260+2860+80+700</f>
        <v>3900</v>
      </c>
      <c r="N5" s="132">
        <f>5520+3378+300</f>
        <v>9198</v>
      </c>
      <c r="O5" s="132">
        <f>19880+2294.57</f>
        <v>22174.57</v>
      </c>
      <c r="P5" s="132">
        <f>1163402*0.61</f>
        <v>709675.22</v>
      </c>
      <c r="Q5" s="132">
        <f>1163402*0.14</f>
        <v>162876.28000000003</v>
      </c>
      <c r="R5" s="132">
        <f>1163402*0.25</f>
        <v>290850.5</v>
      </c>
      <c r="S5" s="132">
        <v>300955</v>
      </c>
      <c r="T5" s="132">
        <v>346640</v>
      </c>
      <c r="U5" s="132">
        <v>3982900</v>
      </c>
      <c r="V5" s="132">
        <v>27287533.800000001</v>
      </c>
      <c r="W5" s="132">
        <v>6241427</v>
      </c>
      <c r="X5" s="132">
        <v>1396000</v>
      </c>
      <c r="Y5" s="132">
        <v>125250</v>
      </c>
      <c r="Z5" s="132">
        <v>296500</v>
      </c>
      <c r="AA5" s="132">
        <v>99360</v>
      </c>
      <c r="AB5" s="132">
        <v>162720</v>
      </c>
      <c r="AC5" s="132"/>
      <c r="AD5" s="132"/>
      <c r="AE5" s="132">
        <v>8500</v>
      </c>
      <c r="AF5" s="132">
        <f>63840+9000</f>
        <v>72840</v>
      </c>
      <c r="AG5" s="132">
        <v>11950</v>
      </c>
      <c r="AH5" s="132">
        <v>19500</v>
      </c>
      <c r="AI5" s="133">
        <v>18565</v>
      </c>
      <c r="AJ5" s="133">
        <v>45100</v>
      </c>
      <c r="AK5" s="133">
        <v>36300</v>
      </c>
      <c r="AL5" s="133">
        <v>103350</v>
      </c>
      <c r="AM5" s="133">
        <v>32900</v>
      </c>
      <c r="AN5" s="133">
        <v>38300</v>
      </c>
      <c r="AO5" s="133">
        <v>167833</v>
      </c>
      <c r="AP5" s="133">
        <v>65270</v>
      </c>
      <c r="AQ5" s="133">
        <v>20000</v>
      </c>
      <c r="AR5" s="133">
        <f>1250000+8221</f>
        <v>1258221</v>
      </c>
      <c r="AS5" s="132">
        <f>335989.13+60293.17</f>
        <v>396282.3</v>
      </c>
      <c r="AT5" s="132">
        <f>(56482.32+162326.22)+(74218.16+142100.67)</f>
        <v>435127.37</v>
      </c>
      <c r="AU5" s="132">
        <f>2230.56+5096</f>
        <v>7326.5599999999995</v>
      </c>
      <c r="AV5" s="132"/>
      <c r="AW5" s="132">
        <f>2612.31+3875+8274</f>
        <v>14761.31</v>
      </c>
      <c r="AX5" s="132">
        <f>66325.81+1875</f>
        <v>68200.81</v>
      </c>
      <c r="AY5" s="132">
        <v>15000</v>
      </c>
      <c r="AZ5" s="132">
        <v>114600</v>
      </c>
      <c r="BA5" s="132">
        <v>41340</v>
      </c>
    </row>
    <row r="6" spans="1:53" ht="19.5" thickBot="1" x14ac:dyDescent="0.35">
      <c r="A6" s="66" t="s">
        <v>273</v>
      </c>
      <c r="K6" t="s">
        <v>307</v>
      </c>
      <c r="L6" t="s">
        <v>307</v>
      </c>
      <c r="P6" s="138"/>
      <c r="Q6" s="138"/>
      <c r="R6" s="119"/>
      <c r="S6" s="119"/>
      <c r="T6" s="119"/>
      <c r="U6" s="119"/>
      <c r="Y6" s="110"/>
      <c r="AU6" t="s">
        <v>181</v>
      </c>
      <c r="AV6" t="s">
        <v>181</v>
      </c>
      <c r="AW6" t="s">
        <v>181</v>
      </c>
    </row>
    <row r="7" spans="1:53" ht="19.5" thickBot="1" x14ac:dyDescent="0.35">
      <c r="A7" s="66"/>
      <c r="P7" s="67" t="s">
        <v>169</v>
      </c>
      <c r="Q7" s="67" t="s">
        <v>169</v>
      </c>
      <c r="R7" s="67" t="s">
        <v>169</v>
      </c>
      <c r="S7" s="67"/>
      <c r="T7" s="67"/>
      <c r="U7" s="67" t="s">
        <v>161</v>
      </c>
      <c r="V7" s="67" t="s">
        <v>161</v>
      </c>
      <c r="W7" s="67" t="s">
        <v>161</v>
      </c>
      <c r="X7" s="193" t="s">
        <v>312</v>
      </c>
      <c r="Y7" s="194" t="s">
        <v>312</v>
      </c>
      <c r="Z7" s="194" t="s">
        <v>312</v>
      </c>
      <c r="AA7" s="194" t="s">
        <v>312</v>
      </c>
      <c r="AB7" s="195" t="s">
        <v>312</v>
      </c>
      <c r="AC7" s="196" t="s">
        <v>312</v>
      </c>
      <c r="AD7" s="198" t="s">
        <v>312</v>
      </c>
      <c r="AE7" s="69" t="s">
        <v>162</v>
      </c>
      <c r="AF7" s="69" t="s">
        <v>295</v>
      </c>
      <c r="AG7" s="69" t="s">
        <v>295</v>
      </c>
      <c r="AH7" s="69" t="s">
        <v>295</v>
      </c>
      <c r="AI7" s="69" t="s">
        <v>167</v>
      </c>
      <c r="AJ7" s="69" t="s">
        <v>167</v>
      </c>
      <c r="AK7" s="69" t="s">
        <v>167</v>
      </c>
      <c r="AL7" s="69" t="s">
        <v>167</v>
      </c>
      <c r="AM7" s="69" t="s">
        <v>167</v>
      </c>
      <c r="AN7" s="69" t="s">
        <v>167</v>
      </c>
      <c r="AO7" s="69" t="s">
        <v>270</v>
      </c>
      <c r="AP7" s="69" t="s">
        <v>270</v>
      </c>
      <c r="AQ7" s="69" t="s">
        <v>267</v>
      </c>
      <c r="AR7" s="69" t="s">
        <v>170</v>
      </c>
      <c r="AS7" s="121"/>
      <c r="AT7" s="121"/>
      <c r="AU7" s="121" t="s">
        <v>179</v>
      </c>
      <c r="AV7" s="121" t="s">
        <v>179</v>
      </c>
      <c r="AW7" s="121" t="s">
        <v>179</v>
      </c>
      <c r="AX7" s="69" t="s">
        <v>215</v>
      </c>
      <c r="AY7" s="69" t="s">
        <v>280</v>
      </c>
      <c r="AZ7" s="121" t="s">
        <v>184</v>
      </c>
      <c r="BA7" s="121" t="s">
        <v>184</v>
      </c>
    </row>
    <row r="8" spans="1:53" ht="18.75" x14ac:dyDescent="0.3">
      <c r="A8" s="66"/>
      <c r="K8" s="69" t="s">
        <v>164</v>
      </c>
      <c r="L8" s="69" t="s">
        <v>274</v>
      </c>
      <c r="M8" s="69" t="s">
        <v>213</v>
      </c>
      <c r="N8" s="69" t="s">
        <v>179</v>
      </c>
      <c r="O8" s="69" t="s">
        <v>190</v>
      </c>
      <c r="P8" s="69" t="s">
        <v>187</v>
      </c>
      <c r="Q8" s="69" t="s">
        <v>187</v>
      </c>
      <c r="R8" s="69" t="s">
        <v>187</v>
      </c>
      <c r="S8" s="69" t="s">
        <v>187</v>
      </c>
      <c r="T8" s="69" t="s">
        <v>302</v>
      </c>
      <c r="U8" s="69" t="s">
        <v>14</v>
      </c>
      <c r="V8" s="69" t="s">
        <v>14</v>
      </c>
      <c r="W8" s="69" t="s">
        <v>14</v>
      </c>
      <c r="X8" s="187" t="s">
        <v>156</v>
      </c>
      <c r="Y8" s="188" t="s">
        <v>158</v>
      </c>
      <c r="Z8" s="189" t="s">
        <v>158</v>
      </c>
      <c r="AA8" s="189" t="s">
        <v>158</v>
      </c>
      <c r="AB8" s="189" t="s">
        <v>158</v>
      </c>
      <c r="AC8" s="197" t="s">
        <v>316</v>
      </c>
      <c r="AD8" s="199" t="s">
        <v>315</v>
      </c>
      <c r="AE8" s="123" t="s">
        <v>163</v>
      </c>
      <c r="AF8" s="123" t="s">
        <v>159</v>
      </c>
      <c r="AG8" s="123" t="s">
        <v>159</v>
      </c>
      <c r="AH8" s="123" t="s">
        <v>159</v>
      </c>
      <c r="AI8" s="122"/>
      <c r="AJ8" s="122"/>
      <c r="AK8" s="122"/>
      <c r="AL8" s="122"/>
      <c r="AM8" s="122"/>
      <c r="AN8" s="122"/>
      <c r="AO8" s="125" t="s">
        <v>271</v>
      </c>
      <c r="AP8" s="125" t="s">
        <v>271</v>
      </c>
      <c r="AQ8" s="125" t="s">
        <v>268</v>
      </c>
      <c r="AR8" s="125" t="s">
        <v>171</v>
      </c>
      <c r="AS8" s="125" t="s">
        <v>176</v>
      </c>
      <c r="AT8" s="125" t="s">
        <v>178</v>
      </c>
      <c r="AU8" s="125" t="s">
        <v>180</v>
      </c>
      <c r="AV8" s="125" t="s">
        <v>180</v>
      </c>
      <c r="AW8" s="125" t="s">
        <v>180</v>
      </c>
      <c r="AX8" s="125" t="s">
        <v>182</v>
      </c>
      <c r="AY8" s="125" t="s">
        <v>281</v>
      </c>
      <c r="AZ8" s="125" t="s">
        <v>185</v>
      </c>
      <c r="BA8" s="125" t="s">
        <v>185</v>
      </c>
    </row>
    <row r="9" spans="1:53" ht="15.75" thickBot="1" x14ac:dyDescent="0.3">
      <c r="K9" s="70" t="s">
        <v>165</v>
      </c>
      <c r="L9" s="70" t="s">
        <v>275</v>
      </c>
      <c r="M9" s="70" t="s">
        <v>214</v>
      </c>
      <c r="N9" s="70" t="s">
        <v>180</v>
      </c>
      <c r="O9" s="70" t="s">
        <v>191</v>
      </c>
      <c r="P9" s="70" t="s">
        <v>157</v>
      </c>
      <c r="Q9" s="70" t="s">
        <v>188</v>
      </c>
      <c r="R9" s="70" t="s">
        <v>189</v>
      </c>
      <c r="S9" s="70" t="s">
        <v>300</v>
      </c>
      <c r="T9" s="70" t="s">
        <v>303</v>
      </c>
      <c r="U9" s="70" t="s">
        <v>304</v>
      </c>
      <c r="V9" s="70" t="s">
        <v>160</v>
      </c>
      <c r="W9" s="75" t="s">
        <v>154</v>
      </c>
      <c r="X9" s="190" t="s">
        <v>157</v>
      </c>
      <c r="Y9" s="191" t="s">
        <v>40</v>
      </c>
      <c r="Z9" s="192" t="s">
        <v>154</v>
      </c>
      <c r="AA9" s="192" t="s">
        <v>292</v>
      </c>
      <c r="AB9" s="192" t="s">
        <v>293</v>
      </c>
      <c r="AC9" s="201" t="s">
        <v>318</v>
      </c>
      <c r="AD9" s="200" t="s">
        <v>317</v>
      </c>
      <c r="AE9" s="124" t="s">
        <v>157</v>
      </c>
      <c r="AF9" s="124" t="s">
        <v>157</v>
      </c>
      <c r="AG9" s="124" t="s">
        <v>40</v>
      </c>
      <c r="AH9" s="124" t="s">
        <v>173</v>
      </c>
      <c r="AI9" s="124" t="s">
        <v>157</v>
      </c>
      <c r="AJ9" s="124" t="s">
        <v>157</v>
      </c>
      <c r="AK9" s="124" t="s">
        <v>40</v>
      </c>
      <c r="AL9" s="124" t="s">
        <v>40</v>
      </c>
      <c r="AM9" s="124" t="s">
        <v>154</v>
      </c>
      <c r="AN9" s="124" t="s">
        <v>154</v>
      </c>
      <c r="AO9" s="124" t="s">
        <v>157</v>
      </c>
      <c r="AP9" s="124" t="s">
        <v>173</v>
      </c>
      <c r="AQ9" s="124" t="s">
        <v>40</v>
      </c>
      <c r="AR9" s="124" t="s">
        <v>172</v>
      </c>
      <c r="AS9" s="124" t="s">
        <v>175</v>
      </c>
      <c r="AT9" s="124" t="s">
        <v>177</v>
      </c>
      <c r="AU9" s="124" t="s">
        <v>157</v>
      </c>
      <c r="AV9" s="124" t="s">
        <v>40</v>
      </c>
      <c r="AW9" s="124" t="s">
        <v>173</v>
      </c>
      <c r="AX9" s="124" t="s">
        <v>157</v>
      </c>
      <c r="AY9" s="124"/>
      <c r="AZ9" s="126"/>
      <c r="BA9" s="126"/>
    </row>
    <row r="10" spans="1:53" ht="15.75" thickBot="1" x14ac:dyDescent="0.3">
      <c r="A10" s="85" t="s">
        <v>0</v>
      </c>
      <c r="B10" s="85" t="s">
        <v>1</v>
      </c>
      <c r="C10" s="85" t="s">
        <v>18</v>
      </c>
      <c r="D10" s="85" t="s">
        <v>2</v>
      </c>
      <c r="E10" s="85" t="s">
        <v>3</v>
      </c>
      <c r="F10" s="85" t="s">
        <v>4</v>
      </c>
      <c r="G10" s="86" t="s">
        <v>5</v>
      </c>
      <c r="H10" s="85" t="s">
        <v>6</v>
      </c>
      <c r="I10" s="85" t="s">
        <v>7</v>
      </c>
      <c r="J10" s="104"/>
    </row>
    <row r="11" spans="1:53" ht="15.75" thickBot="1" x14ac:dyDescent="0.3">
      <c r="A11" s="90"/>
      <c r="B11" s="92"/>
      <c r="C11" s="100"/>
      <c r="D11" s="92"/>
      <c r="E11" s="99"/>
      <c r="F11" s="90"/>
      <c r="G11" s="91"/>
      <c r="H11" s="92"/>
      <c r="I11" s="93"/>
      <c r="J11" s="105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5"/>
      <c r="AT11" s="134"/>
      <c r="AU11" s="134"/>
      <c r="AV11" s="134"/>
      <c r="AW11" s="134"/>
      <c r="AX11" s="134"/>
      <c r="AY11" s="134"/>
      <c r="AZ11" s="134"/>
      <c r="BA11" s="134"/>
    </row>
    <row r="12" spans="1:53" s="46" customFormat="1" x14ac:dyDescent="0.25">
      <c r="A12" s="14" t="s">
        <v>22</v>
      </c>
      <c r="B12" s="96">
        <v>43314</v>
      </c>
      <c r="C12" s="97"/>
      <c r="D12" s="14" t="s">
        <v>23</v>
      </c>
      <c r="E12" s="98">
        <v>3131.25</v>
      </c>
      <c r="F12" s="87">
        <v>0</v>
      </c>
      <c r="G12" s="88">
        <f>E12+F12</f>
        <v>3131.25</v>
      </c>
      <c r="H12" s="89" t="s">
        <v>43</v>
      </c>
      <c r="I12" s="14" t="s">
        <v>41</v>
      </c>
      <c r="J12" s="20"/>
      <c r="X12" s="68"/>
      <c r="Y12" s="202">
        <v>3131.25</v>
      </c>
    </row>
    <row r="13" spans="1:53" x14ac:dyDescent="0.25">
      <c r="A13" s="11" t="s">
        <v>22</v>
      </c>
      <c r="B13" s="47">
        <v>43314</v>
      </c>
      <c r="C13" s="3"/>
      <c r="D13" s="1" t="s">
        <v>23</v>
      </c>
      <c r="E13" s="4">
        <f>69800+209400</f>
        <v>279200</v>
      </c>
      <c r="F13" s="4">
        <v>0</v>
      </c>
      <c r="G13" s="5">
        <f>E13+F13</f>
        <v>279200</v>
      </c>
      <c r="H13" s="43" t="s">
        <v>42</v>
      </c>
      <c r="I13" s="1" t="s">
        <v>41</v>
      </c>
      <c r="J13" s="20"/>
      <c r="X13" s="77">
        <f>G13</f>
        <v>279200</v>
      </c>
      <c r="Y13" s="77"/>
    </row>
    <row r="14" spans="1:53" x14ac:dyDescent="0.25">
      <c r="A14" s="11" t="s">
        <v>22</v>
      </c>
      <c r="B14" s="47">
        <v>43314</v>
      </c>
      <c r="C14" s="3"/>
      <c r="D14" s="1" t="s">
        <v>23</v>
      </c>
      <c r="E14" s="4">
        <f>42.77+220.51</f>
        <v>263.27999999999997</v>
      </c>
      <c r="F14" s="4">
        <v>0</v>
      </c>
      <c r="G14" s="5">
        <f>E14+F14</f>
        <v>263.27999999999997</v>
      </c>
      <c r="H14" s="43" t="s">
        <v>53</v>
      </c>
      <c r="I14" s="1" t="s">
        <v>41</v>
      </c>
      <c r="J14" s="20"/>
      <c r="Y14" s="77">
        <f>G14</f>
        <v>263.27999999999997</v>
      </c>
    </row>
    <row r="15" spans="1:53" x14ac:dyDescent="0.25">
      <c r="A15" s="11" t="s">
        <v>22</v>
      </c>
      <c r="B15" s="47">
        <v>43314</v>
      </c>
      <c r="C15" s="3"/>
      <c r="D15" s="1" t="s">
        <v>23</v>
      </c>
      <c r="E15" s="4">
        <v>14825</v>
      </c>
      <c r="F15" s="4">
        <v>0</v>
      </c>
      <c r="G15" s="5">
        <f>E15+F15</f>
        <v>14825</v>
      </c>
      <c r="H15" s="43" t="s">
        <v>42</v>
      </c>
      <c r="I15" s="1" t="s">
        <v>54</v>
      </c>
      <c r="J15" s="20"/>
      <c r="Z15" s="77">
        <f>G15</f>
        <v>14825</v>
      </c>
      <c r="AA15" s="77"/>
      <c r="AB15" s="77"/>
      <c r="AC15" s="77"/>
      <c r="AD15" s="77"/>
    </row>
    <row r="16" spans="1:53" s="46" customFormat="1" x14ac:dyDescent="0.25">
      <c r="A16" s="1"/>
      <c r="B16" s="47"/>
      <c r="C16" s="45"/>
      <c r="D16" s="1"/>
      <c r="E16" s="48"/>
      <c r="F16" s="49"/>
      <c r="G16" s="58"/>
      <c r="H16" s="1"/>
      <c r="I16" s="1"/>
      <c r="J16" s="20"/>
    </row>
    <row r="17" spans="1:43" s="46" customFormat="1" x14ac:dyDescent="0.25">
      <c r="A17" s="1" t="s">
        <v>24</v>
      </c>
      <c r="B17" s="47">
        <v>43320</v>
      </c>
      <c r="C17" s="45"/>
      <c r="D17" s="1" t="s">
        <v>25</v>
      </c>
      <c r="E17" s="48">
        <v>8500</v>
      </c>
      <c r="F17" s="48">
        <v>0</v>
      </c>
      <c r="G17" s="5">
        <f>E17+F17</f>
        <v>8500</v>
      </c>
      <c r="H17" s="1" t="s">
        <v>26</v>
      </c>
      <c r="I17" s="1" t="s">
        <v>41</v>
      </c>
      <c r="J17" s="20"/>
      <c r="AE17" s="68">
        <f>G17</f>
        <v>8500</v>
      </c>
    </row>
    <row r="18" spans="1:43" s="46" customFormat="1" x14ac:dyDescent="0.25">
      <c r="A18" s="1"/>
      <c r="B18" s="47"/>
      <c r="C18" s="45"/>
      <c r="D18" s="1"/>
      <c r="E18" s="48"/>
      <c r="F18" s="1"/>
      <c r="G18" s="58"/>
      <c r="H18" s="1"/>
      <c r="I18" s="1"/>
      <c r="J18" s="20"/>
    </row>
    <row r="19" spans="1:43" x14ac:dyDescent="0.25">
      <c r="A19" s="1" t="s">
        <v>20</v>
      </c>
      <c r="B19" s="47">
        <v>43334</v>
      </c>
      <c r="C19" s="3"/>
      <c r="D19" s="1" t="s">
        <v>19</v>
      </c>
      <c r="E19" s="4">
        <v>3037.5</v>
      </c>
      <c r="F19" s="4">
        <v>0</v>
      </c>
      <c r="G19" s="5">
        <f>E19+F19</f>
        <v>3037.5</v>
      </c>
      <c r="H19" s="43" t="s">
        <v>8</v>
      </c>
      <c r="I19" s="1"/>
      <c r="J19" s="20"/>
      <c r="K19" s="77">
        <f>G19</f>
        <v>3037.5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</row>
    <row r="20" spans="1:43" s="46" customFormat="1" x14ac:dyDescent="0.25">
      <c r="A20" s="1"/>
      <c r="B20" s="47"/>
      <c r="C20" s="45"/>
      <c r="D20" s="1"/>
      <c r="E20" s="48"/>
      <c r="F20" s="1"/>
      <c r="G20" s="58"/>
      <c r="H20" s="1"/>
      <c r="I20" s="1"/>
      <c r="J20" s="20"/>
    </row>
    <row r="21" spans="1:43" s="46" customFormat="1" x14ac:dyDescent="0.25">
      <c r="A21" s="1"/>
      <c r="B21" s="47"/>
      <c r="C21" s="45"/>
      <c r="D21" s="1"/>
      <c r="E21" s="48"/>
      <c r="F21" s="1"/>
      <c r="G21" s="58"/>
      <c r="H21" s="1"/>
      <c r="I21" s="1"/>
      <c r="J21" s="20"/>
    </row>
    <row r="22" spans="1:43" s="46" customFormat="1" x14ac:dyDescent="0.25">
      <c r="A22" s="1" t="s">
        <v>27</v>
      </c>
      <c r="B22" s="47">
        <v>43336</v>
      </c>
      <c r="C22" s="45"/>
      <c r="D22" s="1" t="s">
        <v>325</v>
      </c>
      <c r="E22" s="48">
        <f>6560+45330</f>
        <v>51890</v>
      </c>
      <c r="F22" s="48">
        <v>0</v>
      </c>
      <c r="G22" s="5">
        <f>E22+F22</f>
        <v>51890</v>
      </c>
      <c r="H22" s="1" t="s">
        <v>28</v>
      </c>
      <c r="I22" s="1" t="s">
        <v>41</v>
      </c>
      <c r="J22" s="20"/>
      <c r="AF22" s="68">
        <f>G22</f>
        <v>51890</v>
      </c>
      <c r="AG22" s="68"/>
      <c r="AH22" s="68"/>
    </row>
    <row r="23" spans="1:43" s="46" customFormat="1" x14ac:dyDescent="0.25">
      <c r="A23" s="1"/>
      <c r="B23" s="47"/>
      <c r="C23" s="45"/>
      <c r="D23" s="1"/>
      <c r="E23" s="48"/>
      <c r="F23" s="48"/>
      <c r="G23" s="58"/>
      <c r="H23" s="1"/>
      <c r="I23" s="1"/>
      <c r="J23" s="20"/>
    </row>
    <row r="24" spans="1:43" x14ac:dyDescent="0.25">
      <c r="A24" s="1" t="s">
        <v>44</v>
      </c>
      <c r="B24" s="47">
        <v>43336</v>
      </c>
      <c r="C24" s="3"/>
      <c r="D24" s="1" t="s">
        <v>23</v>
      </c>
      <c r="E24" s="52">
        <v>279200</v>
      </c>
      <c r="F24" s="52">
        <v>0</v>
      </c>
      <c r="G24" s="5">
        <f>E24+F24</f>
        <v>279200</v>
      </c>
      <c r="H24" s="43" t="s">
        <v>42</v>
      </c>
      <c r="I24" s="1" t="s">
        <v>41</v>
      </c>
      <c r="J24" s="20"/>
      <c r="X24" s="77">
        <f>G24</f>
        <v>279200</v>
      </c>
    </row>
    <row r="25" spans="1:43" s="46" customFormat="1" x14ac:dyDescent="0.25">
      <c r="A25" s="1"/>
      <c r="B25" s="47"/>
      <c r="C25" s="45"/>
      <c r="D25" s="1"/>
      <c r="E25" s="48"/>
      <c r="F25" s="1"/>
      <c r="G25" s="58"/>
      <c r="H25" s="1"/>
      <c r="I25" s="1"/>
      <c r="J25" s="20"/>
    </row>
    <row r="26" spans="1:43" s="46" customFormat="1" x14ac:dyDescent="0.25">
      <c r="A26" s="1" t="s">
        <v>29</v>
      </c>
      <c r="B26" s="47">
        <v>43342</v>
      </c>
      <c r="C26" s="45"/>
      <c r="D26" s="1" t="s">
        <v>30</v>
      </c>
      <c r="E26" s="48">
        <v>2850</v>
      </c>
      <c r="F26" s="48">
        <v>0</v>
      </c>
      <c r="G26" s="5">
        <f>E26+F26</f>
        <v>2850</v>
      </c>
      <c r="H26" s="1"/>
      <c r="I26" s="1" t="s">
        <v>40</v>
      </c>
      <c r="J26" s="20"/>
      <c r="AI26" s="129"/>
      <c r="AJ26" s="129"/>
      <c r="AK26" s="129">
        <f>G26</f>
        <v>2850</v>
      </c>
      <c r="AL26" s="68"/>
    </row>
    <row r="27" spans="1:43" x14ac:dyDescent="0.25">
      <c r="A27" s="14" t="s">
        <v>45</v>
      </c>
      <c r="B27" s="6">
        <v>43342</v>
      </c>
      <c r="C27" s="16"/>
      <c r="D27" s="12" t="s">
        <v>46</v>
      </c>
      <c r="E27" s="52">
        <v>26255</v>
      </c>
      <c r="F27" s="52">
        <v>0</v>
      </c>
      <c r="G27" s="5">
        <f>E27+F27</f>
        <v>26255</v>
      </c>
      <c r="H27" s="43"/>
      <c r="I27" s="1" t="s">
        <v>41</v>
      </c>
      <c r="J27" s="20"/>
      <c r="AI27" s="77">
        <f>G27</f>
        <v>26255</v>
      </c>
      <c r="AJ27" s="77"/>
      <c r="AK27" s="77"/>
      <c r="AL27" s="77"/>
    </row>
    <row r="28" spans="1:43" x14ac:dyDescent="0.25">
      <c r="A28" s="14" t="s">
        <v>45</v>
      </c>
      <c r="B28" s="6">
        <v>43342</v>
      </c>
      <c r="C28" s="16"/>
      <c r="D28" s="12" t="s">
        <v>46</v>
      </c>
      <c r="E28" s="52">
        <v>4050</v>
      </c>
      <c r="F28" s="52">
        <v>0</v>
      </c>
      <c r="G28" s="5">
        <f>E28+F28</f>
        <v>4050</v>
      </c>
      <c r="H28" s="43"/>
      <c r="I28" s="1" t="s">
        <v>54</v>
      </c>
      <c r="J28" s="20"/>
      <c r="AM28" s="77"/>
      <c r="AN28" s="77">
        <f>G28</f>
        <v>4050</v>
      </c>
      <c r="AO28" s="77"/>
      <c r="AP28" s="77"/>
      <c r="AQ28" s="77"/>
    </row>
    <row r="29" spans="1:43" x14ac:dyDescent="0.25">
      <c r="A29" s="1" t="s">
        <v>31</v>
      </c>
      <c r="B29" s="6">
        <v>43342</v>
      </c>
      <c r="C29" s="7"/>
      <c r="D29" s="8" t="s">
        <v>32</v>
      </c>
      <c r="E29" s="5">
        <v>14250</v>
      </c>
      <c r="F29" s="4">
        <v>0</v>
      </c>
      <c r="G29" s="5">
        <f>E29-F29</f>
        <v>14250</v>
      </c>
      <c r="H29" s="43"/>
      <c r="I29" s="1" t="s">
        <v>41</v>
      </c>
      <c r="J29" s="20"/>
      <c r="AI29" s="77">
        <f>G29</f>
        <v>14250</v>
      </c>
      <c r="AJ29" s="77"/>
      <c r="AK29" s="77"/>
      <c r="AL29" s="77"/>
    </row>
    <row r="30" spans="1:43" x14ac:dyDescent="0.25">
      <c r="A30" s="1"/>
      <c r="B30" s="6"/>
      <c r="C30" s="7"/>
      <c r="D30" s="8"/>
      <c r="E30" s="5"/>
      <c r="F30" s="4"/>
      <c r="G30" s="58"/>
      <c r="H30" s="43"/>
      <c r="I30" s="1"/>
      <c r="J30" s="20"/>
    </row>
    <row r="31" spans="1:43" x14ac:dyDescent="0.25">
      <c r="A31" s="1" t="s">
        <v>21</v>
      </c>
      <c r="B31" s="6">
        <v>43343</v>
      </c>
      <c r="C31" s="7"/>
      <c r="D31" s="8" t="s">
        <v>19</v>
      </c>
      <c r="E31" s="5">
        <f>3250+418.75</f>
        <v>3668.75</v>
      </c>
      <c r="F31" s="4">
        <v>0</v>
      </c>
      <c r="G31" s="5">
        <f>E31-F31</f>
        <v>3668.75</v>
      </c>
      <c r="H31" s="43" t="s">
        <v>8</v>
      </c>
      <c r="I31" s="1"/>
      <c r="J31" s="20"/>
      <c r="K31" s="77">
        <f>G31</f>
        <v>3668.75</v>
      </c>
      <c r="L31" s="77"/>
      <c r="M31" s="77"/>
      <c r="N31" s="77"/>
      <c r="O31" s="77"/>
      <c r="P31" s="77"/>
      <c r="Q31" s="77"/>
      <c r="R31" s="77"/>
      <c r="S31" s="77"/>
      <c r="T31" s="77"/>
      <c r="U31" s="77"/>
    </row>
    <row r="32" spans="1:43" x14ac:dyDescent="0.25">
      <c r="A32" s="1"/>
      <c r="B32" s="6"/>
      <c r="C32" s="7"/>
      <c r="D32" s="8"/>
      <c r="E32" s="9"/>
      <c r="F32" s="10"/>
      <c r="G32" s="58"/>
      <c r="H32" s="43"/>
      <c r="I32" s="1"/>
      <c r="J32" s="20"/>
    </row>
    <row r="33" spans="1:53" x14ac:dyDescent="0.25">
      <c r="A33" s="1" t="s">
        <v>35</v>
      </c>
      <c r="B33" s="6">
        <v>43343</v>
      </c>
      <c r="C33" s="7"/>
      <c r="D33" s="8" t="s">
        <v>36</v>
      </c>
      <c r="E33" s="5">
        <f>67119.35+67119.35</f>
        <v>134238.70000000001</v>
      </c>
      <c r="F33" s="4">
        <v>0</v>
      </c>
      <c r="G33" s="5">
        <f>E33-F33</f>
        <v>134238.70000000001</v>
      </c>
      <c r="H33" s="43" t="s">
        <v>40</v>
      </c>
      <c r="I33" s="1" t="s">
        <v>41</v>
      </c>
      <c r="J33" s="20"/>
      <c r="P33" s="119">
        <f>G33</f>
        <v>134238.70000000001</v>
      </c>
    </row>
    <row r="34" spans="1:53" x14ac:dyDescent="0.25">
      <c r="A34" s="1" t="s">
        <v>35</v>
      </c>
      <c r="B34" s="6">
        <v>43343</v>
      </c>
      <c r="C34" s="7"/>
      <c r="D34" s="8" t="s">
        <v>36</v>
      </c>
      <c r="E34" s="5">
        <f>228.29+684.06</f>
        <v>912.34999999999991</v>
      </c>
      <c r="F34" s="4">
        <v>0</v>
      </c>
      <c r="G34" s="5">
        <f>E34-F34</f>
        <v>912.34999999999991</v>
      </c>
      <c r="H34" s="43" t="s">
        <v>52</v>
      </c>
      <c r="I34" s="1"/>
      <c r="J34" s="20"/>
      <c r="P34" s="77">
        <f>G34</f>
        <v>912.34999999999991</v>
      </c>
    </row>
    <row r="35" spans="1:53" x14ac:dyDescent="0.25">
      <c r="A35" s="1"/>
      <c r="B35" s="2"/>
      <c r="C35" s="3"/>
      <c r="D35" s="1"/>
      <c r="E35" s="10"/>
      <c r="F35" s="10"/>
      <c r="G35" s="59"/>
      <c r="H35" s="43"/>
      <c r="I35" s="1"/>
      <c r="J35" s="20"/>
    </row>
    <row r="36" spans="1:53" x14ac:dyDescent="0.25">
      <c r="A36" s="14" t="s">
        <v>31</v>
      </c>
      <c r="B36" s="6">
        <v>43343</v>
      </c>
      <c r="C36" s="16"/>
      <c r="D36" s="12" t="s">
        <v>47</v>
      </c>
      <c r="E36" s="52">
        <v>6820</v>
      </c>
      <c r="F36" s="52">
        <v>0</v>
      </c>
      <c r="G36" s="5">
        <f>E36+F36</f>
        <v>6820</v>
      </c>
      <c r="H36" s="43"/>
      <c r="I36" s="1" t="s">
        <v>41</v>
      </c>
      <c r="J36" s="20"/>
      <c r="AI36" s="77"/>
      <c r="AJ36" s="77">
        <f>G36</f>
        <v>6820</v>
      </c>
      <c r="AK36" s="77"/>
      <c r="AL36" s="77"/>
    </row>
    <row r="37" spans="1:53" x14ac:dyDescent="0.25">
      <c r="A37" s="14" t="s">
        <v>31</v>
      </c>
      <c r="B37" s="53">
        <v>43343</v>
      </c>
      <c r="C37" s="16"/>
      <c r="D37" s="12" t="s">
        <v>47</v>
      </c>
      <c r="E37" s="52">
        <v>1350</v>
      </c>
      <c r="F37" s="52">
        <v>0</v>
      </c>
      <c r="G37" s="5">
        <f>E37+F37</f>
        <v>1350</v>
      </c>
      <c r="H37" s="43"/>
      <c r="I37" s="1" t="s">
        <v>54</v>
      </c>
      <c r="J37" s="20"/>
      <c r="AM37" s="77">
        <f>G37</f>
        <v>1350</v>
      </c>
      <c r="AN37" s="77"/>
      <c r="AO37" s="77"/>
      <c r="AP37" s="77"/>
      <c r="AQ37" s="77"/>
    </row>
    <row r="38" spans="1:53" x14ac:dyDescent="0.25">
      <c r="A38" s="14"/>
      <c r="B38" s="15"/>
      <c r="C38" s="16"/>
      <c r="D38" s="12"/>
      <c r="E38" s="52"/>
      <c r="F38" s="52"/>
      <c r="G38" s="58"/>
      <c r="H38" s="43"/>
      <c r="I38" s="1"/>
      <c r="J38" s="20"/>
    </row>
    <row r="39" spans="1:53" x14ac:dyDescent="0.25">
      <c r="A39" s="14" t="s">
        <v>48</v>
      </c>
      <c r="B39" s="6">
        <v>43343</v>
      </c>
      <c r="C39" s="16"/>
      <c r="D39" s="12" t="s">
        <v>49</v>
      </c>
      <c r="E39" s="52">
        <v>139600</v>
      </c>
      <c r="F39" s="52">
        <v>0</v>
      </c>
      <c r="G39" s="5">
        <f>E39+F39</f>
        <v>139600</v>
      </c>
      <c r="H39" s="43" t="s">
        <v>42</v>
      </c>
      <c r="I39" s="1" t="s">
        <v>41</v>
      </c>
      <c r="J39" s="20"/>
      <c r="P39" s="119"/>
      <c r="Q39" s="119"/>
      <c r="X39" s="77">
        <f>G39</f>
        <v>139600</v>
      </c>
    </row>
    <row r="40" spans="1:53" x14ac:dyDescent="0.25">
      <c r="A40" s="14" t="s">
        <v>48</v>
      </c>
      <c r="B40" s="53">
        <v>43343</v>
      </c>
      <c r="C40" s="16"/>
      <c r="D40" s="12" t="s">
        <v>49</v>
      </c>
      <c r="E40" s="52">
        <v>22237.5</v>
      </c>
      <c r="F40" s="52">
        <v>0</v>
      </c>
      <c r="G40" s="5">
        <f>E40+F40</f>
        <v>22237.5</v>
      </c>
      <c r="H40" s="43" t="s">
        <v>42</v>
      </c>
      <c r="I40" s="1" t="s">
        <v>54</v>
      </c>
      <c r="J40" s="20"/>
      <c r="P40" s="119"/>
      <c r="Q40" s="119"/>
      <c r="Z40" s="77">
        <f>G40</f>
        <v>22237.5</v>
      </c>
      <c r="AA40" s="77"/>
      <c r="AB40" s="77"/>
      <c r="AC40" s="77"/>
      <c r="AD40" s="77"/>
    </row>
    <row r="41" spans="1:53" x14ac:dyDescent="0.25">
      <c r="A41" s="14"/>
      <c r="B41" s="53"/>
      <c r="C41" s="16"/>
      <c r="D41" s="12"/>
      <c r="E41" s="52"/>
      <c r="F41" s="52"/>
      <c r="G41" s="58"/>
      <c r="H41" s="43"/>
      <c r="I41" s="1"/>
      <c r="J41" s="107"/>
      <c r="P41" s="119"/>
      <c r="Q41" s="119"/>
    </row>
    <row r="42" spans="1:53" s="42" customFormat="1" x14ac:dyDescent="0.25">
      <c r="A42" s="40" t="s">
        <v>33</v>
      </c>
      <c r="B42" s="6">
        <v>43343</v>
      </c>
      <c r="C42" s="41"/>
      <c r="D42" s="40" t="s">
        <v>34</v>
      </c>
      <c r="E42" s="51">
        <v>80621.25</v>
      </c>
      <c r="F42" s="50">
        <v>0</v>
      </c>
      <c r="G42" s="82">
        <f>E42-F42</f>
        <v>80621.25</v>
      </c>
      <c r="H42" s="83"/>
      <c r="I42" s="84" t="s">
        <v>41</v>
      </c>
      <c r="J42" s="116"/>
      <c r="K42"/>
      <c r="L42"/>
      <c r="M42"/>
      <c r="N42"/>
      <c r="O42"/>
      <c r="P42" s="119">
        <f>G42*88%</f>
        <v>70946.7</v>
      </c>
      <c r="Q42" s="119">
        <f>G42-P42</f>
        <v>9674.5500000000029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</row>
    <row r="43" spans="1:53" x14ac:dyDescent="0.25">
      <c r="A43" s="1" t="s">
        <v>38</v>
      </c>
      <c r="B43" s="6">
        <v>43343</v>
      </c>
      <c r="C43" s="3"/>
      <c r="D43" s="1" t="s">
        <v>39</v>
      </c>
      <c r="E43" s="4">
        <v>134238.70000000001</v>
      </c>
      <c r="F43" s="4">
        <v>0</v>
      </c>
      <c r="G43" s="82">
        <f>E43-F43</f>
        <v>134238.70000000001</v>
      </c>
      <c r="H43" s="83" t="s">
        <v>37</v>
      </c>
      <c r="I43" s="84" t="s">
        <v>41</v>
      </c>
      <c r="J43" s="116"/>
      <c r="P43" s="119">
        <f>G43*0.88</f>
        <v>118130.05600000001</v>
      </c>
      <c r="Q43" s="119">
        <f>G43-P43</f>
        <v>16108.644</v>
      </c>
    </row>
    <row r="44" spans="1:53" x14ac:dyDescent="0.25">
      <c r="A44" s="14" t="s">
        <v>38</v>
      </c>
      <c r="B44" s="6">
        <v>43343</v>
      </c>
      <c r="C44" s="16"/>
      <c r="D44" s="12" t="s">
        <v>50</v>
      </c>
      <c r="E44" s="52">
        <v>731075</v>
      </c>
      <c r="F44" s="52">
        <v>0</v>
      </c>
      <c r="G44" s="102">
        <f>E44+F44</f>
        <v>731075</v>
      </c>
      <c r="H44" s="44" t="s">
        <v>42</v>
      </c>
      <c r="I44" s="40" t="s">
        <v>41</v>
      </c>
      <c r="J44" s="116"/>
      <c r="P44" s="119"/>
      <c r="Q44" s="119"/>
      <c r="X44" s="116">
        <f>G44</f>
        <v>731075</v>
      </c>
    </row>
    <row r="45" spans="1:53" x14ac:dyDescent="0.25">
      <c r="A45" s="14" t="s">
        <v>38</v>
      </c>
      <c r="B45" s="6">
        <v>43343</v>
      </c>
      <c r="C45" s="16"/>
      <c r="D45" s="12" t="s">
        <v>55</v>
      </c>
      <c r="E45" s="52">
        <v>42462.5</v>
      </c>
      <c r="F45" s="52">
        <v>0</v>
      </c>
      <c r="G45" s="102">
        <f>E45+F45</f>
        <v>42462.5</v>
      </c>
      <c r="H45" s="44" t="s">
        <v>42</v>
      </c>
      <c r="I45" s="40" t="s">
        <v>54</v>
      </c>
      <c r="J45" s="116"/>
      <c r="P45" s="119"/>
      <c r="Q45" s="119"/>
      <c r="Z45" s="77">
        <f>G45</f>
        <v>42462.5</v>
      </c>
      <c r="AA45" s="77"/>
      <c r="AB45" s="77"/>
      <c r="AC45" s="77"/>
      <c r="AD45" s="77"/>
    </row>
    <row r="46" spans="1:53" x14ac:dyDescent="0.25">
      <c r="A46" s="40" t="s">
        <v>33</v>
      </c>
      <c r="B46" s="6">
        <v>43343</v>
      </c>
      <c r="C46" s="41"/>
      <c r="D46" s="40" t="s">
        <v>34</v>
      </c>
      <c r="E46" s="51">
        <v>-214859.95</v>
      </c>
      <c r="F46" s="50">
        <v>0</v>
      </c>
      <c r="G46" s="102">
        <f>E46+F46</f>
        <v>-214859.95</v>
      </c>
      <c r="H46" s="44"/>
      <c r="I46" s="40" t="s">
        <v>41</v>
      </c>
      <c r="J46" s="116"/>
      <c r="P46" s="119"/>
      <c r="Q46" s="119"/>
      <c r="X46" s="77">
        <f>G46</f>
        <v>-214859.95</v>
      </c>
    </row>
    <row r="47" spans="1:53" x14ac:dyDescent="0.25">
      <c r="A47" s="14" t="s">
        <v>38</v>
      </c>
      <c r="B47" s="6">
        <v>43343</v>
      </c>
      <c r="C47" s="16"/>
      <c r="D47" s="12" t="s">
        <v>50</v>
      </c>
      <c r="E47" s="52">
        <v>-731075</v>
      </c>
      <c r="F47" s="52">
        <v>0</v>
      </c>
      <c r="G47" s="102">
        <f>E47+F47</f>
        <v>-731075</v>
      </c>
      <c r="H47" s="44" t="s">
        <v>42</v>
      </c>
      <c r="I47" s="40" t="s">
        <v>41</v>
      </c>
      <c r="J47" s="116"/>
      <c r="P47" s="119"/>
      <c r="Q47" s="119"/>
      <c r="X47" s="77">
        <f>G47</f>
        <v>-731075</v>
      </c>
    </row>
    <row r="48" spans="1:53" x14ac:dyDescent="0.25">
      <c r="A48" s="14" t="s">
        <v>38</v>
      </c>
      <c r="B48" s="6">
        <v>43343</v>
      </c>
      <c r="C48" s="16"/>
      <c r="D48" s="12" t="s">
        <v>55</v>
      </c>
      <c r="E48" s="52">
        <v>-42462.5</v>
      </c>
      <c r="F48" s="52">
        <v>0</v>
      </c>
      <c r="G48" s="102">
        <f>E48+F48</f>
        <v>-42462.5</v>
      </c>
      <c r="H48" s="44" t="s">
        <v>42</v>
      </c>
      <c r="I48" s="40" t="s">
        <v>54</v>
      </c>
      <c r="J48" s="116"/>
      <c r="P48" s="119"/>
      <c r="Q48" s="119"/>
      <c r="Z48" s="77">
        <f>G48</f>
        <v>-42462.5</v>
      </c>
      <c r="AA48" s="77"/>
      <c r="AB48" s="77"/>
      <c r="AC48" s="77"/>
      <c r="AD48" s="77"/>
    </row>
    <row r="49" spans="1:44" x14ac:dyDescent="0.25">
      <c r="A49" s="14"/>
      <c r="B49" s="15"/>
      <c r="C49" s="16"/>
      <c r="D49" s="12"/>
      <c r="E49" s="13"/>
      <c r="F49" s="13"/>
      <c r="G49" s="60"/>
      <c r="H49" s="43"/>
      <c r="I49" s="1"/>
      <c r="J49" s="20"/>
      <c r="P49" s="119"/>
      <c r="Q49" s="119"/>
    </row>
    <row r="50" spans="1:44" x14ac:dyDescent="0.25">
      <c r="A50" s="14" t="s">
        <v>97</v>
      </c>
      <c r="B50" s="6">
        <v>43349</v>
      </c>
      <c r="C50" s="16"/>
      <c r="D50" s="12" t="s">
        <v>98</v>
      </c>
      <c r="E50" s="52">
        <v>8220.6</v>
      </c>
      <c r="F50" s="52">
        <v>0</v>
      </c>
      <c r="G50" s="5">
        <f>E50+F50</f>
        <v>8220.6</v>
      </c>
      <c r="H50" s="43" t="s">
        <v>98</v>
      </c>
      <c r="I50" s="1"/>
      <c r="J50" s="20"/>
      <c r="P50" s="119"/>
      <c r="Q50" s="119"/>
      <c r="AR50" s="77">
        <f>G50</f>
        <v>8220.6</v>
      </c>
    </row>
    <row r="51" spans="1:44" x14ac:dyDescent="0.25">
      <c r="A51" s="14" t="s">
        <v>97</v>
      </c>
      <c r="B51" s="53">
        <v>43349</v>
      </c>
      <c r="C51" s="16"/>
      <c r="D51" s="12" t="s">
        <v>98</v>
      </c>
      <c r="E51" s="52">
        <v>1250000</v>
      </c>
      <c r="F51" s="52">
        <v>0</v>
      </c>
      <c r="G51" s="5">
        <f>E51+F51</f>
        <v>1250000</v>
      </c>
      <c r="H51" s="43" t="s">
        <v>98</v>
      </c>
      <c r="I51" s="1"/>
      <c r="J51" s="20"/>
      <c r="P51" s="119"/>
      <c r="Q51" s="119"/>
      <c r="AR51" s="77">
        <f>G51</f>
        <v>1250000</v>
      </c>
    </row>
    <row r="52" spans="1:44" x14ac:dyDescent="0.25">
      <c r="A52" s="14"/>
      <c r="B52" s="15"/>
      <c r="C52" s="16"/>
      <c r="D52" s="12"/>
      <c r="E52" s="13"/>
      <c r="F52" s="13"/>
      <c r="G52" s="60"/>
      <c r="H52" s="43"/>
      <c r="I52" s="1"/>
      <c r="J52" s="20"/>
      <c r="P52" s="119"/>
      <c r="Q52" s="119"/>
    </row>
    <row r="53" spans="1:44" x14ac:dyDescent="0.25">
      <c r="A53" s="1" t="s">
        <v>56</v>
      </c>
      <c r="B53" s="6">
        <v>43413</v>
      </c>
      <c r="C53" s="3"/>
      <c r="D53" s="12" t="s">
        <v>57</v>
      </c>
      <c r="E53" s="52">
        <v>586.25</v>
      </c>
      <c r="F53" s="52">
        <v>0</v>
      </c>
      <c r="G53" s="5">
        <f>E53+F53</f>
        <v>586.25</v>
      </c>
      <c r="H53" s="43" t="s">
        <v>58</v>
      </c>
      <c r="I53" s="1"/>
      <c r="J53" s="20"/>
      <c r="K53" s="130">
        <f>G53</f>
        <v>586.25</v>
      </c>
      <c r="L53" s="130"/>
      <c r="M53" s="77"/>
      <c r="N53" s="77"/>
      <c r="O53" s="77"/>
      <c r="P53" s="119"/>
      <c r="Q53" s="119"/>
      <c r="R53" s="77"/>
      <c r="S53" s="77"/>
      <c r="T53" s="77"/>
      <c r="U53" s="77"/>
    </row>
    <row r="54" spans="1:44" x14ac:dyDescent="0.25">
      <c r="A54" s="1" t="s">
        <v>59</v>
      </c>
      <c r="B54" s="6">
        <v>43413</v>
      </c>
      <c r="C54" s="3"/>
      <c r="D54" s="12" t="s">
        <v>60</v>
      </c>
      <c r="E54" s="52">
        <f>2925+607.5</f>
        <v>3532.5</v>
      </c>
      <c r="F54" s="52">
        <v>0</v>
      </c>
      <c r="G54" s="5">
        <f>E54+F54</f>
        <v>3532.5</v>
      </c>
      <c r="H54" s="43" t="s">
        <v>8</v>
      </c>
      <c r="I54" s="1"/>
      <c r="J54" s="20"/>
      <c r="K54" s="130">
        <f>G54</f>
        <v>3532.5</v>
      </c>
      <c r="L54" s="130"/>
      <c r="M54" s="77"/>
      <c r="N54" s="77"/>
      <c r="O54" s="77"/>
      <c r="P54" s="119"/>
      <c r="Q54" s="119"/>
      <c r="R54" s="77"/>
      <c r="S54" s="77"/>
      <c r="T54" s="77"/>
      <c r="U54" s="77"/>
    </row>
    <row r="55" spans="1:44" x14ac:dyDescent="0.25">
      <c r="A55" s="1"/>
      <c r="B55" s="6"/>
      <c r="C55" s="3"/>
      <c r="D55" s="12"/>
      <c r="E55" s="52"/>
      <c r="F55" s="52"/>
      <c r="G55" s="58"/>
      <c r="H55" s="43"/>
      <c r="I55" s="1"/>
      <c r="J55" s="20"/>
      <c r="P55" s="119"/>
      <c r="Q55" s="119"/>
    </row>
    <row r="56" spans="1:44" x14ac:dyDescent="0.25">
      <c r="A56" s="1" t="s">
        <v>82</v>
      </c>
      <c r="B56" s="6">
        <v>43420</v>
      </c>
      <c r="C56" s="3"/>
      <c r="D56" s="12" t="s">
        <v>83</v>
      </c>
      <c r="E56" s="52">
        <f>67119.35+341.55</f>
        <v>67460.900000000009</v>
      </c>
      <c r="F56" s="52">
        <v>0</v>
      </c>
      <c r="G56" s="82">
        <f>E56+F56</f>
        <v>67460.900000000009</v>
      </c>
      <c r="H56" s="83" t="s">
        <v>84</v>
      </c>
      <c r="I56" s="84"/>
      <c r="J56" s="116"/>
      <c r="P56" s="119">
        <f>G56*0.88</f>
        <v>59365.592000000011</v>
      </c>
      <c r="Q56" s="119">
        <f>G56-P56</f>
        <v>8095.3079999999973</v>
      </c>
    </row>
    <row r="57" spans="1:44" x14ac:dyDescent="0.25">
      <c r="A57" s="1"/>
      <c r="B57" s="6"/>
      <c r="C57" s="3"/>
      <c r="D57" s="12"/>
      <c r="E57" s="52"/>
      <c r="F57" s="52"/>
      <c r="G57" s="58"/>
      <c r="H57" s="43"/>
      <c r="I57" s="1"/>
      <c r="J57" s="20"/>
      <c r="P57" s="119"/>
      <c r="Q57" s="119"/>
    </row>
    <row r="58" spans="1:44" x14ac:dyDescent="0.25">
      <c r="A58" s="1"/>
      <c r="B58" s="6"/>
      <c r="C58" s="3"/>
      <c r="D58" s="12"/>
      <c r="E58" s="13"/>
      <c r="F58" s="52"/>
      <c r="G58" s="58"/>
      <c r="H58" s="43"/>
      <c r="I58" s="1"/>
      <c r="J58" s="20"/>
      <c r="P58" s="119"/>
      <c r="Q58" s="119"/>
    </row>
    <row r="59" spans="1:44" x14ac:dyDescent="0.25">
      <c r="A59" s="1" t="s">
        <v>61</v>
      </c>
      <c r="B59" s="6">
        <v>43434</v>
      </c>
      <c r="C59" s="3"/>
      <c r="D59" s="12" t="s">
        <v>60</v>
      </c>
      <c r="E59" s="52">
        <v>5692.44</v>
      </c>
      <c r="F59" s="52">
        <v>0</v>
      </c>
      <c r="G59" s="5">
        <f>E59+F59</f>
        <v>5692.44</v>
      </c>
      <c r="H59" s="43" t="s">
        <v>8</v>
      </c>
      <c r="I59" s="1"/>
      <c r="J59" s="20"/>
      <c r="K59" s="130">
        <f>G59</f>
        <v>5692.44</v>
      </c>
      <c r="L59" s="130"/>
      <c r="M59" s="77"/>
      <c r="N59" s="77"/>
      <c r="O59" s="77"/>
      <c r="P59" s="119"/>
      <c r="Q59" s="119"/>
      <c r="R59" s="77"/>
      <c r="S59" s="77"/>
      <c r="T59" s="77"/>
      <c r="U59" s="77"/>
    </row>
    <row r="60" spans="1:44" x14ac:dyDescent="0.25">
      <c r="A60" s="1" t="s">
        <v>69</v>
      </c>
      <c r="B60" s="6">
        <v>43434</v>
      </c>
      <c r="C60" s="3"/>
      <c r="D60" s="12" t="s">
        <v>70</v>
      </c>
      <c r="E60" s="52">
        <v>19500</v>
      </c>
      <c r="F60" s="52">
        <v>0</v>
      </c>
      <c r="G60" s="5">
        <f>E60+F60</f>
        <v>19500</v>
      </c>
      <c r="H60" s="43" t="s">
        <v>40</v>
      </c>
      <c r="I60" s="1" t="s">
        <v>54</v>
      </c>
      <c r="J60" s="20"/>
      <c r="P60" s="119"/>
      <c r="Q60" s="119"/>
      <c r="AH60" s="77">
        <f>G60</f>
        <v>19500</v>
      </c>
      <c r="AI60" s="77"/>
      <c r="AJ60" s="77"/>
      <c r="AK60" s="77"/>
      <c r="AL60" s="77"/>
    </row>
    <row r="61" spans="1:44" x14ac:dyDescent="0.25">
      <c r="A61" s="1" t="s">
        <v>85</v>
      </c>
      <c r="B61" s="6">
        <v>43434</v>
      </c>
      <c r="C61" s="3"/>
      <c r="D61" s="12" t="s">
        <v>83</v>
      </c>
      <c r="E61" s="52">
        <v>67119.350000000006</v>
      </c>
      <c r="F61" s="52">
        <v>0</v>
      </c>
      <c r="G61" s="82">
        <f>E61+F61</f>
        <v>67119.350000000006</v>
      </c>
      <c r="H61" s="83" t="s">
        <v>84</v>
      </c>
      <c r="I61" s="84"/>
      <c r="J61" s="116"/>
      <c r="P61" s="119">
        <f>G61*0.88</f>
        <v>59065.028000000006</v>
      </c>
      <c r="Q61" s="119">
        <f>G61-P61</f>
        <v>8054.3220000000001</v>
      </c>
    </row>
    <row r="62" spans="1:44" x14ac:dyDescent="0.25">
      <c r="A62" s="1"/>
      <c r="B62" s="6"/>
      <c r="C62" s="3"/>
      <c r="D62" s="12"/>
      <c r="E62" s="52"/>
      <c r="F62" s="52"/>
      <c r="G62" s="58"/>
      <c r="H62" s="43"/>
      <c r="I62" s="1"/>
      <c r="J62" s="20"/>
      <c r="P62" s="119"/>
      <c r="Q62" s="119"/>
    </row>
    <row r="63" spans="1:44" x14ac:dyDescent="0.25">
      <c r="A63" s="1" t="s">
        <v>71</v>
      </c>
      <c r="B63" s="6">
        <v>43441</v>
      </c>
      <c r="C63" s="3"/>
      <c r="D63" s="12" t="s">
        <v>72</v>
      </c>
      <c r="E63" s="52">
        <f>3131.25+288.6+5223.28+1453.54</f>
        <v>10096.669999999998</v>
      </c>
      <c r="F63" s="52">
        <v>0</v>
      </c>
      <c r="G63" s="5">
        <f>E63+F63</f>
        <v>10096.669999999998</v>
      </c>
      <c r="H63" s="43" t="s">
        <v>40</v>
      </c>
      <c r="I63" s="1"/>
      <c r="J63" s="20"/>
      <c r="P63" s="119"/>
      <c r="Q63" s="119"/>
      <c r="Y63" s="77">
        <f>G63</f>
        <v>10096.669999999998</v>
      </c>
    </row>
    <row r="64" spans="1:44" x14ac:dyDescent="0.25">
      <c r="A64" s="1" t="s">
        <v>71</v>
      </c>
      <c r="B64" s="6">
        <v>43441</v>
      </c>
      <c r="C64" s="3"/>
      <c r="D64" s="12" t="s">
        <v>72</v>
      </c>
      <c r="E64" s="52">
        <v>11119</v>
      </c>
      <c r="F64" s="52">
        <v>0</v>
      </c>
      <c r="G64" s="5">
        <f>E64+F64</f>
        <v>11119</v>
      </c>
      <c r="H64" s="43" t="s">
        <v>42</v>
      </c>
      <c r="I64" s="1" t="s">
        <v>54</v>
      </c>
      <c r="J64" s="20"/>
      <c r="P64" s="119"/>
      <c r="Q64" s="119"/>
      <c r="Z64" s="77">
        <f>G64</f>
        <v>11119</v>
      </c>
      <c r="AA64" s="77"/>
      <c r="AB64" s="77"/>
      <c r="AC64" s="77"/>
      <c r="AD64" s="77"/>
    </row>
    <row r="65" spans="1:52" x14ac:dyDescent="0.25">
      <c r="A65" s="1" t="s">
        <v>71</v>
      </c>
      <c r="B65" s="6">
        <v>43441</v>
      </c>
      <c r="C65" s="3"/>
      <c r="D65" s="12" t="s">
        <v>72</v>
      </c>
      <c r="E65" s="52">
        <f>55840+83760</f>
        <v>139600</v>
      </c>
      <c r="F65" s="52">
        <v>0</v>
      </c>
      <c r="G65" s="5">
        <f>E65+F65</f>
        <v>139600</v>
      </c>
      <c r="H65" s="43" t="s">
        <v>42</v>
      </c>
      <c r="I65" s="1" t="s">
        <v>41</v>
      </c>
      <c r="J65" s="20"/>
      <c r="P65" s="119"/>
      <c r="Q65" s="119"/>
      <c r="X65" s="77">
        <f>G65</f>
        <v>139600</v>
      </c>
    </row>
    <row r="66" spans="1:52" x14ac:dyDescent="0.25">
      <c r="A66" s="1"/>
      <c r="B66" s="6"/>
      <c r="C66" s="3"/>
      <c r="D66" s="12"/>
      <c r="E66" s="52"/>
      <c r="F66" s="52"/>
      <c r="G66" s="58"/>
      <c r="H66" s="43"/>
      <c r="I66" s="1"/>
      <c r="J66" s="20"/>
      <c r="P66" s="119"/>
      <c r="Q66" s="119"/>
    </row>
    <row r="67" spans="1:52" x14ac:dyDescent="0.25">
      <c r="A67" s="1" t="s">
        <v>62</v>
      </c>
      <c r="B67" s="6">
        <v>43453</v>
      </c>
      <c r="C67" s="3"/>
      <c r="D67" s="12" t="s">
        <v>60</v>
      </c>
      <c r="E67" s="52">
        <v>1381.25</v>
      </c>
      <c r="F67" s="52">
        <v>0</v>
      </c>
      <c r="G67" s="5">
        <f>E67+F67</f>
        <v>1381.25</v>
      </c>
      <c r="H67" s="43" t="s">
        <v>8</v>
      </c>
      <c r="I67" s="1"/>
      <c r="J67" s="20"/>
      <c r="K67" s="130">
        <f>G67</f>
        <v>1381.25</v>
      </c>
      <c r="L67" s="130"/>
      <c r="M67" s="77"/>
      <c r="N67" s="77"/>
      <c r="O67" s="77"/>
      <c r="P67" s="119"/>
      <c r="Q67" s="119"/>
      <c r="R67" s="77"/>
      <c r="S67" s="77"/>
      <c r="T67" s="77"/>
      <c r="U67" s="77"/>
    </row>
    <row r="68" spans="1:52" x14ac:dyDescent="0.25">
      <c r="A68" s="1" t="s">
        <v>99</v>
      </c>
      <c r="B68" s="6">
        <v>43453</v>
      </c>
      <c r="C68" s="3"/>
      <c r="D68" s="12" t="s">
        <v>100</v>
      </c>
      <c r="E68" s="52">
        <f>260+260</f>
        <v>520</v>
      </c>
      <c r="F68" s="52"/>
      <c r="G68" s="5">
        <f>E68+F68</f>
        <v>520</v>
      </c>
      <c r="H68" s="43" t="s">
        <v>103</v>
      </c>
      <c r="I68" s="1"/>
      <c r="J68" s="20"/>
      <c r="K68" s="77"/>
      <c r="L68" s="77"/>
      <c r="M68" s="77">
        <v>520</v>
      </c>
      <c r="N68" s="77"/>
      <c r="O68" s="77"/>
      <c r="P68" s="119"/>
      <c r="Q68" s="119"/>
      <c r="R68" s="77"/>
      <c r="S68" s="77"/>
      <c r="T68" s="77"/>
      <c r="U68" s="77"/>
    </row>
    <row r="69" spans="1:52" x14ac:dyDescent="0.25">
      <c r="A69" s="1"/>
      <c r="B69" s="6"/>
      <c r="C69" s="3"/>
      <c r="D69" s="12"/>
      <c r="E69" s="52"/>
      <c r="F69" s="52"/>
      <c r="G69" s="58"/>
      <c r="H69" s="43"/>
      <c r="I69" s="1"/>
      <c r="J69" s="20"/>
      <c r="P69" s="119"/>
      <c r="Q69" s="119"/>
    </row>
    <row r="70" spans="1:52" x14ac:dyDescent="0.25">
      <c r="A70" s="1" t="s">
        <v>86</v>
      </c>
      <c r="B70" s="6">
        <v>43469</v>
      </c>
      <c r="C70" s="3"/>
      <c r="D70" s="12" t="s">
        <v>83</v>
      </c>
      <c r="E70" s="52">
        <f>67119.35+67119.35+81.59+1120.36+1229.97</f>
        <v>136670.62</v>
      </c>
      <c r="F70" s="52">
        <v>0</v>
      </c>
      <c r="G70" s="82">
        <f>E70+F70</f>
        <v>136670.62</v>
      </c>
      <c r="H70" s="83" t="s">
        <v>84</v>
      </c>
      <c r="I70" s="84"/>
      <c r="J70" s="116"/>
      <c r="P70" s="119">
        <f>G70*0.88</f>
        <v>120270.1456</v>
      </c>
      <c r="Q70" s="119">
        <f>G70-P70</f>
        <v>16400.474399999992</v>
      </c>
    </row>
    <row r="71" spans="1:52" x14ac:dyDescent="0.25">
      <c r="A71" s="1" t="s">
        <v>101</v>
      </c>
      <c r="B71" s="6">
        <v>43469</v>
      </c>
      <c r="C71" s="3"/>
      <c r="D71" s="12" t="s">
        <v>23</v>
      </c>
      <c r="E71" s="52">
        <f>29650+11119+29650</f>
        <v>70419</v>
      </c>
      <c r="F71" s="52"/>
      <c r="G71" s="5">
        <f>E71+F71</f>
        <v>70419</v>
      </c>
      <c r="H71" s="43" t="s">
        <v>84</v>
      </c>
      <c r="I71" s="1" t="s">
        <v>54</v>
      </c>
      <c r="J71" s="20"/>
      <c r="P71" s="119"/>
      <c r="Q71" s="119"/>
      <c r="Z71" s="77">
        <f>G71</f>
        <v>70419</v>
      </c>
      <c r="AA71" s="77"/>
      <c r="AB71" s="77"/>
      <c r="AC71" s="77"/>
      <c r="AD71" s="77"/>
    </row>
    <row r="72" spans="1:52" x14ac:dyDescent="0.25">
      <c r="A72" s="1" t="s">
        <v>93</v>
      </c>
      <c r="B72" s="6">
        <v>43469</v>
      </c>
      <c r="C72" s="3"/>
      <c r="D72" s="12" t="s">
        <v>94</v>
      </c>
      <c r="E72" s="52">
        <f>822.5+2878.75</f>
        <v>3701.25</v>
      </c>
      <c r="F72" s="52">
        <v>0</v>
      </c>
      <c r="G72" s="5">
        <f>E72+F72</f>
        <v>3701.25</v>
      </c>
      <c r="H72" s="43" t="s">
        <v>84</v>
      </c>
      <c r="I72" s="1" t="s">
        <v>41</v>
      </c>
      <c r="J72" s="20"/>
      <c r="P72" s="119"/>
      <c r="Q72" s="119"/>
      <c r="X72" s="77"/>
      <c r="AZ72" s="130">
        <f>G72</f>
        <v>3701.25</v>
      </c>
    </row>
    <row r="73" spans="1:52" x14ac:dyDescent="0.25">
      <c r="A73" s="1"/>
      <c r="B73" s="6"/>
      <c r="C73" s="3"/>
      <c r="D73" s="12"/>
      <c r="E73" s="52"/>
      <c r="F73" s="52"/>
      <c r="G73" s="58"/>
      <c r="H73" s="43"/>
      <c r="I73" s="1"/>
      <c r="J73" s="20"/>
      <c r="P73" s="119"/>
      <c r="Q73" s="119"/>
    </row>
    <row r="74" spans="1:52" x14ac:dyDescent="0.25">
      <c r="A74" s="1" t="s">
        <v>73</v>
      </c>
      <c r="B74" s="6">
        <v>43476</v>
      </c>
      <c r="C74" s="3"/>
      <c r="D74" s="12" t="s">
        <v>74</v>
      </c>
      <c r="E74" s="52">
        <f>8550+1880+3760</f>
        <v>14190</v>
      </c>
      <c r="F74" s="52">
        <v>0</v>
      </c>
      <c r="G74" s="102">
        <f>E74+F74</f>
        <v>14190</v>
      </c>
      <c r="H74" s="44" t="s">
        <v>40</v>
      </c>
      <c r="I74" s="40"/>
      <c r="J74" s="107"/>
      <c r="P74" s="119"/>
      <c r="Q74" s="119"/>
      <c r="AL74" s="77">
        <f>G74</f>
        <v>14190</v>
      </c>
    </row>
    <row r="75" spans="1:52" x14ac:dyDescent="0.25">
      <c r="A75" s="1" t="s">
        <v>73</v>
      </c>
      <c r="B75" s="6">
        <v>43476</v>
      </c>
      <c r="C75" s="3"/>
      <c r="D75" s="12" t="s">
        <v>74</v>
      </c>
      <c r="E75" s="52">
        <f>2910+2328</f>
        <v>5238</v>
      </c>
      <c r="F75" s="52">
        <v>0</v>
      </c>
      <c r="G75" s="102">
        <f>E75+F75</f>
        <v>5238</v>
      </c>
      <c r="H75" s="44"/>
      <c r="I75" s="40"/>
      <c r="J75" s="116"/>
      <c r="K75" s="42"/>
      <c r="L75" s="42"/>
      <c r="M75" s="42"/>
      <c r="N75" s="42"/>
      <c r="O75" s="42"/>
      <c r="P75" s="120"/>
      <c r="Q75" s="120"/>
      <c r="R75" s="42"/>
      <c r="S75" s="42"/>
      <c r="T75" s="42"/>
      <c r="U75" s="42"/>
      <c r="AM75" s="130">
        <f>G75</f>
        <v>5238</v>
      </c>
      <c r="AN75" s="130"/>
      <c r="AO75" s="130"/>
      <c r="AP75" s="130"/>
      <c r="AQ75" s="130"/>
    </row>
    <row r="76" spans="1:52" x14ac:dyDescent="0.25">
      <c r="A76" s="1" t="s">
        <v>73</v>
      </c>
      <c r="B76" s="6">
        <v>43476</v>
      </c>
      <c r="C76" s="3"/>
      <c r="D76" s="12" t="s">
        <v>74</v>
      </c>
      <c r="E76" s="52">
        <f>5115+1705</f>
        <v>6820</v>
      </c>
      <c r="F76" s="52">
        <v>0</v>
      </c>
      <c r="G76" s="5">
        <f>E76+F76</f>
        <v>6820</v>
      </c>
      <c r="H76" s="43" t="s">
        <v>40</v>
      </c>
      <c r="I76" s="1" t="s">
        <v>41</v>
      </c>
      <c r="J76" s="20"/>
      <c r="P76" s="119"/>
      <c r="Q76" s="119"/>
      <c r="AI76" s="130">
        <f>G76</f>
        <v>6820</v>
      </c>
      <c r="AJ76" s="130"/>
      <c r="AK76" s="130"/>
      <c r="AL76" s="77"/>
    </row>
    <row r="77" spans="1:52" x14ac:dyDescent="0.25">
      <c r="A77" s="1"/>
      <c r="B77" s="6"/>
      <c r="C77" s="3"/>
      <c r="D77" s="12"/>
      <c r="E77" s="52"/>
      <c r="F77" s="52"/>
      <c r="G77" s="58"/>
      <c r="H77" s="43"/>
      <c r="I77" s="1"/>
      <c r="J77" s="20"/>
      <c r="P77" s="119"/>
      <c r="Q77" s="119"/>
    </row>
    <row r="78" spans="1:52" x14ac:dyDescent="0.25">
      <c r="A78" s="1" t="s">
        <v>63</v>
      </c>
      <c r="B78" s="6">
        <v>43497</v>
      </c>
      <c r="C78" s="3"/>
      <c r="D78" s="12" t="s">
        <v>60</v>
      </c>
      <c r="E78" s="52">
        <v>5638.95</v>
      </c>
      <c r="F78" s="52">
        <v>0</v>
      </c>
      <c r="G78" s="5">
        <f>E78+F78</f>
        <v>5638.95</v>
      </c>
      <c r="H78" s="43" t="s">
        <v>8</v>
      </c>
      <c r="I78" s="1"/>
      <c r="J78" s="20"/>
      <c r="K78" s="130">
        <f>G78</f>
        <v>5638.95</v>
      </c>
      <c r="L78" s="130"/>
      <c r="M78" s="77"/>
      <c r="N78" s="77"/>
      <c r="O78" s="77"/>
      <c r="P78" s="119"/>
      <c r="Q78" s="119"/>
      <c r="R78" s="77"/>
      <c r="S78" s="77"/>
      <c r="T78" s="77"/>
      <c r="U78" s="77"/>
    </row>
    <row r="79" spans="1:52" x14ac:dyDescent="0.25">
      <c r="A79" s="1"/>
      <c r="B79" s="6"/>
      <c r="C79" s="3"/>
      <c r="D79" s="12"/>
      <c r="E79" s="52"/>
      <c r="F79" s="52"/>
      <c r="G79" s="5"/>
      <c r="H79" s="43"/>
      <c r="I79" s="1"/>
      <c r="J79" s="20"/>
      <c r="P79" s="119"/>
      <c r="Q79" s="119"/>
    </row>
    <row r="80" spans="1:52" x14ac:dyDescent="0.25">
      <c r="A80" s="1" t="s">
        <v>137</v>
      </c>
      <c r="B80" s="6">
        <v>43504</v>
      </c>
      <c r="C80" s="3"/>
      <c r="D80" s="12" t="s">
        <v>138</v>
      </c>
      <c r="E80" s="52">
        <v>45127.13</v>
      </c>
      <c r="F80" s="52">
        <v>0</v>
      </c>
      <c r="G80" s="5">
        <f>E80+F80</f>
        <v>45127.13</v>
      </c>
      <c r="H80" s="43" t="s">
        <v>139</v>
      </c>
      <c r="I80" s="1" t="s">
        <v>142</v>
      </c>
      <c r="J80" s="20"/>
      <c r="P80" s="119"/>
      <c r="Q80" s="119"/>
      <c r="AS80" s="77">
        <f>E80</f>
        <v>45127.13</v>
      </c>
    </row>
    <row r="81" spans="1:51" x14ac:dyDescent="0.25">
      <c r="A81" s="1"/>
      <c r="B81" s="6"/>
      <c r="C81" s="3"/>
      <c r="D81" s="12"/>
      <c r="E81" s="52"/>
      <c r="F81" s="52"/>
      <c r="G81" s="58"/>
      <c r="H81" s="43"/>
      <c r="I81" s="1"/>
      <c r="J81" s="20"/>
      <c r="P81" s="119"/>
      <c r="Q81" s="119"/>
    </row>
    <row r="82" spans="1:51" x14ac:dyDescent="0.25">
      <c r="A82" s="1" t="s">
        <v>75</v>
      </c>
      <c r="B82" s="6">
        <v>43517</v>
      </c>
      <c r="C82" s="3"/>
      <c r="D82" s="12" t="s">
        <v>74</v>
      </c>
      <c r="E82" s="52">
        <f>7257.5+5596+4365</f>
        <v>17218.5</v>
      </c>
      <c r="F82" s="52">
        <v>0</v>
      </c>
      <c r="G82" s="5">
        <f>E82+F82</f>
        <v>17218.5</v>
      </c>
      <c r="H82" s="43" t="s">
        <v>40</v>
      </c>
      <c r="I82" s="1" t="s">
        <v>54</v>
      </c>
      <c r="J82" s="20"/>
      <c r="P82" s="119"/>
      <c r="Q82" s="119"/>
      <c r="AM82" s="77">
        <f>G82</f>
        <v>17218.5</v>
      </c>
      <c r="AN82" s="77"/>
      <c r="AO82" s="77"/>
      <c r="AP82" s="77"/>
      <c r="AQ82" s="77"/>
    </row>
    <row r="83" spans="1:51" x14ac:dyDescent="0.25">
      <c r="A83" s="1" t="s">
        <v>75</v>
      </c>
      <c r="B83" s="6">
        <v>43517</v>
      </c>
      <c r="C83" s="3"/>
      <c r="D83" s="12" t="s">
        <v>74</v>
      </c>
      <c r="E83" s="52">
        <f>1705+1050</f>
        <v>2755</v>
      </c>
      <c r="F83" s="52">
        <v>0</v>
      </c>
      <c r="G83" s="5">
        <f>E83+F83</f>
        <v>2755</v>
      </c>
      <c r="H83" s="43" t="s">
        <v>40</v>
      </c>
      <c r="I83" s="1" t="s">
        <v>41</v>
      </c>
      <c r="J83" s="20"/>
      <c r="P83" s="119"/>
      <c r="Q83" s="119"/>
      <c r="AI83" s="130">
        <f>G83</f>
        <v>2755</v>
      </c>
      <c r="AJ83" s="130"/>
      <c r="AK83" s="130"/>
      <c r="AL83" s="77"/>
    </row>
    <row r="84" spans="1:51" x14ac:dyDescent="0.25">
      <c r="A84" s="1" t="s">
        <v>102</v>
      </c>
      <c r="B84" s="6">
        <v>43517</v>
      </c>
      <c r="C84" s="3"/>
      <c r="D84" s="12" t="s">
        <v>100</v>
      </c>
      <c r="E84" s="52">
        <f>195+195</f>
        <v>390</v>
      </c>
      <c r="F84" s="52">
        <v>0</v>
      </c>
      <c r="G84" s="5">
        <f>E84+F84</f>
        <v>390</v>
      </c>
      <c r="H84" s="43" t="s">
        <v>103</v>
      </c>
      <c r="I84" s="1"/>
      <c r="J84" s="20"/>
      <c r="K84" s="77"/>
      <c r="L84" s="77"/>
      <c r="M84" s="77">
        <v>390</v>
      </c>
      <c r="N84" s="77"/>
      <c r="O84" s="77"/>
      <c r="P84" s="119"/>
      <c r="Q84" s="119"/>
      <c r="R84" s="77"/>
      <c r="S84" s="77"/>
      <c r="T84" s="77"/>
      <c r="U84" s="77"/>
      <c r="AI84" s="77"/>
      <c r="AJ84" s="77"/>
      <c r="AK84" s="77"/>
      <c r="AL84" s="77"/>
    </row>
    <row r="85" spans="1:51" x14ac:dyDescent="0.25">
      <c r="A85" s="1"/>
      <c r="B85" s="6"/>
      <c r="C85" s="3"/>
      <c r="D85" s="12"/>
      <c r="E85" s="52"/>
      <c r="F85" s="52"/>
      <c r="G85" s="58"/>
      <c r="H85" s="43"/>
      <c r="I85" s="1"/>
      <c r="J85" s="20"/>
      <c r="P85" s="119"/>
      <c r="Q85" s="119"/>
    </row>
    <row r="86" spans="1:51" x14ac:dyDescent="0.25">
      <c r="A86" s="1" t="s">
        <v>76</v>
      </c>
      <c r="B86" s="6">
        <v>43525</v>
      </c>
      <c r="C86" s="3"/>
      <c r="D86" s="12" t="s">
        <v>77</v>
      </c>
      <c r="E86" s="52">
        <v>11950</v>
      </c>
      <c r="F86" s="52">
        <v>0</v>
      </c>
      <c r="G86" s="102">
        <f>E86+F86</f>
        <v>11950</v>
      </c>
      <c r="H86" s="44" t="s">
        <v>40</v>
      </c>
      <c r="I86" s="40"/>
      <c r="J86" s="109"/>
      <c r="P86" s="119"/>
      <c r="Q86" s="119"/>
      <c r="AG86" s="77">
        <f>G86</f>
        <v>11950</v>
      </c>
    </row>
    <row r="87" spans="1:51" x14ac:dyDescent="0.25">
      <c r="A87" s="1" t="s">
        <v>87</v>
      </c>
      <c r="B87" s="6">
        <v>43525</v>
      </c>
      <c r="C87" s="3"/>
      <c r="D87" s="12" t="s">
        <v>83</v>
      </c>
      <c r="E87" s="52">
        <f>67119.35+443.03</f>
        <v>67562.38</v>
      </c>
      <c r="F87" s="52">
        <v>0</v>
      </c>
      <c r="G87" s="82">
        <f>E87+F87</f>
        <v>67562.38</v>
      </c>
      <c r="H87" s="83" t="s">
        <v>84</v>
      </c>
      <c r="I87" s="1"/>
      <c r="J87" s="116"/>
      <c r="P87" s="119">
        <f>G87*0.88</f>
        <v>59454.894400000005</v>
      </c>
      <c r="Q87" s="119">
        <f>G87-P87</f>
        <v>8107.4856</v>
      </c>
    </row>
    <row r="88" spans="1:51" x14ac:dyDescent="0.25">
      <c r="A88" s="1"/>
      <c r="B88" s="6"/>
      <c r="C88" s="3"/>
      <c r="D88" s="12"/>
      <c r="E88" s="52"/>
      <c r="F88" s="52"/>
      <c r="G88" s="58"/>
      <c r="H88" s="43"/>
      <c r="I88" s="1"/>
      <c r="J88" s="20"/>
      <c r="P88" s="119"/>
      <c r="Q88" s="119"/>
    </row>
    <row r="89" spans="1:51" x14ac:dyDescent="0.25">
      <c r="A89" s="1" t="s">
        <v>64</v>
      </c>
      <c r="B89" s="6">
        <v>43532</v>
      </c>
      <c r="C89" s="3"/>
      <c r="D89" s="12" t="s">
        <v>60</v>
      </c>
      <c r="E89" s="52">
        <v>2193.75</v>
      </c>
      <c r="F89" s="52">
        <v>0</v>
      </c>
      <c r="G89" s="5">
        <f>E89+F89</f>
        <v>2193.75</v>
      </c>
      <c r="H89" s="43" t="s">
        <v>8</v>
      </c>
      <c r="I89" s="1"/>
      <c r="J89" s="20"/>
      <c r="K89" s="130">
        <f>G89</f>
        <v>2193.75</v>
      </c>
      <c r="L89" s="130"/>
      <c r="M89" s="77"/>
      <c r="N89" s="77"/>
      <c r="O89" s="77"/>
      <c r="P89" s="119"/>
      <c r="Q89" s="119"/>
      <c r="R89" s="77"/>
      <c r="S89" s="77"/>
      <c r="T89" s="77"/>
      <c r="U89" s="77"/>
    </row>
    <row r="90" spans="1:51" x14ac:dyDescent="0.25">
      <c r="A90" s="1" t="s">
        <v>104</v>
      </c>
      <c r="B90" s="6">
        <v>43532</v>
      </c>
      <c r="C90" s="3"/>
      <c r="D90" s="12" t="s">
        <v>100</v>
      </c>
      <c r="E90" s="52">
        <f>220+220+520</f>
        <v>960</v>
      </c>
      <c r="F90" s="52">
        <v>0</v>
      </c>
      <c r="G90" s="5">
        <f>E90+F90</f>
        <v>960</v>
      </c>
      <c r="H90" s="43" t="s">
        <v>103</v>
      </c>
      <c r="I90" s="1"/>
      <c r="J90" s="20"/>
      <c r="K90" s="77"/>
      <c r="L90" s="77"/>
      <c r="M90" s="77">
        <v>960</v>
      </c>
      <c r="N90" s="77"/>
      <c r="O90" s="77"/>
      <c r="P90" s="119"/>
      <c r="Q90" s="119"/>
      <c r="R90" s="77"/>
      <c r="S90" s="77"/>
      <c r="T90" s="77"/>
      <c r="U90" s="77"/>
    </row>
    <row r="91" spans="1:51" x14ac:dyDescent="0.25">
      <c r="A91" s="1" t="s">
        <v>108</v>
      </c>
      <c r="B91" s="6">
        <v>43532</v>
      </c>
      <c r="C91" s="3"/>
      <c r="D91" s="12" t="s">
        <v>109</v>
      </c>
      <c r="E91" s="52">
        <f>14768.31+51557.5</f>
        <v>66325.81</v>
      </c>
      <c r="F91" s="52">
        <v>0</v>
      </c>
      <c r="G91" s="5">
        <f>E91+F91</f>
        <v>66325.81</v>
      </c>
      <c r="H91" s="43"/>
      <c r="I91" s="1" t="s">
        <v>41</v>
      </c>
      <c r="J91" s="20"/>
      <c r="P91" s="119"/>
      <c r="Q91" s="119"/>
      <c r="AX91" s="130">
        <f>G91</f>
        <v>66325.81</v>
      </c>
      <c r="AY91" s="130"/>
    </row>
    <row r="92" spans="1:51" x14ac:dyDescent="0.25">
      <c r="A92" s="1"/>
      <c r="B92" s="6"/>
      <c r="C92" s="3"/>
      <c r="D92" s="12"/>
      <c r="E92" s="52"/>
      <c r="F92" s="52"/>
      <c r="G92" s="58"/>
      <c r="H92" s="43"/>
      <c r="I92" s="1"/>
      <c r="J92" s="20"/>
      <c r="P92" s="119"/>
      <c r="Q92" s="119"/>
    </row>
    <row r="93" spans="1:51" x14ac:dyDescent="0.25">
      <c r="A93" s="1" t="s">
        <v>78</v>
      </c>
      <c r="B93" s="6">
        <v>43546</v>
      </c>
      <c r="C93" s="3"/>
      <c r="D93" s="12" t="s">
        <v>74</v>
      </c>
      <c r="E93" s="52">
        <f>2850+6995</f>
        <v>9845</v>
      </c>
      <c r="F93" s="52">
        <v>0</v>
      </c>
      <c r="G93" s="102">
        <f>E93+F93</f>
        <v>9845</v>
      </c>
      <c r="H93" s="43" t="s">
        <v>40</v>
      </c>
      <c r="I93" s="1"/>
      <c r="J93" s="20"/>
      <c r="P93" s="119"/>
      <c r="Q93" s="119"/>
      <c r="AL93" s="77">
        <f>G93</f>
        <v>9845</v>
      </c>
    </row>
    <row r="94" spans="1:51" x14ac:dyDescent="0.25">
      <c r="A94" s="1" t="s">
        <v>78</v>
      </c>
      <c r="B94" s="6">
        <v>43546</v>
      </c>
      <c r="C94" s="3"/>
      <c r="D94" s="12" t="s">
        <v>74</v>
      </c>
      <c r="E94" s="52">
        <v>3492</v>
      </c>
      <c r="F94" s="52">
        <v>0</v>
      </c>
      <c r="G94" s="5">
        <f>E94+F94</f>
        <v>3492</v>
      </c>
      <c r="H94" s="43" t="s">
        <v>40</v>
      </c>
      <c r="I94" s="1" t="s">
        <v>54</v>
      </c>
      <c r="J94" s="20"/>
      <c r="P94" s="119"/>
      <c r="Q94" s="119"/>
      <c r="AM94" s="130">
        <f>G94</f>
        <v>3492</v>
      </c>
      <c r="AN94" s="130"/>
      <c r="AO94" s="130"/>
      <c r="AP94" s="130"/>
      <c r="AQ94" s="130"/>
    </row>
    <row r="95" spans="1:51" x14ac:dyDescent="0.25">
      <c r="A95" s="1" t="s">
        <v>145</v>
      </c>
      <c r="B95" s="6">
        <v>43546</v>
      </c>
      <c r="C95" s="3"/>
      <c r="D95" s="12" t="s">
        <v>146</v>
      </c>
      <c r="E95" s="52">
        <v>174295.8</v>
      </c>
      <c r="F95" s="52">
        <v>0</v>
      </c>
      <c r="G95" s="82">
        <f>E95+F95</f>
        <v>174295.8</v>
      </c>
      <c r="H95" s="43"/>
      <c r="I95" s="1"/>
      <c r="J95" s="116"/>
      <c r="P95" s="119">
        <f>G95*0.88</f>
        <v>153380.304</v>
      </c>
      <c r="Q95" s="119">
        <f>G95-P95</f>
        <v>20915.495999999985</v>
      </c>
    </row>
    <row r="96" spans="1:51" x14ac:dyDescent="0.25">
      <c r="A96" s="1"/>
      <c r="B96" s="6"/>
      <c r="C96" s="3"/>
      <c r="D96" s="12"/>
      <c r="E96" s="52"/>
      <c r="F96" s="52"/>
      <c r="G96" s="58"/>
      <c r="H96" s="43"/>
      <c r="I96" s="1"/>
      <c r="J96" s="20"/>
      <c r="P96" s="119"/>
      <c r="Q96" s="119"/>
    </row>
    <row r="97" spans="1:51" x14ac:dyDescent="0.25">
      <c r="A97" s="1" t="s">
        <v>65</v>
      </c>
      <c r="B97" s="6">
        <v>43553</v>
      </c>
      <c r="C97" s="3"/>
      <c r="D97" s="12" t="s">
        <v>60</v>
      </c>
      <c r="E97" s="52">
        <v>975</v>
      </c>
      <c r="F97" s="52">
        <v>0</v>
      </c>
      <c r="G97" s="5">
        <f>E97+F97</f>
        <v>975</v>
      </c>
      <c r="H97" s="43" t="s">
        <v>8</v>
      </c>
      <c r="I97" s="1"/>
      <c r="J97" s="20"/>
      <c r="K97" s="130">
        <f>G97</f>
        <v>975</v>
      </c>
      <c r="L97" s="130"/>
      <c r="M97" s="77"/>
      <c r="N97" s="77"/>
      <c r="O97" s="77"/>
      <c r="P97" s="119"/>
      <c r="Q97" s="119"/>
      <c r="R97" s="77"/>
      <c r="S97" s="77"/>
      <c r="T97" s="77"/>
      <c r="U97" s="77"/>
    </row>
    <row r="98" spans="1:51" x14ac:dyDescent="0.25">
      <c r="A98" s="1" t="s">
        <v>110</v>
      </c>
      <c r="B98" s="6">
        <v>43553</v>
      </c>
      <c r="C98" s="3"/>
      <c r="D98" s="12" t="s">
        <v>111</v>
      </c>
      <c r="E98" s="52">
        <v>348899.36</v>
      </c>
      <c r="F98" s="52">
        <v>-17444.97</v>
      </c>
      <c r="G98" s="5">
        <f t="shared" ref="G98:G99" si="0">E98+F98</f>
        <v>331454.39</v>
      </c>
      <c r="H98" s="43" t="s">
        <v>122</v>
      </c>
      <c r="I98" s="1" t="s">
        <v>41</v>
      </c>
      <c r="J98" s="20"/>
      <c r="P98" s="119"/>
      <c r="Q98" s="119"/>
      <c r="V98" s="77">
        <f>G98</f>
        <v>331454.39</v>
      </c>
    </row>
    <row r="99" spans="1:51" x14ac:dyDescent="0.25">
      <c r="A99" s="1" t="s">
        <v>112</v>
      </c>
      <c r="B99" s="6">
        <v>43553</v>
      </c>
      <c r="C99" s="3"/>
      <c r="D99" s="12" t="s">
        <v>113</v>
      </c>
      <c r="E99" s="52">
        <v>19880</v>
      </c>
      <c r="F99" s="52">
        <v>0</v>
      </c>
      <c r="G99" s="82">
        <f t="shared" si="0"/>
        <v>19880</v>
      </c>
      <c r="H99" s="43" t="s">
        <v>114</v>
      </c>
      <c r="I99" s="1"/>
      <c r="J99" s="116"/>
      <c r="O99" s="137">
        <f>G99</f>
        <v>19880</v>
      </c>
      <c r="P99" s="119"/>
      <c r="Q99" s="119"/>
    </row>
    <row r="100" spans="1:51" x14ac:dyDescent="0.25">
      <c r="A100" s="1"/>
      <c r="B100" s="6"/>
      <c r="C100" s="3"/>
      <c r="D100" s="12"/>
      <c r="E100" s="52"/>
      <c r="F100" s="52"/>
      <c r="G100" s="58"/>
      <c r="H100" s="43"/>
      <c r="I100" s="1"/>
      <c r="J100" s="20"/>
      <c r="P100" s="119"/>
      <c r="Q100" s="119"/>
    </row>
    <row r="101" spans="1:51" x14ac:dyDescent="0.25">
      <c r="A101" s="1" t="s">
        <v>88</v>
      </c>
      <c r="B101" s="6">
        <v>43560</v>
      </c>
      <c r="C101" s="3"/>
      <c r="D101" s="12" t="s">
        <v>83</v>
      </c>
      <c r="E101" s="52">
        <f>76239.19+49990+1446.33</f>
        <v>127675.52</v>
      </c>
      <c r="F101" s="52">
        <v>0</v>
      </c>
      <c r="G101" s="82">
        <f>E101+F101</f>
        <v>127675.52</v>
      </c>
      <c r="H101" s="43" t="s">
        <v>84</v>
      </c>
      <c r="I101" s="1"/>
      <c r="J101" s="109"/>
      <c r="P101" s="119">
        <f>G101*0.88</f>
        <v>112354.45760000001</v>
      </c>
      <c r="Q101" s="119">
        <f>G101-P101</f>
        <v>15321.062399999995</v>
      </c>
    </row>
    <row r="102" spans="1:51" x14ac:dyDescent="0.25">
      <c r="A102" s="1"/>
      <c r="B102" s="6"/>
      <c r="C102" s="3"/>
      <c r="D102" s="12"/>
      <c r="E102" s="52"/>
      <c r="F102" s="52"/>
      <c r="G102" s="101"/>
      <c r="H102" s="43"/>
      <c r="I102" s="1"/>
      <c r="J102" s="20"/>
      <c r="P102" s="119"/>
      <c r="Q102" s="119"/>
    </row>
    <row r="103" spans="1:51" x14ac:dyDescent="0.25">
      <c r="A103" s="1" t="s">
        <v>115</v>
      </c>
      <c r="B103" s="6">
        <v>43565</v>
      </c>
      <c r="C103" s="3"/>
      <c r="D103" s="12" t="s">
        <v>116</v>
      </c>
      <c r="E103" s="52">
        <v>5520</v>
      </c>
      <c r="F103" s="52">
        <v>0</v>
      </c>
      <c r="G103" s="82">
        <f>E103+F103</f>
        <v>5520</v>
      </c>
      <c r="H103" s="43" t="s">
        <v>117</v>
      </c>
      <c r="I103" s="1"/>
      <c r="J103" s="109"/>
      <c r="N103" s="130">
        <f>G103</f>
        <v>5520</v>
      </c>
      <c r="O103" s="77"/>
      <c r="P103" s="119"/>
      <c r="Q103" s="119"/>
    </row>
    <row r="104" spans="1:51" x14ac:dyDescent="0.25">
      <c r="A104" s="1"/>
      <c r="B104" s="6"/>
      <c r="C104" s="3"/>
      <c r="D104" s="12"/>
      <c r="E104" s="52"/>
      <c r="F104" s="52"/>
      <c r="G104" s="101"/>
      <c r="H104" s="43"/>
      <c r="I104" s="1"/>
      <c r="J104" s="20"/>
      <c r="P104" s="119"/>
      <c r="Q104" s="119"/>
    </row>
    <row r="105" spans="1:51" x14ac:dyDescent="0.25">
      <c r="A105" s="1" t="s">
        <v>118</v>
      </c>
      <c r="B105" s="6">
        <v>43567</v>
      </c>
      <c r="C105" s="3"/>
      <c r="D105" s="12" t="s">
        <v>119</v>
      </c>
      <c r="E105" s="52">
        <v>1875</v>
      </c>
      <c r="F105" s="52">
        <v>0</v>
      </c>
      <c r="G105" s="102">
        <f>E105+F105</f>
        <v>1875</v>
      </c>
      <c r="H105" s="44"/>
      <c r="I105" s="40"/>
      <c r="J105" s="20"/>
      <c r="P105" s="119"/>
      <c r="Q105" s="119"/>
      <c r="AX105" s="77">
        <v>1875</v>
      </c>
      <c r="AY105" s="77"/>
    </row>
    <row r="106" spans="1:51" x14ac:dyDescent="0.25">
      <c r="A106" s="1" t="s">
        <v>140</v>
      </c>
      <c r="B106" s="6">
        <v>43567</v>
      </c>
      <c r="C106" s="3"/>
      <c r="D106" s="12" t="s">
        <v>141</v>
      </c>
      <c r="E106" s="52">
        <v>193588</v>
      </c>
      <c r="F106" s="52">
        <v>0</v>
      </c>
      <c r="G106" s="5">
        <f>E106+F106</f>
        <v>193588</v>
      </c>
      <c r="H106" s="43" t="s">
        <v>143</v>
      </c>
      <c r="I106" s="1" t="s">
        <v>142</v>
      </c>
      <c r="J106" s="20"/>
      <c r="P106" s="119"/>
      <c r="Q106" s="119"/>
      <c r="AS106" s="77">
        <f>G106</f>
        <v>193588</v>
      </c>
    </row>
    <row r="107" spans="1:51" x14ac:dyDescent="0.25">
      <c r="A107" s="1" t="s">
        <v>140</v>
      </c>
      <c r="B107" s="6">
        <v>43567</v>
      </c>
      <c r="C107" s="3"/>
      <c r="D107" s="12" t="s">
        <v>141</v>
      </c>
      <c r="E107" s="52">
        <v>97274</v>
      </c>
      <c r="F107" s="52">
        <v>0</v>
      </c>
      <c r="G107" s="5">
        <f>E107+F107</f>
        <v>97274</v>
      </c>
      <c r="H107" s="43" t="s">
        <v>144</v>
      </c>
      <c r="I107" s="1" t="s">
        <v>142</v>
      </c>
      <c r="J107" s="20"/>
      <c r="P107" s="119"/>
      <c r="Q107" s="119"/>
      <c r="AS107" s="77">
        <f>E107</f>
        <v>97274</v>
      </c>
    </row>
    <row r="108" spans="1:51" x14ac:dyDescent="0.25">
      <c r="A108" s="1"/>
      <c r="B108" s="6"/>
      <c r="C108" s="3"/>
      <c r="D108" s="12"/>
      <c r="E108" s="52"/>
      <c r="F108" s="52"/>
      <c r="G108" s="58"/>
      <c r="H108" s="43"/>
      <c r="I108" s="1"/>
      <c r="J108" s="20"/>
      <c r="P108" s="119"/>
      <c r="Q108" s="119"/>
    </row>
    <row r="109" spans="1:51" x14ac:dyDescent="0.25">
      <c r="A109" s="1" t="s">
        <v>120</v>
      </c>
      <c r="B109" s="6">
        <v>43573</v>
      </c>
      <c r="C109" s="3"/>
      <c r="D109" s="12" t="s">
        <v>116</v>
      </c>
      <c r="E109" s="52">
        <f>300+3378</f>
        <v>3678</v>
      </c>
      <c r="F109" s="52">
        <v>0</v>
      </c>
      <c r="G109" s="82">
        <f>E109+F109</f>
        <v>3678</v>
      </c>
      <c r="H109" s="43" t="s">
        <v>121</v>
      </c>
      <c r="I109" s="1"/>
      <c r="J109" s="109"/>
      <c r="N109" s="130">
        <f>G109</f>
        <v>3678</v>
      </c>
      <c r="P109" s="119"/>
      <c r="Q109" s="119"/>
    </row>
    <row r="110" spans="1:51" x14ac:dyDescent="0.25">
      <c r="A110" s="1"/>
      <c r="B110" s="6"/>
      <c r="C110" s="3"/>
      <c r="D110" s="12"/>
      <c r="E110" s="52"/>
      <c r="F110" s="52"/>
      <c r="G110" s="58"/>
      <c r="H110" s="43"/>
      <c r="I110" s="1"/>
      <c r="J110" s="20"/>
      <c r="P110" s="119"/>
      <c r="Q110" s="119"/>
    </row>
    <row r="111" spans="1:51" x14ac:dyDescent="0.25">
      <c r="A111" s="1" t="s">
        <v>125</v>
      </c>
      <c r="B111" s="6">
        <v>43580</v>
      </c>
      <c r="C111" s="3"/>
      <c r="D111" s="12" t="s">
        <v>111</v>
      </c>
      <c r="E111" s="52">
        <f>1164355.31-348899.36</f>
        <v>815455.95000000007</v>
      </c>
      <c r="F111" s="52">
        <f>-58217.77+17444.97</f>
        <v>-40772.799999999996</v>
      </c>
      <c r="G111" s="5">
        <v>774683.15</v>
      </c>
      <c r="H111" s="43" t="s">
        <v>123</v>
      </c>
      <c r="I111" s="1" t="s">
        <v>41</v>
      </c>
      <c r="J111" s="20"/>
      <c r="P111" s="119"/>
      <c r="Q111" s="119"/>
      <c r="V111" s="77">
        <f>G111</f>
        <v>774683.15</v>
      </c>
    </row>
    <row r="112" spans="1:51" x14ac:dyDescent="0.25">
      <c r="A112" s="1"/>
      <c r="B112" s="6"/>
      <c r="C112" s="3"/>
      <c r="D112" s="12"/>
      <c r="E112" s="52"/>
      <c r="F112" s="52"/>
      <c r="G112" s="58"/>
      <c r="H112" s="43"/>
      <c r="I112" s="1"/>
      <c r="J112" s="20"/>
      <c r="P112" s="119"/>
      <c r="Q112" s="119"/>
    </row>
    <row r="113" spans="1:46" x14ac:dyDescent="0.25">
      <c r="A113" s="1" t="s">
        <v>66</v>
      </c>
      <c r="B113" s="6">
        <v>43581</v>
      </c>
      <c r="C113" s="3"/>
      <c r="D113" s="12" t="s">
        <v>60</v>
      </c>
      <c r="E113" s="52">
        <v>812.5</v>
      </c>
      <c r="F113" s="52">
        <v>0</v>
      </c>
      <c r="G113" s="5">
        <f>E113+F113</f>
        <v>812.5</v>
      </c>
      <c r="H113" s="43" t="s">
        <v>8</v>
      </c>
      <c r="I113" s="1"/>
      <c r="J113" s="20"/>
      <c r="K113" s="130">
        <f>G113</f>
        <v>812.5</v>
      </c>
      <c r="L113" s="130"/>
      <c r="M113" s="77"/>
      <c r="N113" s="77"/>
      <c r="O113" s="77"/>
      <c r="P113" s="119"/>
      <c r="Q113" s="119"/>
      <c r="R113" s="77"/>
      <c r="S113" s="77"/>
      <c r="T113" s="77"/>
      <c r="U113" s="77"/>
    </row>
    <row r="114" spans="1:46" x14ac:dyDescent="0.25">
      <c r="A114" s="1" t="s">
        <v>79</v>
      </c>
      <c r="B114" s="6">
        <v>43581</v>
      </c>
      <c r="C114" s="3"/>
      <c r="D114" s="12" t="s">
        <v>74</v>
      </c>
      <c r="E114" s="52">
        <f>2798</f>
        <v>2798</v>
      </c>
      <c r="F114" s="52">
        <v>0</v>
      </c>
      <c r="G114" s="5">
        <f>E114+F114</f>
        <v>2798</v>
      </c>
      <c r="H114" s="43" t="s">
        <v>40</v>
      </c>
      <c r="I114" s="1"/>
      <c r="J114" s="20"/>
      <c r="P114" s="119"/>
      <c r="Q114" s="119"/>
      <c r="AL114" s="130">
        <f>G114</f>
        <v>2798</v>
      </c>
    </row>
    <row r="115" spans="1:46" x14ac:dyDescent="0.25">
      <c r="A115" s="1" t="s">
        <v>79</v>
      </c>
      <c r="B115" s="6">
        <v>43581</v>
      </c>
      <c r="C115" s="3"/>
      <c r="D115" s="12" t="s">
        <v>74</v>
      </c>
      <c r="E115" s="52">
        <f>525+1260</f>
        <v>1785</v>
      </c>
      <c r="F115" s="52">
        <v>0</v>
      </c>
      <c r="G115" s="5">
        <f>E115+F115</f>
        <v>1785</v>
      </c>
      <c r="H115" s="43" t="s">
        <v>40</v>
      </c>
      <c r="I115" s="1" t="s">
        <v>41</v>
      </c>
      <c r="J115" s="20"/>
      <c r="P115" s="119"/>
      <c r="Q115" s="119"/>
      <c r="AI115" s="130">
        <f>G115</f>
        <v>1785</v>
      </c>
      <c r="AJ115" s="130"/>
      <c r="AK115" s="130"/>
    </row>
    <row r="116" spans="1:46" x14ac:dyDescent="0.25">
      <c r="A116" s="1" t="s">
        <v>79</v>
      </c>
      <c r="B116" s="6">
        <v>43581</v>
      </c>
      <c r="C116" s="3"/>
      <c r="D116" s="12" t="s">
        <v>74</v>
      </c>
      <c r="E116" s="52">
        <v>4365</v>
      </c>
      <c r="F116" s="52">
        <v>0</v>
      </c>
      <c r="G116" s="5">
        <f>E116+F116</f>
        <v>4365</v>
      </c>
      <c r="H116" s="43" t="s">
        <v>40</v>
      </c>
      <c r="I116" s="1" t="s">
        <v>54</v>
      </c>
      <c r="J116" s="20"/>
      <c r="P116" s="119"/>
      <c r="Q116" s="119"/>
      <c r="AM116" s="130">
        <f>G116</f>
        <v>4365</v>
      </c>
      <c r="AN116" s="130"/>
      <c r="AO116" s="130"/>
      <c r="AP116" s="130"/>
      <c r="AQ116" s="130"/>
    </row>
    <row r="117" spans="1:46" x14ac:dyDescent="0.25">
      <c r="A117" s="1" t="s">
        <v>89</v>
      </c>
      <c r="B117" s="6">
        <v>43581</v>
      </c>
      <c r="C117" s="3"/>
      <c r="D117" s="12" t="s">
        <v>83</v>
      </c>
      <c r="E117" s="52">
        <f>76239.19+226.2</f>
        <v>76465.39</v>
      </c>
      <c r="F117" s="52">
        <v>0</v>
      </c>
      <c r="G117" s="82">
        <f>E117+F117</f>
        <v>76465.39</v>
      </c>
      <c r="H117" s="83" t="s">
        <v>84</v>
      </c>
      <c r="I117" s="1"/>
      <c r="J117" s="109"/>
      <c r="P117" s="119">
        <f>G117*0.88</f>
        <v>67289.5432</v>
      </c>
      <c r="Q117" s="119">
        <f>G117-P117</f>
        <v>9175.8467999999993</v>
      </c>
    </row>
    <row r="118" spans="1:46" x14ac:dyDescent="0.25">
      <c r="A118" s="1"/>
      <c r="B118" s="6"/>
      <c r="C118" s="3"/>
      <c r="D118" s="12"/>
      <c r="E118" s="52"/>
      <c r="F118" s="52"/>
      <c r="G118" s="58"/>
      <c r="H118" s="43"/>
      <c r="I118" s="1"/>
      <c r="J118" s="20"/>
      <c r="P118" s="119"/>
      <c r="Q118" s="119"/>
    </row>
    <row r="119" spans="1:46" x14ac:dyDescent="0.25">
      <c r="A119" s="1" t="s">
        <v>90</v>
      </c>
      <c r="B119" s="6">
        <v>43588</v>
      </c>
      <c r="C119" s="3"/>
      <c r="D119" s="12" t="s">
        <v>83</v>
      </c>
      <c r="E119" s="52">
        <f>76239.19+786.06</f>
        <v>77025.25</v>
      </c>
      <c r="F119" s="52">
        <v>0</v>
      </c>
      <c r="G119" s="82">
        <f>E119+F119</f>
        <v>77025.25</v>
      </c>
      <c r="H119" s="83" t="s">
        <v>84</v>
      </c>
      <c r="I119" s="1"/>
      <c r="J119" s="109"/>
      <c r="P119" s="119">
        <f>G119*0.88</f>
        <v>67782.22</v>
      </c>
      <c r="Q119" s="119">
        <f>G119-P119</f>
        <v>9243.0299999999988</v>
      </c>
    </row>
    <row r="120" spans="1:46" x14ac:dyDescent="0.25">
      <c r="A120" s="1" t="s">
        <v>105</v>
      </c>
      <c r="B120" s="6">
        <v>43588</v>
      </c>
      <c r="C120" s="3"/>
      <c r="D120" s="12" t="s">
        <v>100</v>
      </c>
      <c r="E120" s="52">
        <f>390+390</f>
        <v>780</v>
      </c>
      <c r="F120" s="52">
        <v>0</v>
      </c>
      <c r="G120" s="5">
        <f>E120+F120</f>
        <v>780</v>
      </c>
      <c r="H120" s="43" t="s">
        <v>103</v>
      </c>
      <c r="I120" s="1"/>
      <c r="J120" s="20"/>
      <c r="K120" s="77"/>
      <c r="L120" s="77"/>
      <c r="M120" s="77">
        <v>780</v>
      </c>
      <c r="N120" s="77"/>
      <c r="O120" s="77"/>
      <c r="P120" s="119"/>
      <c r="Q120" s="119"/>
      <c r="R120" s="77"/>
      <c r="S120" s="77"/>
      <c r="T120" s="77"/>
      <c r="U120" s="77"/>
    </row>
    <row r="121" spans="1:46" x14ac:dyDescent="0.25">
      <c r="A121" s="1" t="s">
        <v>147</v>
      </c>
      <c r="B121" s="6">
        <v>43588</v>
      </c>
      <c r="C121" s="3"/>
      <c r="D121" s="12" t="s">
        <v>148</v>
      </c>
      <c r="E121" s="52">
        <f>56482.32+162326.22</f>
        <v>218808.54</v>
      </c>
      <c r="F121" s="52">
        <v>0</v>
      </c>
      <c r="G121" s="5">
        <f>E121+F121</f>
        <v>218808.54</v>
      </c>
      <c r="H121" s="43" t="s">
        <v>149</v>
      </c>
      <c r="I121" s="1"/>
      <c r="J121" s="20"/>
      <c r="P121" s="119"/>
      <c r="Q121" s="119"/>
      <c r="AT121" s="77">
        <f>G121</f>
        <v>218808.54</v>
      </c>
    </row>
    <row r="122" spans="1:46" x14ac:dyDescent="0.25">
      <c r="A122" s="1"/>
      <c r="B122" s="6"/>
      <c r="C122" s="3"/>
      <c r="D122" s="12"/>
      <c r="E122" s="52"/>
      <c r="F122" s="52"/>
      <c r="G122" s="58"/>
      <c r="H122" s="43"/>
      <c r="I122" s="1"/>
      <c r="J122" s="20"/>
      <c r="P122" s="119"/>
      <c r="Q122" s="119"/>
    </row>
    <row r="123" spans="1:46" x14ac:dyDescent="0.25">
      <c r="A123" s="1" t="s">
        <v>106</v>
      </c>
      <c r="B123" s="6">
        <v>43602</v>
      </c>
      <c r="C123" s="3"/>
      <c r="D123" s="12" t="s">
        <v>100</v>
      </c>
      <c r="E123" s="52">
        <f>520</f>
        <v>520</v>
      </c>
      <c r="F123" s="52">
        <v>0</v>
      </c>
      <c r="G123" s="5">
        <f>E123+F123</f>
        <v>520</v>
      </c>
      <c r="H123" s="43" t="s">
        <v>103</v>
      </c>
      <c r="I123" s="1"/>
      <c r="J123" s="20"/>
      <c r="K123" s="77"/>
      <c r="L123" s="77"/>
      <c r="M123" s="77">
        <v>520</v>
      </c>
      <c r="N123" s="77"/>
      <c r="O123" s="77"/>
      <c r="P123" s="119"/>
      <c r="Q123" s="119"/>
      <c r="R123" s="77"/>
      <c r="S123" s="77"/>
      <c r="T123" s="77"/>
      <c r="U123" s="77"/>
    </row>
    <row r="124" spans="1:46" x14ac:dyDescent="0.25">
      <c r="A124" s="1"/>
      <c r="B124" s="6"/>
      <c r="C124" s="3"/>
      <c r="D124" s="12"/>
      <c r="E124" s="52"/>
      <c r="F124" s="52"/>
      <c r="G124" s="58"/>
      <c r="H124" s="43"/>
      <c r="I124" s="1"/>
      <c r="J124" s="20"/>
      <c r="P124" s="119"/>
      <c r="Q124" s="119"/>
    </row>
    <row r="125" spans="1:46" x14ac:dyDescent="0.25">
      <c r="A125" s="1" t="s">
        <v>67</v>
      </c>
      <c r="B125" s="6">
        <v>43609</v>
      </c>
      <c r="C125" s="3"/>
      <c r="D125" s="12" t="s">
        <v>60</v>
      </c>
      <c r="E125" s="52">
        <f>81.25</f>
        <v>81.25</v>
      </c>
      <c r="F125" s="52">
        <v>0</v>
      </c>
      <c r="G125" s="5">
        <f>E125+F125</f>
        <v>81.25</v>
      </c>
      <c r="H125" s="43" t="s">
        <v>8</v>
      </c>
      <c r="I125" s="1"/>
      <c r="J125" s="20"/>
      <c r="K125" s="130">
        <v>81.25</v>
      </c>
      <c r="L125" s="130"/>
      <c r="M125" s="77"/>
      <c r="N125" s="77"/>
      <c r="O125" s="77"/>
      <c r="P125" s="119"/>
      <c r="Q125" s="119"/>
      <c r="R125" s="77"/>
      <c r="S125" s="77"/>
      <c r="T125" s="77"/>
      <c r="U125" s="77"/>
    </row>
    <row r="126" spans="1:46" x14ac:dyDescent="0.25">
      <c r="A126" s="1" t="s">
        <v>95</v>
      </c>
      <c r="B126" s="6">
        <v>43609</v>
      </c>
      <c r="C126" s="3"/>
      <c r="D126" s="12" t="s">
        <v>74</v>
      </c>
      <c r="E126" s="52">
        <v>2520</v>
      </c>
      <c r="F126" s="52">
        <v>0</v>
      </c>
      <c r="G126" s="5">
        <f>E126+F126</f>
        <v>2520</v>
      </c>
      <c r="H126" s="43" t="s">
        <v>40</v>
      </c>
      <c r="I126" s="1" t="s">
        <v>41</v>
      </c>
      <c r="J126" s="20"/>
      <c r="P126" s="119"/>
      <c r="Q126" s="119"/>
      <c r="AI126" s="77"/>
      <c r="AJ126" s="77"/>
      <c r="AK126" s="77"/>
      <c r="AL126" s="131">
        <v>2520</v>
      </c>
    </row>
    <row r="127" spans="1:46" x14ac:dyDescent="0.25">
      <c r="A127" s="1" t="s">
        <v>124</v>
      </c>
      <c r="B127" s="6">
        <v>43609</v>
      </c>
      <c r="C127" s="3"/>
      <c r="D127" s="12" t="s">
        <v>111</v>
      </c>
      <c r="E127" s="52">
        <f>1898584.59-1164355.31</f>
        <v>734229.28</v>
      </c>
      <c r="F127" s="52">
        <f>-94929.23+58217.77</f>
        <v>-36711.46</v>
      </c>
      <c r="G127" s="5">
        <f>E127+F127</f>
        <v>697517.82000000007</v>
      </c>
      <c r="H127" s="43" t="s">
        <v>126</v>
      </c>
      <c r="I127" s="1" t="s">
        <v>41</v>
      </c>
      <c r="J127" s="20"/>
      <c r="P127" s="119"/>
      <c r="Q127" s="119"/>
      <c r="V127" s="77">
        <f>G127</f>
        <v>697517.82000000007</v>
      </c>
    </row>
    <row r="128" spans="1:46" x14ac:dyDescent="0.25">
      <c r="A128" s="1"/>
      <c r="B128" s="6"/>
      <c r="C128" s="3"/>
      <c r="D128" s="12"/>
      <c r="E128" s="52"/>
      <c r="F128" s="52"/>
      <c r="G128" s="58"/>
      <c r="H128" s="43"/>
      <c r="I128" s="1"/>
      <c r="J128" s="20"/>
      <c r="P128" s="119"/>
      <c r="Q128" s="119"/>
    </row>
    <row r="129" spans="1:43" x14ac:dyDescent="0.25">
      <c r="A129" s="1" t="s">
        <v>80</v>
      </c>
      <c r="B129" s="6">
        <v>43621</v>
      </c>
      <c r="C129" s="3"/>
      <c r="D129" s="12" t="s">
        <v>72</v>
      </c>
      <c r="E129" s="52">
        <f>18787.5+16645+1669.95+2400+6547+16030+1100+94.9</f>
        <v>63274.35</v>
      </c>
      <c r="F129" s="52">
        <v>0</v>
      </c>
      <c r="G129" s="5">
        <f>E129+F129</f>
        <v>63274.35</v>
      </c>
      <c r="H129" s="43" t="s">
        <v>43</v>
      </c>
      <c r="I129" s="1"/>
      <c r="J129" s="20"/>
      <c r="P129" s="119"/>
      <c r="Q129" s="119"/>
      <c r="Y129" s="77">
        <f>G129</f>
        <v>63274.35</v>
      </c>
    </row>
    <row r="130" spans="1:43" x14ac:dyDescent="0.25">
      <c r="A130" s="1" t="s">
        <v>80</v>
      </c>
      <c r="B130" s="6">
        <v>43621</v>
      </c>
      <c r="C130" s="3"/>
      <c r="D130" s="12" t="s">
        <v>72</v>
      </c>
      <c r="E130" s="52">
        <f>59300+14825</f>
        <v>74125</v>
      </c>
      <c r="F130" s="52">
        <v>0</v>
      </c>
      <c r="G130" s="5">
        <f>E130+F130</f>
        <v>74125</v>
      </c>
      <c r="H130" s="43" t="s">
        <v>43</v>
      </c>
      <c r="I130" s="1" t="s">
        <v>54</v>
      </c>
      <c r="J130" s="20"/>
      <c r="P130" s="119"/>
      <c r="Q130" s="119"/>
      <c r="Z130" s="77">
        <f>G130</f>
        <v>74125</v>
      </c>
      <c r="AA130" s="77"/>
      <c r="AB130" s="77"/>
      <c r="AC130" s="77"/>
      <c r="AD130" s="77"/>
    </row>
    <row r="131" spans="1:43" x14ac:dyDescent="0.25">
      <c r="A131" s="1" t="s">
        <v>80</v>
      </c>
      <c r="B131" s="6">
        <v>43621</v>
      </c>
      <c r="C131" s="3"/>
      <c r="D131" s="12" t="s">
        <v>72</v>
      </c>
      <c r="E131" s="52">
        <f>25128+69800</f>
        <v>94928</v>
      </c>
      <c r="F131" s="52">
        <v>0</v>
      </c>
      <c r="G131" s="5">
        <f>E131+F131</f>
        <v>94928</v>
      </c>
      <c r="H131" s="43" t="s">
        <v>43</v>
      </c>
      <c r="I131" s="1" t="s">
        <v>41</v>
      </c>
      <c r="J131" s="20"/>
      <c r="P131" s="119"/>
      <c r="Q131" s="119"/>
      <c r="X131" s="77">
        <f>G131</f>
        <v>94928</v>
      </c>
    </row>
    <row r="132" spans="1:43" x14ac:dyDescent="0.25">
      <c r="A132" s="1"/>
      <c r="B132" s="6"/>
      <c r="C132" s="3"/>
      <c r="D132" s="12"/>
      <c r="E132" s="52"/>
      <c r="F132" s="52"/>
      <c r="G132" s="58"/>
      <c r="H132" s="43"/>
      <c r="I132" s="1"/>
      <c r="J132" s="20"/>
      <c r="P132" s="119"/>
      <c r="Q132" s="119"/>
    </row>
    <row r="133" spans="1:43" x14ac:dyDescent="0.25">
      <c r="A133" s="1" t="s">
        <v>91</v>
      </c>
      <c r="B133" s="6">
        <v>43629</v>
      </c>
      <c r="C133" s="3"/>
      <c r="D133" s="12" t="s">
        <v>83</v>
      </c>
      <c r="E133" s="52">
        <f>76239.19+539.66</f>
        <v>76778.850000000006</v>
      </c>
      <c r="F133" s="52">
        <v>0</v>
      </c>
      <c r="G133" s="82">
        <f>E133+F133</f>
        <v>76778.850000000006</v>
      </c>
      <c r="H133" s="83" t="s">
        <v>84</v>
      </c>
      <c r="I133" s="1"/>
      <c r="J133" s="109"/>
      <c r="P133" s="119">
        <f>G133*0.88</f>
        <v>67565.388000000006</v>
      </c>
      <c r="Q133" s="119">
        <f>G133-P133</f>
        <v>9213.4619999999995</v>
      </c>
    </row>
    <row r="134" spans="1:43" x14ac:dyDescent="0.25">
      <c r="A134" s="1"/>
      <c r="B134" s="6"/>
      <c r="C134" s="3"/>
      <c r="D134" s="12"/>
      <c r="E134" s="52"/>
      <c r="F134" s="52"/>
      <c r="G134" s="58"/>
      <c r="H134" s="43"/>
      <c r="I134" s="1"/>
      <c r="J134" s="20"/>
      <c r="P134" s="119"/>
      <c r="Q134" s="119"/>
    </row>
    <row r="135" spans="1:43" x14ac:dyDescent="0.25">
      <c r="A135" s="1" t="s">
        <v>81</v>
      </c>
      <c r="B135" s="6">
        <v>43636</v>
      </c>
      <c r="C135" s="3"/>
      <c r="D135" s="12" t="s">
        <v>74</v>
      </c>
      <c r="E135" s="52">
        <f>12591</f>
        <v>12591</v>
      </c>
      <c r="F135" s="52">
        <v>0</v>
      </c>
      <c r="G135" s="5">
        <f>E135+F135</f>
        <v>12591</v>
      </c>
      <c r="H135" s="43" t="s">
        <v>40</v>
      </c>
      <c r="I135" s="1"/>
      <c r="J135" s="20"/>
      <c r="P135" s="119"/>
      <c r="Q135" s="119"/>
      <c r="AG135" s="77"/>
      <c r="AL135" s="130">
        <f>G135</f>
        <v>12591</v>
      </c>
    </row>
    <row r="136" spans="1:43" x14ac:dyDescent="0.25">
      <c r="A136" s="1" t="s">
        <v>81</v>
      </c>
      <c r="B136" s="6">
        <v>43636</v>
      </c>
      <c r="C136" s="3"/>
      <c r="D136" s="12" t="s">
        <v>74</v>
      </c>
      <c r="E136" s="52">
        <v>2910</v>
      </c>
      <c r="F136" s="52">
        <v>0</v>
      </c>
      <c r="G136" s="5">
        <f>E136+F136</f>
        <v>2910</v>
      </c>
      <c r="H136" s="43" t="s">
        <v>40</v>
      </c>
      <c r="I136" s="1" t="s">
        <v>54</v>
      </c>
      <c r="J136" s="20"/>
      <c r="P136" s="119"/>
      <c r="Q136" s="119"/>
      <c r="AM136" s="130">
        <f>G136</f>
        <v>2910</v>
      </c>
      <c r="AN136" s="130"/>
      <c r="AO136" s="130"/>
      <c r="AP136" s="130"/>
      <c r="AQ136" s="130"/>
    </row>
    <row r="137" spans="1:43" x14ac:dyDescent="0.25">
      <c r="A137" s="1" t="s">
        <v>81</v>
      </c>
      <c r="B137" s="6">
        <v>43636</v>
      </c>
      <c r="C137" s="3"/>
      <c r="D137" s="12" t="s">
        <v>74</v>
      </c>
      <c r="E137" s="52">
        <v>2520</v>
      </c>
      <c r="F137" s="52">
        <v>0</v>
      </c>
      <c r="G137" s="5">
        <f>E137+F137</f>
        <v>2520</v>
      </c>
      <c r="H137" s="43" t="s">
        <v>40</v>
      </c>
      <c r="I137" s="1" t="s">
        <v>41</v>
      </c>
      <c r="J137" s="20"/>
      <c r="P137" s="119"/>
      <c r="Q137" s="119"/>
      <c r="AI137" s="130">
        <f>G137</f>
        <v>2520</v>
      </c>
      <c r="AJ137" s="130"/>
      <c r="AK137" s="130"/>
    </row>
    <row r="138" spans="1:43" x14ac:dyDescent="0.25">
      <c r="A138" s="1"/>
      <c r="B138" s="6"/>
      <c r="C138" s="3"/>
      <c r="D138" s="12"/>
      <c r="E138" s="52"/>
      <c r="F138" s="52"/>
      <c r="G138" s="58"/>
      <c r="H138" s="43"/>
      <c r="I138" s="1"/>
      <c r="J138" s="20"/>
      <c r="P138" s="119"/>
      <c r="Q138" s="119"/>
    </row>
    <row r="139" spans="1:43" x14ac:dyDescent="0.25">
      <c r="A139" s="1" t="s">
        <v>127</v>
      </c>
      <c r="B139" s="6">
        <v>43641</v>
      </c>
      <c r="C139" s="3"/>
      <c r="D139" s="12" t="s">
        <v>111</v>
      </c>
      <c r="E139" s="52">
        <f>3206352.55-1898584.59</f>
        <v>1307767.9599999997</v>
      </c>
      <c r="F139" s="52">
        <f>-160317.63+94929.23</f>
        <v>-65388.400000000009</v>
      </c>
      <c r="G139" s="5">
        <f>E139+F139</f>
        <v>1242379.5599999998</v>
      </c>
      <c r="H139" s="43" t="s">
        <v>128</v>
      </c>
      <c r="I139" s="1" t="s">
        <v>41</v>
      </c>
      <c r="J139" s="20"/>
      <c r="P139" s="119"/>
      <c r="Q139" s="119"/>
      <c r="V139" s="77">
        <f>G139</f>
        <v>1242379.5599999998</v>
      </c>
    </row>
    <row r="140" spans="1:43" x14ac:dyDescent="0.25">
      <c r="A140" s="1" t="s">
        <v>130</v>
      </c>
      <c r="B140" s="6">
        <v>43641</v>
      </c>
      <c r="C140" s="3"/>
      <c r="D140" s="12" t="s">
        <v>111</v>
      </c>
      <c r="E140" s="52">
        <v>449317</v>
      </c>
      <c r="F140" s="52">
        <v>-22465.85</v>
      </c>
      <c r="G140" s="5">
        <f>E140+F140</f>
        <v>426851.15</v>
      </c>
      <c r="H140" s="43" t="s">
        <v>122</v>
      </c>
      <c r="I140" s="1" t="s">
        <v>54</v>
      </c>
      <c r="J140" s="20"/>
      <c r="P140" s="119"/>
      <c r="Q140" s="119"/>
      <c r="W140" s="77">
        <f>G140</f>
        <v>426851.15</v>
      </c>
    </row>
    <row r="141" spans="1:43" x14ac:dyDescent="0.25">
      <c r="A141" s="1"/>
      <c r="B141" s="6"/>
      <c r="C141" s="3"/>
      <c r="D141" s="12"/>
      <c r="E141" s="52"/>
      <c r="F141" s="52"/>
      <c r="G141" s="58"/>
      <c r="H141" s="43"/>
      <c r="I141" s="1"/>
      <c r="J141" s="20"/>
      <c r="P141" s="119"/>
      <c r="Q141" s="119"/>
    </row>
    <row r="142" spans="1:43" x14ac:dyDescent="0.25">
      <c r="A142" s="1" t="s">
        <v>131</v>
      </c>
      <c r="B142" s="6">
        <v>43642</v>
      </c>
      <c r="C142" s="3"/>
      <c r="D142" s="12" t="s">
        <v>132</v>
      </c>
      <c r="E142" s="52">
        <v>2294.5700000000002</v>
      </c>
      <c r="F142" s="52">
        <v>0</v>
      </c>
      <c r="G142" s="5">
        <f>E142+F142</f>
        <v>2294.5700000000002</v>
      </c>
      <c r="H142" s="43" t="s">
        <v>114</v>
      </c>
      <c r="I142" s="1" t="s">
        <v>54</v>
      </c>
      <c r="J142" s="20"/>
      <c r="K142" s="77"/>
      <c r="L142" s="77"/>
      <c r="M142" s="77"/>
      <c r="N142" s="77"/>
      <c r="O142" s="130">
        <f>G142</f>
        <v>2294.5700000000002</v>
      </c>
      <c r="P142" s="119"/>
      <c r="Q142" s="119"/>
      <c r="R142" s="77"/>
      <c r="S142" s="77"/>
      <c r="T142" s="77"/>
      <c r="U142" s="77"/>
    </row>
    <row r="143" spans="1:43" x14ac:dyDescent="0.25">
      <c r="A143" s="1"/>
      <c r="B143" s="6"/>
      <c r="C143" s="3"/>
      <c r="D143" s="12"/>
      <c r="E143" s="52"/>
      <c r="F143" s="52"/>
      <c r="G143" s="58"/>
      <c r="H143" s="43"/>
      <c r="I143" s="1"/>
      <c r="J143" s="20"/>
      <c r="P143" s="119"/>
      <c r="Q143" s="119"/>
    </row>
    <row r="144" spans="1:43" x14ac:dyDescent="0.25">
      <c r="A144" s="1" t="s">
        <v>68</v>
      </c>
      <c r="B144" s="6">
        <v>43658</v>
      </c>
      <c r="C144" s="3"/>
      <c r="D144" s="12" t="s">
        <v>60</v>
      </c>
      <c r="E144" s="52">
        <f>568.75</f>
        <v>568.75</v>
      </c>
      <c r="F144" s="52">
        <v>0</v>
      </c>
      <c r="G144" s="5">
        <f>E144+F144</f>
        <v>568.75</v>
      </c>
      <c r="H144" s="43" t="s">
        <v>8</v>
      </c>
      <c r="I144" s="1"/>
      <c r="J144" s="20"/>
      <c r="K144" s="130">
        <f>G144</f>
        <v>568.75</v>
      </c>
      <c r="L144" s="130"/>
      <c r="M144" s="77"/>
      <c r="N144" s="77"/>
      <c r="O144" s="77"/>
      <c r="P144" s="119"/>
      <c r="Q144" s="119"/>
      <c r="R144" s="77"/>
      <c r="S144" s="77"/>
      <c r="T144" s="77"/>
      <c r="U144" s="77"/>
    </row>
    <row r="145" spans="1:49" x14ac:dyDescent="0.25">
      <c r="A145" s="1" t="s">
        <v>92</v>
      </c>
      <c r="B145" s="6">
        <v>43658</v>
      </c>
      <c r="C145" s="3"/>
      <c r="D145" s="12" t="s">
        <v>83</v>
      </c>
      <c r="E145" s="52">
        <f>76239.19+405.24</f>
        <v>76644.430000000008</v>
      </c>
      <c r="F145" s="52">
        <v>0</v>
      </c>
      <c r="G145" s="82">
        <f>E145+F145</f>
        <v>76644.430000000008</v>
      </c>
      <c r="H145" s="83" t="s">
        <v>84</v>
      </c>
      <c r="I145" s="1"/>
      <c r="J145" s="109"/>
      <c r="P145" s="119">
        <f>G145*0.88</f>
        <v>67447.098400000003</v>
      </c>
      <c r="Q145" s="119">
        <f>G145-P145</f>
        <v>9197.331600000005</v>
      </c>
    </row>
    <row r="146" spans="1:49" x14ac:dyDescent="0.25">
      <c r="A146" s="1" t="s">
        <v>150</v>
      </c>
      <c r="B146" s="6">
        <v>43658</v>
      </c>
      <c r="C146" s="3"/>
      <c r="D146" s="12" t="s">
        <v>148</v>
      </c>
      <c r="E146" s="52">
        <f>74218.16+142100.67</f>
        <v>216318.83000000002</v>
      </c>
      <c r="F146" s="52">
        <v>0</v>
      </c>
      <c r="G146" s="5">
        <f>E146+F146</f>
        <v>216318.83000000002</v>
      </c>
      <c r="H146" s="43" t="s">
        <v>149</v>
      </c>
      <c r="I146" s="1"/>
      <c r="J146" s="20"/>
      <c r="P146" s="119"/>
      <c r="Q146" s="119"/>
      <c r="AT146" s="77">
        <f>G146</f>
        <v>216318.83000000002</v>
      </c>
    </row>
    <row r="147" spans="1:49" x14ac:dyDescent="0.25">
      <c r="A147" s="1"/>
      <c r="B147" s="6"/>
      <c r="C147" s="3"/>
      <c r="D147" s="12"/>
      <c r="E147" s="52"/>
      <c r="F147" s="52"/>
      <c r="G147" s="58"/>
      <c r="H147" s="43"/>
      <c r="I147" s="1"/>
      <c r="J147" s="20"/>
      <c r="P147" s="119"/>
      <c r="Q147" s="119"/>
    </row>
    <row r="148" spans="1:49" x14ac:dyDescent="0.25">
      <c r="A148" s="1" t="s">
        <v>107</v>
      </c>
      <c r="B148" s="6">
        <v>43664</v>
      </c>
      <c r="C148" s="3"/>
      <c r="D148" s="12" t="s">
        <v>100</v>
      </c>
      <c r="E148" s="52">
        <f>325+325</f>
        <v>650</v>
      </c>
      <c r="F148" s="52">
        <v>0</v>
      </c>
      <c r="G148" s="5">
        <f>E148+F148</f>
        <v>650</v>
      </c>
      <c r="H148" s="43"/>
      <c r="I148" s="1"/>
      <c r="J148" s="20"/>
      <c r="K148" s="77"/>
      <c r="L148" s="77"/>
      <c r="M148" s="77">
        <v>650</v>
      </c>
      <c r="N148" s="77"/>
      <c r="O148" s="77"/>
      <c r="P148" s="119"/>
      <c r="Q148" s="119"/>
      <c r="R148" s="77"/>
      <c r="S148" s="77"/>
      <c r="T148" s="77"/>
      <c r="U148" s="77"/>
    </row>
    <row r="149" spans="1:49" x14ac:dyDescent="0.25">
      <c r="A149" s="1"/>
      <c r="B149" s="6"/>
      <c r="C149" s="3"/>
      <c r="D149" s="12"/>
      <c r="E149" s="52"/>
      <c r="F149" s="52"/>
      <c r="G149" s="58"/>
      <c r="H149" s="43"/>
      <c r="I149" s="1"/>
      <c r="J149" s="20"/>
      <c r="P149" s="119"/>
      <c r="Q149" s="119"/>
    </row>
    <row r="150" spans="1:49" x14ac:dyDescent="0.25">
      <c r="A150" s="1" t="s">
        <v>129</v>
      </c>
      <c r="B150" s="6">
        <v>43671</v>
      </c>
      <c r="C150" s="3"/>
      <c r="D150" s="12" t="s">
        <v>116</v>
      </c>
      <c r="E150" s="52">
        <v>2230.56</v>
      </c>
      <c r="F150" s="52">
        <v>0</v>
      </c>
      <c r="G150" s="5">
        <f>E150+F150</f>
        <v>2230.56</v>
      </c>
      <c r="H150" s="43" t="s">
        <v>121</v>
      </c>
      <c r="I150" s="1" t="s">
        <v>41</v>
      </c>
      <c r="J150" s="20"/>
      <c r="P150" s="119"/>
      <c r="Q150" s="119"/>
      <c r="AU150" s="77">
        <f>G150</f>
        <v>2230.56</v>
      </c>
    </row>
    <row r="151" spans="1:49" x14ac:dyDescent="0.25">
      <c r="A151" s="1" t="s">
        <v>133</v>
      </c>
      <c r="B151" s="6">
        <v>43671</v>
      </c>
      <c r="C151" s="3"/>
      <c r="D151" s="12" t="s">
        <v>116</v>
      </c>
      <c r="E151" s="52">
        <v>2612.31</v>
      </c>
      <c r="F151" s="52">
        <v>0</v>
      </c>
      <c r="G151" s="5">
        <f>E151+F151</f>
        <v>2612.31</v>
      </c>
      <c r="H151" s="43" t="s">
        <v>121</v>
      </c>
      <c r="I151" s="1" t="s">
        <v>134</v>
      </c>
      <c r="J151" s="20"/>
      <c r="P151" s="119"/>
      <c r="Q151" s="119"/>
      <c r="AW151" s="77">
        <f>G151</f>
        <v>2612.31</v>
      </c>
    </row>
    <row r="152" spans="1:49" x14ac:dyDescent="0.25">
      <c r="A152" s="1" t="s">
        <v>135</v>
      </c>
      <c r="B152" s="6">
        <v>43671</v>
      </c>
      <c r="C152" s="3"/>
      <c r="D152" s="12" t="s">
        <v>116</v>
      </c>
      <c r="E152" s="52">
        <v>3878</v>
      </c>
      <c r="F152" s="52">
        <v>0</v>
      </c>
      <c r="G152" s="5">
        <f>E152+F152</f>
        <v>3878</v>
      </c>
      <c r="H152" s="43" t="s">
        <v>121</v>
      </c>
      <c r="I152" s="1" t="s">
        <v>134</v>
      </c>
      <c r="J152" s="20"/>
      <c r="P152" s="119"/>
      <c r="Q152" s="119"/>
      <c r="AW152" s="77">
        <f>G152</f>
        <v>3878</v>
      </c>
    </row>
    <row r="153" spans="1:49" x14ac:dyDescent="0.25">
      <c r="A153" s="1" t="s">
        <v>136</v>
      </c>
      <c r="B153" s="6">
        <v>43671</v>
      </c>
      <c r="C153" s="3"/>
      <c r="D153" s="12" t="s">
        <v>116</v>
      </c>
      <c r="E153" s="52">
        <v>8274</v>
      </c>
      <c r="F153" s="52">
        <v>0</v>
      </c>
      <c r="G153" s="5">
        <f>E153+F153</f>
        <v>8274</v>
      </c>
      <c r="H153" s="43" t="s">
        <v>121</v>
      </c>
      <c r="I153" s="1" t="s">
        <v>134</v>
      </c>
      <c r="J153" s="20"/>
      <c r="P153" s="119"/>
      <c r="Q153" s="119"/>
      <c r="AW153" s="77">
        <f>G153</f>
        <v>8274</v>
      </c>
    </row>
    <row r="154" spans="1:49" x14ac:dyDescent="0.25">
      <c r="A154" s="1"/>
      <c r="B154" s="6"/>
      <c r="C154" s="3"/>
      <c r="D154" s="12"/>
      <c r="E154" s="52"/>
      <c r="F154" s="52"/>
      <c r="G154" s="58"/>
      <c r="H154" s="43"/>
      <c r="I154" s="1"/>
      <c r="J154" s="20"/>
      <c r="P154" s="119"/>
      <c r="Q154" s="119"/>
    </row>
    <row r="155" spans="1:49" x14ac:dyDescent="0.25">
      <c r="A155" s="1" t="s">
        <v>244</v>
      </c>
      <c r="B155" s="6">
        <v>43686</v>
      </c>
      <c r="C155" s="3"/>
      <c r="D155" s="12" t="s">
        <v>60</v>
      </c>
      <c r="E155" s="52">
        <v>3511.73</v>
      </c>
      <c r="F155" s="52">
        <v>0</v>
      </c>
      <c r="G155" s="5">
        <f>E155+F155</f>
        <v>3511.73</v>
      </c>
      <c r="H155" s="43" t="s">
        <v>8</v>
      </c>
      <c r="I155" s="1"/>
      <c r="J155" s="20"/>
      <c r="K155" s="77">
        <f>G155</f>
        <v>3511.73</v>
      </c>
      <c r="L155" s="77"/>
      <c r="P155" s="119"/>
      <c r="Q155" s="119"/>
    </row>
    <row r="156" spans="1:49" x14ac:dyDescent="0.25">
      <c r="A156" s="1"/>
      <c r="B156" s="6"/>
      <c r="C156" s="3"/>
      <c r="D156" s="12"/>
      <c r="E156" s="52"/>
      <c r="F156" s="52"/>
      <c r="G156" s="58"/>
      <c r="H156" s="43"/>
      <c r="I156" s="1"/>
      <c r="J156" s="20"/>
      <c r="P156" s="119"/>
      <c r="Q156" s="119"/>
    </row>
    <row r="157" spans="1:49" x14ac:dyDescent="0.25">
      <c r="A157" s="1" t="s">
        <v>245</v>
      </c>
      <c r="B157" s="6">
        <v>43690</v>
      </c>
      <c r="C157" s="3"/>
      <c r="D157" s="12" t="s">
        <v>111</v>
      </c>
      <c r="E157" s="52">
        <v>1841798.16</v>
      </c>
      <c r="F157" s="52">
        <v>-92089.91</v>
      </c>
      <c r="G157" s="5">
        <f>E157+F157</f>
        <v>1749708.25</v>
      </c>
      <c r="H157" s="43" t="s">
        <v>246</v>
      </c>
      <c r="I157" s="1" t="s">
        <v>41</v>
      </c>
      <c r="J157" s="20"/>
      <c r="P157" s="119"/>
      <c r="Q157" s="119"/>
      <c r="V157" s="77">
        <f>G157</f>
        <v>1749708.25</v>
      </c>
    </row>
    <row r="158" spans="1:49" x14ac:dyDescent="0.25">
      <c r="A158" s="1"/>
      <c r="B158" s="6"/>
      <c r="C158" s="3"/>
      <c r="D158" s="12"/>
      <c r="E158" s="52"/>
      <c r="F158" s="52"/>
      <c r="G158" s="58"/>
      <c r="H158" s="43"/>
      <c r="I158" s="1"/>
      <c r="J158" s="20"/>
      <c r="P158" s="119"/>
      <c r="Q158" s="119"/>
      <c r="W158" s="77"/>
    </row>
    <row r="159" spans="1:49" x14ac:dyDescent="0.25">
      <c r="A159" s="1" t="s">
        <v>247</v>
      </c>
      <c r="B159" s="6">
        <v>43691</v>
      </c>
      <c r="C159" s="3"/>
      <c r="D159" s="12" t="s">
        <v>111</v>
      </c>
      <c r="E159" s="52">
        <v>466423</v>
      </c>
      <c r="F159" s="52">
        <v>-23321.15</v>
      </c>
      <c r="G159" s="5">
        <f>E159+F159</f>
        <v>443101.85</v>
      </c>
      <c r="H159" s="43" t="s">
        <v>123</v>
      </c>
      <c r="I159" s="1" t="s">
        <v>54</v>
      </c>
      <c r="J159" s="20"/>
      <c r="P159" s="119"/>
      <c r="Q159" s="119"/>
      <c r="W159" s="77">
        <f>G159</f>
        <v>443101.85</v>
      </c>
    </row>
    <row r="160" spans="1:49" x14ac:dyDescent="0.25">
      <c r="A160" s="1"/>
      <c r="B160" s="6"/>
      <c r="C160" s="3"/>
      <c r="D160" s="12"/>
      <c r="E160" s="52"/>
      <c r="F160" s="52"/>
      <c r="G160" s="58"/>
      <c r="H160" s="43"/>
      <c r="I160" s="1"/>
      <c r="J160" s="20"/>
      <c r="P160" s="119"/>
      <c r="Q160" s="119"/>
    </row>
    <row r="161" spans="1:47" x14ac:dyDescent="0.25">
      <c r="A161" s="1" t="s">
        <v>248</v>
      </c>
      <c r="B161" s="6">
        <v>43700</v>
      </c>
      <c r="C161" s="3"/>
      <c r="D161" s="12" t="s">
        <v>249</v>
      </c>
      <c r="E161" s="52">
        <v>60293.17</v>
      </c>
      <c r="F161" s="52">
        <v>0</v>
      </c>
      <c r="G161" s="5">
        <f>E161+F161</f>
        <v>60293.17</v>
      </c>
      <c r="H161" s="43" t="s">
        <v>250</v>
      </c>
      <c r="I161" s="1" t="s">
        <v>142</v>
      </c>
      <c r="J161" s="20"/>
      <c r="P161" s="119"/>
      <c r="Q161" s="119"/>
      <c r="AS161" s="77">
        <f>G161</f>
        <v>60293.17</v>
      </c>
    </row>
    <row r="162" spans="1:47" x14ac:dyDescent="0.25">
      <c r="A162" s="1" t="s">
        <v>251</v>
      </c>
      <c r="B162" s="6">
        <v>43700</v>
      </c>
      <c r="C162" s="3"/>
      <c r="D162" s="12" t="s">
        <v>252</v>
      </c>
      <c r="E162" s="52">
        <v>9000</v>
      </c>
      <c r="F162" s="52">
        <v>0</v>
      </c>
      <c r="G162" s="5">
        <f t="shared" ref="G162:G196" si="1">E162+F162</f>
        <v>9000</v>
      </c>
      <c r="H162" s="43" t="s">
        <v>40</v>
      </c>
      <c r="I162" s="1"/>
      <c r="J162" s="20"/>
      <c r="P162" s="119"/>
      <c r="Q162" s="119"/>
      <c r="AF162" s="77">
        <f>G162</f>
        <v>9000</v>
      </c>
    </row>
    <row r="163" spans="1:47" x14ac:dyDescent="0.25">
      <c r="A163" s="1" t="s">
        <v>253</v>
      </c>
      <c r="B163" s="6">
        <v>43700</v>
      </c>
      <c r="C163" s="3"/>
      <c r="D163" s="12" t="s">
        <v>254</v>
      </c>
      <c r="E163" s="52">
        <v>3800</v>
      </c>
      <c r="F163" s="52">
        <v>0</v>
      </c>
      <c r="G163" s="5">
        <f t="shared" si="1"/>
        <v>3800</v>
      </c>
      <c r="H163" s="43" t="s">
        <v>40</v>
      </c>
      <c r="I163" s="1"/>
      <c r="J163" s="20"/>
      <c r="P163" s="119"/>
      <c r="Q163" s="119"/>
      <c r="AF163" s="77">
        <f>G163</f>
        <v>3800</v>
      </c>
    </row>
    <row r="164" spans="1:47" x14ac:dyDescent="0.25">
      <c r="A164" s="1"/>
      <c r="B164" s="6"/>
      <c r="C164" s="3"/>
      <c r="D164" s="12"/>
      <c r="E164" s="52"/>
      <c r="F164" s="52"/>
      <c r="G164" s="58"/>
      <c r="H164" s="48"/>
      <c r="I164" s="1"/>
      <c r="J164" s="20"/>
      <c r="P164" s="119"/>
      <c r="Q164" s="119"/>
    </row>
    <row r="165" spans="1:47" x14ac:dyDescent="0.25">
      <c r="A165" s="1" t="s">
        <v>255</v>
      </c>
      <c r="B165" s="6">
        <v>43705</v>
      </c>
      <c r="C165" s="3"/>
      <c r="D165" s="12" t="s">
        <v>256</v>
      </c>
      <c r="E165" s="52">
        <v>76638.490000000005</v>
      </c>
      <c r="F165" s="52">
        <v>0</v>
      </c>
      <c r="G165" s="5">
        <f t="shared" si="1"/>
        <v>76638.490000000005</v>
      </c>
      <c r="H165" s="153" t="s">
        <v>84</v>
      </c>
      <c r="I165" s="1"/>
      <c r="J165" s="20"/>
      <c r="P165" s="119"/>
      <c r="Q165" s="119"/>
      <c r="R165" s="77">
        <f>G165</f>
        <v>76638.490000000005</v>
      </c>
      <c r="S165" s="77"/>
      <c r="T165" s="77"/>
      <c r="U165" s="77"/>
    </row>
    <row r="166" spans="1:47" x14ac:dyDescent="0.25">
      <c r="A166" s="1" t="s">
        <v>257</v>
      </c>
      <c r="B166" s="6">
        <v>43705</v>
      </c>
      <c r="C166" s="3"/>
      <c r="D166" s="12" t="s">
        <v>181</v>
      </c>
      <c r="E166" s="52">
        <v>5096</v>
      </c>
      <c r="F166" s="52">
        <v>0</v>
      </c>
      <c r="G166" s="5">
        <f t="shared" si="1"/>
        <v>5096</v>
      </c>
      <c r="H166" s="153"/>
      <c r="I166" s="1"/>
      <c r="J166" s="20"/>
      <c r="P166" s="119"/>
      <c r="Q166" s="119"/>
      <c r="AQ166" s="154"/>
      <c r="AU166" s="77">
        <f>G166</f>
        <v>5096</v>
      </c>
    </row>
    <row r="167" spans="1:47" x14ac:dyDescent="0.25">
      <c r="A167" s="1"/>
      <c r="B167" s="6"/>
      <c r="C167" s="3"/>
      <c r="D167" s="12"/>
      <c r="E167" s="52"/>
      <c r="F167" s="52"/>
      <c r="G167" s="5"/>
      <c r="H167" s="153"/>
      <c r="I167" s="1"/>
      <c r="J167" s="20"/>
      <c r="P167" s="119"/>
      <c r="Q167" s="119"/>
      <c r="AQ167" s="154"/>
    </row>
    <row r="168" spans="1:47" x14ac:dyDescent="0.25">
      <c r="A168" s="1" t="s">
        <v>328</v>
      </c>
      <c r="B168" s="6">
        <v>43706</v>
      </c>
      <c r="C168" s="3"/>
      <c r="D168" s="12" t="s">
        <v>329</v>
      </c>
      <c r="E168" s="52">
        <v>2119485.46</v>
      </c>
      <c r="F168" s="52">
        <v>-105974.27</v>
      </c>
      <c r="G168" s="5">
        <f>E168+F168</f>
        <v>2013511.19</v>
      </c>
      <c r="H168" s="153" t="s">
        <v>277</v>
      </c>
      <c r="I168" s="1" t="s">
        <v>41</v>
      </c>
      <c r="J168" s="20"/>
      <c r="P168" s="119"/>
      <c r="Q168" s="119"/>
      <c r="V168" s="77">
        <f>G168</f>
        <v>2013511.19</v>
      </c>
      <c r="AQ168" s="154"/>
    </row>
    <row r="169" spans="1:47" x14ac:dyDescent="0.25">
      <c r="A169" s="1"/>
      <c r="B169" s="6"/>
      <c r="C169" s="3"/>
      <c r="D169" s="12"/>
      <c r="E169" s="52"/>
      <c r="F169" s="52"/>
      <c r="G169" s="5"/>
      <c r="H169" s="153"/>
      <c r="I169" s="1"/>
      <c r="J169" s="20"/>
      <c r="P169" s="119"/>
      <c r="Q169" s="119"/>
      <c r="AQ169" s="154"/>
    </row>
    <row r="170" spans="1:47" x14ac:dyDescent="0.25">
      <c r="A170" s="1" t="s">
        <v>258</v>
      </c>
      <c r="B170" s="6">
        <v>43707</v>
      </c>
      <c r="C170" s="3"/>
      <c r="D170" s="12" t="s">
        <v>259</v>
      </c>
      <c r="E170" s="52">
        <f>7195+4896.5</f>
        <v>12091.5</v>
      </c>
      <c r="F170" s="52">
        <v>0</v>
      </c>
      <c r="G170" s="5">
        <f t="shared" si="1"/>
        <v>12091.5</v>
      </c>
      <c r="H170" s="153" t="s">
        <v>40</v>
      </c>
      <c r="I170" s="1"/>
      <c r="J170" s="20"/>
      <c r="P170" s="119"/>
      <c r="Q170" s="119"/>
      <c r="AL170" s="77">
        <f>G170</f>
        <v>12091.5</v>
      </c>
      <c r="AQ170" s="154"/>
    </row>
    <row r="171" spans="1:47" x14ac:dyDescent="0.25">
      <c r="A171" s="1" t="s">
        <v>260</v>
      </c>
      <c r="B171" s="6">
        <v>43707</v>
      </c>
      <c r="C171" s="3"/>
      <c r="D171" s="12" t="s">
        <v>261</v>
      </c>
      <c r="E171" s="52">
        <v>18000</v>
      </c>
      <c r="F171" s="52">
        <v>0</v>
      </c>
      <c r="G171" s="5">
        <f t="shared" si="1"/>
        <v>18000</v>
      </c>
      <c r="H171" s="153" t="s">
        <v>262</v>
      </c>
      <c r="I171" s="1" t="s">
        <v>40</v>
      </c>
      <c r="J171" s="20"/>
      <c r="P171" s="119"/>
      <c r="Q171" s="119"/>
      <c r="AQ171" s="154">
        <f>G171</f>
        <v>18000</v>
      </c>
    </row>
    <row r="172" spans="1:47" x14ac:dyDescent="0.25">
      <c r="A172" s="1" t="s">
        <v>258</v>
      </c>
      <c r="B172" s="6">
        <v>43707</v>
      </c>
      <c r="C172" s="3"/>
      <c r="D172" s="12" t="s">
        <v>259</v>
      </c>
      <c r="E172" s="52">
        <v>875</v>
      </c>
      <c r="F172" s="52">
        <v>0</v>
      </c>
      <c r="G172" s="5">
        <f t="shared" si="1"/>
        <v>875</v>
      </c>
      <c r="H172" s="153" t="s">
        <v>40</v>
      </c>
      <c r="I172" s="1" t="s">
        <v>41</v>
      </c>
      <c r="J172" s="20"/>
      <c r="P172" s="119"/>
      <c r="Q172" s="119"/>
      <c r="AI172" s="77">
        <f>G172</f>
        <v>875</v>
      </c>
      <c r="AJ172" s="77"/>
      <c r="AK172" s="77"/>
      <c r="AQ172" s="154"/>
    </row>
    <row r="173" spans="1:47" x14ac:dyDescent="0.25">
      <c r="A173" s="1" t="s">
        <v>263</v>
      </c>
      <c r="B173" s="6">
        <v>43707</v>
      </c>
      <c r="C173" s="3"/>
      <c r="D173" s="12" t="s">
        <v>264</v>
      </c>
      <c r="E173" s="52">
        <f>15351.76+20871.5+11622.25+10168.88+17255.38</f>
        <v>75269.77</v>
      </c>
      <c r="F173" s="52">
        <v>0</v>
      </c>
      <c r="G173" s="5">
        <f t="shared" si="1"/>
        <v>75269.77</v>
      </c>
      <c r="H173" s="153" t="s">
        <v>265</v>
      </c>
      <c r="I173" s="1" t="s">
        <v>41</v>
      </c>
      <c r="J173" s="20"/>
      <c r="P173" s="119"/>
      <c r="Q173" s="119"/>
      <c r="AO173" s="77">
        <f>G173</f>
        <v>75269.77</v>
      </c>
      <c r="AQ173" s="154"/>
    </row>
    <row r="174" spans="1:47" x14ac:dyDescent="0.25">
      <c r="A174" s="1" t="s">
        <v>258</v>
      </c>
      <c r="B174" s="6">
        <v>43707</v>
      </c>
      <c r="C174" s="3"/>
      <c r="D174" s="12" t="s">
        <v>259</v>
      </c>
      <c r="E174" s="52">
        <f>8730+760</f>
        <v>9490</v>
      </c>
      <c r="F174" s="52">
        <v>0</v>
      </c>
      <c r="G174" s="5">
        <f t="shared" si="1"/>
        <v>9490</v>
      </c>
      <c r="H174" s="153" t="s">
        <v>40</v>
      </c>
      <c r="I174" s="1" t="s">
        <v>54</v>
      </c>
      <c r="J174" s="20"/>
      <c r="P174" s="119"/>
      <c r="Q174" s="119"/>
      <c r="AQ174" s="154"/>
    </row>
    <row r="175" spans="1:47" x14ac:dyDescent="0.25">
      <c r="A175" s="1" t="s">
        <v>263</v>
      </c>
      <c r="B175" s="6">
        <v>43707</v>
      </c>
      <c r="C175" s="3"/>
      <c r="D175" s="12" t="s">
        <v>264</v>
      </c>
      <c r="E175" s="52">
        <f>5439.25+5956.88+9912.75</f>
        <v>21308.880000000001</v>
      </c>
      <c r="F175" s="52">
        <v>0</v>
      </c>
      <c r="G175" s="5">
        <f t="shared" si="1"/>
        <v>21308.880000000001</v>
      </c>
      <c r="H175" s="153" t="s">
        <v>265</v>
      </c>
      <c r="I175" s="1" t="s">
        <v>54</v>
      </c>
      <c r="J175" s="20"/>
      <c r="P175" s="119"/>
      <c r="Q175" s="119"/>
      <c r="AM175" s="77">
        <f>G174</f>
        <v>9490</v>
      </c>
      <c r="AN175" s="77"/>
      <c r="AP175" s="77">
        <f>G175</f>
        <v>21308.880000000001</v>
      </c>
      <c r="AQ175" s="154"/>
    </row>
    <row r="176" spans="1:47" x14ac:dyDescent="0.25">
      <c r="A176" s="1"/>
      <c r="B176" s="6"/>
      <c r="C176" s="3"/>
      <c r="D176" s="12"/>
      <c r="E176" s="52"/>
      <c r="F176" s="52"/>
      <c r="G176" s="5"/>
      <c r="H176" s="153"/>
      <c r="I176" s="1"/>
      <c r="J176" s="20"/>
      <c r="P176" s="119"/>
      <c r="Q176" s="119"/>
      <c r="AQ176" s="154"/>
    </row>
    <row r="177" spans="1:45" x14ac:dyDescent="0.25">
      <c r="A177" s="1" t="s">
        <v>331</v>
      </c>
      <c r="B177" s="6">
        <v>43708</v>
      </c>
      <c r="C177" s="3"/>
      <c r="D177" s="12" t="s">
        <v>276</v>
      </c>
      <c r="E177" s="52">
        <v>871249</v>
      </c>
      <c r="F177" s="52">
        <v>-43562.45</v>
      </c>
      <c r="G177" s="5">
        <f t="shared" si="1"/>
        <v>827686.55</v>
      </c>
      <c r="H177" s="153" t="s">
        <v>126</v>
      </c>
      <c r="I177" s="1" t="s">
        <v>54</v>
      </c>
      <c r="J177" s="20"/>
      <c r="P177" s="119"/>
      <c r="Q177" s="119"/>
      <c r="W177" s="77">
        <f>G177</f>
        <v>827686.55</v>
      </c>
      <c r="AQ177" s="154"/>
    </row>
    <row r="178" spans="1:45" x14ac:dyDescent="0.25">
      <c r="A178" s="1" t="s">
        <v>332</v>
      </c>
      <c r="B178" s="6">
        <v>43708</v>
      </c>
      <c r="C178" s="3"/>
      <c r="D178" s="12" t="s">
        <v>276</v>
      </c>
      <c r="E178" s="52">
        <v>388753</v>
      </c>
      <c r="F178" s="52">
        <v>-19437.650000000001</v>
      </c>
      <c r="G178" s="5">
        <f t="shared" si="1"/>
        <v>369315.35</v>
      </c>
      <c r="H178" s="153" t="s">
        <v>128</v>
      </c>
      <c r="I178" s="1" t="s">
        <v>54</v>
      </c>
      <c r="J178" s="20"/>
      <c r="P178" s="119"/>
      <c r="Q178" s="119"/>
      <c r="W178" s="77">
        <f>G178</f>
        <v>369315.35</v>
      </c>
      <c r="AQ178" s="154"/>
    </row>
    <row r="179" spans="1:45" x14ac:dyDescent="0.25">
      <c r="A179" s="1" t="s">
        <v>330</v>
      </c>
      <c r="B179" s="6">
        <v>43708</v>
      </c>
      <c r="C179" s="3"/>
      <c r="D179" s="12" t="s">
        <v>276</v>
      </c>
      <c r="E179" s="52">
        <v>2460708.67</v>
      </c>
      <c r="F179" s="52">
        <v>-123035.43</v>
      </c>
      <c r="G179" s="5">
        <f t="shared" si="1"/>
        <v>2337673.2399999998</v>
      </c>
      <c r="H179" s="153" t="s">
        <v>278</v>
      </c>
      <c r="I179" s="1" t="s">
        <v>41</v>
      </c>
      <c r="J179" s="20"/>
      <c r="P179" s="119"/>
      <c r="Q179" s="119"/>
      <c r="V179" s="77">
        <f>G179</f>
        <v>2337673.2399999998</v>
      </c>
      <c r="AQ179" s="154"/>
    </row>
    <row r="180" spans="1:45" x14ac:dyDescent="0.25">
      <c r="A180" s="1" t="s">
        <v>336</v>
      </c>
      <c r="B180" s="6">
        <v>43708</v>
      </c>
      <c r="C180" s="3"/>
      <c r="D180" s="12" t="s">
        <v>36</v>
      </c>
      <c r="E180" s="52">
        <v>76397.3</v>
      </c>
      <c r="F180" s="52">
        <v>0</v>
      </c>
      <c r="G180" s="5">
        <f t="shared" si="1"/>
        <v>76397.3</v>
      </c>
      <c r="H180" s="153" t="s">
        <v>282</v>
      </c>
      <c r="I180" s="1" t="s">
        <v>283</v>
      </c>
      <c r="J180" s="20"/>
      <c r="P180" s="119"/>
      <c r="Q180" s="119"/>
      <c r="R180" s="77">
        <f>G180</f>
        <v>76397.3</v>
      </c>
      <c r="S180" s="77"/>
      <c r="T180" s="77"/>
      <c r="U180" s="77"/>
      <c r="AQ180" s="154"/>
    </row>
    <row r="181" spans="1:45" x14ac:dyDescent="0.25">
      <c r="A181" s="1" t="s">
        <v>326</v>
      </c>
      <c r="B181" s="6">
        <v>43708</v>
      </c>
      <c r="C181" s="3"/>
      <c r="D181" s="12" t="s">
        <v>264</v>
      </c>
      <c r="E181" s="52">
        <v>2172.75</v>
      </c>
      <c r="F181" s="52">
        <v>0</v>
      </c>
      <c r="G181" s="5">
        <f t="shared" si="1"/>
        <v>2172.75</v>
      </c>
      <c r="H181" s="153" t="s">
        <v>265</v>
      </c>
      <c r="I181" s="1" t="s">
        <v>54</v>
      </c>
      <c r="J181" s="20"/>
      <c r="P181" s="119"/>
      <c r="Q181" s="119"/>
      <c r="AP181" s="77">
        <f>G181</f>
        <v>2172.75</v>
      </c>
      <c r="AQ181" s="154"/>
    </row>
    <row r="182" spans="1:45" x14ac:dyDescent="0.25">
      <c r="A182" s="1" t="s">
        <v>326</v>
      </c>
      <c r="B182" s="6">
        <v>43708</v>
      </c>
      <c r="C182" s="3"/>
      <c r="D182" s="12" t="s">
        <v>94</v>
      </c>
      <c r="E182" s="52">
        <v>977.5</v>
      </c>
      <c r="F182" s="52">
        <v>0</v>
      </c>
      <c r="G182" s="5">
        <f t="shared" si="1"/>
        <v>977.5</v>
      </c>
      <c r="H182" s="153" t="s">
        <v>265</v>
      </c>
      <c r="I182" s="1" t="s">
        <v>41</v>
      </c>
      <c r="J182" s="20"/>
      <c r="P182" s="119"/>
      <c r="Q182" s="119"/>
      <c r="AO182" s="77">
        <f>G182</f>
        <v>977.5</v>
      </c>
      <c r="AP182" s="77"/>
      <c r="AQ182" s="154"/>
    </row>
    <row r="183" spans="1:45" x14ac:dyDescent="0.25">
      <c r="A183" s="1" t="s">
        <v>326</v>
      </c>
      <c r="B183" s="6">
        <v>43708</v>
      </c>
      <c r="C183" s="3"/>
      <c r="D183" s="12" t="s">
        <v>284</v>
      </c>
      <c r="E183" s="52">
        <v>12280.13</v>
      </c>
      <c r="F183" s="52">
        <v>0</v>
      </c>
      <c r="G183" s="5">
        <f t="shared" si="1"/>
        <v>12280.13</v>
      </c>
      <c r="H183" s="153" t="s">
        <v>285</v>
      </c>
      <c r="I183" s="1" t="s">
        <v>41</v>
      </c>
      <c r="J183" s="20"/>
      <c r="P183" s="119"/>
      <c r="Q183" s="119"/>
      <c r="X183" s="77">
        <f>G183</f>
        <v>12280.13</v>
      </c>
      <c r="AP183" s="77"/>
      <c r="AQ183" s="154"/>
    </row>
    <row r="184" spans="1:45" x14ac:dyDescent="0.25">
      <c r="A184" s="1"/>
      <c r="B184" s="6">
        <v>43708</v>
      </c>
      <c r="C184" s="3"/>
      <c r="D184" s="12" t="s">
        <v>284</v>
      </c>
      <c r="E184" s="52">
        <v>48113.4</v>
      </c>
      <c r="F184" s="52">
        <v>0</v>
      </c>
      <c r="G184" s="5">
        <f t="shared" si="1"/>
        <v>48113.4</v>
      </c>
      <c r="H184" s="153" t="s">
        <v>285</v>
      </c>
      <c r="I184" s="1" t="s">
        <v>54</v>
      </c>
      <c r="J184" s="20"/>
      <c r="P184" s="119"/>
      <c r="Q184" s="119"/>
      <c r="Y184" s="77"/>
      <c r="Z184" s="77">
        <f>G184</f>
        <v>48113.4</v>
      </c>
      <c r="AA184" s="77"/>
      <c r="AB184" s="77"/>
      <c r="AC184" s="77"/>
      <c r="AD184" s="77"/>
      <c r="AP184" s="77"/>
      <c r="AQ184" s="154"/>
    </row>
    <row r="185" spans="1:45" x14ac:dyDescent="0.25">
      <c r="A185" s="1" t="s">
        <v>335</v>
      </c>
      <c r="B185" s="6">
        <v>43708</v>
      </c>
      <c r="C185" s="3"/>
      <c r="D185" s="12" t="s">
        <v>284</v>
      </c>
      <c r="E185" s="52">
        <v>63813</v>
      </c>
      <c r="F185" s="52">
        <v>0</v>
      </c>
      <c r="G185" s="5">
        <f t="shared" si="1"/>
        <v>63813</v>
      </c>
      <c r="H185" s="153" t="s">
        <v>285</v>
      </c>
      <c r="I185" s="1" t="s">
        <v>286</v>
      </c>
      <c r="J185" s="20"/>
      <c r="P185" s="119"/>
      <c r="Q185" s="119"/>
      <c r="Y185" s="77">
        <f>G185</f>
        <v>63813</v>
      </c>
      <c r="AP185" s="77"/>
      <c r="AQ185" s="154"/>
    </row>
    <row r="186" spans="1:45" x14ac:dyDescent="0.25">
      <c r="A186" s="1" t="s">
        <v>334</v>
      </c>
      <c r="B186" s="6">
        <v>43708</v>
      </c>
      <c r="C186" s="3"/>
      <c r="D186" s="12" t="s">
        <v>327</v>
      </c>
      <c r="E186" s="52">
        <v>2000</v>
      </c>
      <c r="F186" s="52">
        <v>0</v>
      </c>
      <c r="G186" s="5">
        <f t="shared" si="1"/>
        <v>2000</v>
      </c>
      <c r="H186" s="153" t="s">
        <v>262</v>
      </c>
      <c r="I186" s="1" t="s">
        <v>40</v>
      </c>
      <c r="J186" s="20"/>
      <c r="P186" s="119"/>
      <c r="Q186" s="119"/>
      <c r="Y186" s="77"/>
      <c r="AP186" s="77"/>
      <c r="AQ186" s="154">
        <f>G186</f>
        <v>2000</v>
      </c>
    </row>
    <row r="187" spans="1:45" x14ac:dyDescent="0.25">
      <c r="A187" s="1" t="s">
        <v>333</v>
      </c>
      <c r="B187" s="6">
        <v>43708</v>
      </c>
      <c r="C187" s="3"/>
      <c r="D187" s="12" t="s">
        <v>60</v>
      </c>
      <c r="E187" s="52">
        <v>6343.48</v>
      </c>
      <c r="F187" s="52">
        <v>0</v>
      </c>
      <c r="G187" s="5">
        <f t="shared" si="1"/>
        <v>6343.48</v>
      </c>
      <c r="H187" s="153" t="s">
        <v>287</v>
      </c>
      <c r="I187" s="1" t="s">
        <v>8</v>
      </c>
      <c r="J187" s="20"/>
      <c r="K187" s="77">
        <f>G187</f>
        <v>6343.48</v>
      </c>
      <c r="P187" s="119"/>
      <c r="Q187" s="119"/>
      <c r="AP187" s="77"/>
      <c r="AQ187" s="154"/>
    </row>
    <row r="188" spans="1:45" x14ac:dyDescent="0.25">
      <c r="A188" s="1" t="s">
        <v>333</v>
      </c>
      <c r="B188" s="6">
        <v>43708</v>
      </c>
      <c r="C188" s="3"/>
      <c r="D188" s="12" t="s">
        <v>60</v>
      </c>
      <c r="E188" s="52">
        <v>243.75</v>
      </c>
      <c r="F188" s="52">
        <v>0</v>
      </c>
      <c r="G188" s="5">
        <f t="shared" si="1"/>
        <v>243.75</v>
      </c>
      <c r="H188" s="153" t="s">
        <v>287</v>
      </c>
      <c r="I188" s="1" t="s">
        <v>8</v>
      </c>
      <c r="J188" s="20"/>
      <c r="K188" s="77">
        <f>G188</f>
        <v>243.75</v>
      </c>
      <c r="P188" s="119"/>
      <c r="Q188" s="119"/>
    </row>
    <row r="189" spans="1:45" x14ac:dyDescent="0.25">
      <c r="A189" s="1"/>
      <c r="B189" s="6"/>
      <c r="C189" s="3"/>
      <c r="D189" s="12"/>
      <c r="E189" s="52"/>
      <c r="F189" s="52"/>
      <c r="G189" s="5"/>
      <c r="H189" s="153"/>
      <c r="I189" s="1"/>
      <c r="J189" s="20"/>
      <c r="K189" s="77"/>
      <c r="P189" s="119"/>
      <c r="Q189" s="119"/>
    </row>
    <row r="190" spans="1:45" x14ac:dyDescent="0.25">
      <c r="A190" s="1" t="s">
        <v>323</v>
      </c>
      <c r="B190" s="6">
        <v>43726</v>
      </c>
      <c r="C190" s="3"/>
      <c r="D190" s="12" t="s">
        <v>319</v>
      </c>
      <c r="E190" s="52">
        <v>19893.060000000001</v>
      </c>
      <c r="F190" s="52">
        <v>0</v>
      </c>
      <c r="G190" s="5">
        <f>E190+F190</f>
        <v>19893.060000000001</v>
      </c>
      <c r="H190" s="153" t="s">
        <v>320</v>
      </c>
      <c r="I190" s="1" t="s">
        <v>142</v>
      </c>
      <c r="J190" s="20"/>
      <c r="K190" s="77"/>
      <c r="P190" s="119"/>
      <c r="Q190" s="119"/>
      <c r="AS190" s="77">
        <f>G190</f>
        <v>19893.060000000001</v>
      </c>
    </row>
    <row r="191" spans="1:45" x14ac:dyDescent="0.25">
      <c r="A191" s="1" t="s">
        <v>324</v>
      </c>
      <c r="B191" s="6">
        <v>43726</v>
      </c>
      <c r="C191" s="3"/>
      <c r="D191" s="12" t="s">
        <v>321</v>
      </c>
      <c r="E191" s="52">
        <v>37235</v>
      </c>
      <c r="F191" s="52">
        <v>0</v>
      </c>
      <c r="G191" s="5">
        <f>E191+F191</f>
        <v>37235</v>
      </c>
      <c r="H191" s="153" t="s">
        <v>322</v>
      </c>
      <c r="I191" s="1" t="s">
        <v>142</v>
      </c>
      <c r="J191" s="20"/>
      <c r="K191" s="77"/>
      <c r="P191" s="119"/>
      <c r="Q191" s="119"/>
      <c r="AS191" s="77">
        <f>G191</f>
        <v>37235</v>
      </c>
    </row>
    <row r="192" spans="1:45" x14ac:dyDescent="0.25">
      <c r="A192" s="1"/>
      <c r="B192" s="6"/>
      <c r="C192" s="3"/>
      <c r="D192" s="12"/>
      <c r="E192" s="52"/>
      <c r="F192" s="52"/>
      <c r="G192" s="5"/>
      <c r="H192" s="153"/>
      <c r="I192" s="1"/>
      <c r="J192" s="20"/>
      <c r="K192" s="77"/>
      <c r="P192" s="119"/>
      <c r="Q192" s="119"/>
    </row>
    <row r="193" spans="1:54" x14ac:dyDescent="0.25">
      <c r="A193" s="1"/>
      <c r="B193" s="6"/>
      <c r="C193" s="3"/>
      <c r="D193" s="12"/>
      <c r="E193" s="52"/>
      <c r="F193" s="52"/>
      <c r="G193" s="5"/>
      <c r="H193" s="153"/>
      <c r="I193" s="1"/>
      <c r="J193" s="20"/>
      <c r="K193" s="77"/>
      <c r="P193" s="119"/>
      <c r="Q193" s="119"/>
    </row>
    <row r="194" spans="1:54" x14ac:dyDescent="0.25">
      <c r="A194" s="1"/>
      <c r="B194" s="6"/>
      <c r="C194" s="3"/>
      <c r="D194" s="12"/>
      <c r="E194" s="52"/>
      <c r="F194" s="52"/>
      <c r="G194" s="5"/>
      <c r="H194" s="153"/>
      <c r="I194" s="1"/>
      <c r="J194" s="20"/>
      <c r="K194" s="77"/>
      <c r="P194" s="119"/>
      <c r="Q194" s="119"/>
    </row>
    <row r="195" spans="1:54" x14ac:dyDescent="0.25">
      <c r="A195" s="1"/>
      <c r="B195" s="6"/>
      <c r="C195" s="3"/>
      <c r="D195" s="12"/>
      <c r="E195" s="52"/>
      <c r="F195" s="52"/>
      <c r="G195" s="5"/>
      <c r="H195" s="153"/>
      <c r="I195" s="1"/>
      <c r="J195" s="20"/>
      <c r="K195" s="77"/>
      <c r="P195" s="119"/>
      <c r="Q195" s="119"/>
    </row>
    <row r="196" spans="1:54" x14ac:dyDescent="0.25">
      <c r="A196" s="1"/>
      <c r="B196" s="6"/>
      <c r="C196" s="3"/>
      <c r="D196" s="12"/>
      <c r="E196" s="52"/>
      <c r="F196" s="52"/>
      <c r="G196" s="5">
        <f t="shared" si="1"/>
        <v>0</v>
      </c>
      <c r="H196" s="153"/>
      <c r="I196" s="1"/>
      <c r="J196" s="20"/>
      <c r="P196" s="119"/>
      <c r="Q196" s="119"/>
    </row>
    <row r="197" spans="1:54" ht="15.75" thickBot="1" x14ac:dyDescent="0.3">
      <c r="A197" s="20"/>
      <c r="B197" s="54"/>
      <c r="C197" s="55"/>
      <c r="D197" s="21"/>
      <c r="E197" s="56"/>
      <c r="F197" s="56"/>
      <c r="G197" s="61"/>
      <c r="H197" s="57"/>
      <c r="I197" s="20"/>
      <c r="J197" s="20"/>
      <c r="P197" s="119"/>
      <c r="Q197" s="119"/>
    </row>
    <row r="198" spans="1:54" x14ac:dyDescent="0.25">
      <c r="A198" s="17"/>
      <c r="B198" s="18"/>
      <c r="C198" s="18"/>
      <c r="D198" s="18"/>
      <c r="E198" s="18"/>
      <c r="F198" s="18"/>
      <c r="G198" s="114"/>
      <c r="H198" s="18"/>
      <c r="I198" s="17"/>
      <c r="J198" s="17"/>
      <c r="P198" s="119"/>
      <c r="Q198" s="119"/>
    </row>
    <row r="199" spans="1:54" ht="15.75" thickBot="1" x14ac:dyDescent="0.3">
      <c r="A199" s="20"/>
      <c r="B199" s="21"/>
      <c r="C199" s="21"/>
      <c r="D199" s="22" t="s">
        <v>9</v>
      </c>
      <c r="E199" s="23">
        <f>SUM(E12:E196)</f>
        <v>17071857.329999994</v>
      </c>
      <c r="F199" s="23">
        <f>SUM(F12:F196)</f>
        <v>-590204.34000000008</v>
      </c>
      <c r="G199" s="115">
        <f>SUM(G12:G196)</f>
        <v>16481652.990000002</v>
      </c>
      <c r="H199" s="21"/>
      <c r="I199" s="20" t="s">
        <v>197</v>
      </c>
      <c r="J199" s="103">
        <f t="shared" ref="J199:BA199" si="2">SUM(J12:J198)</f>
        <v>0</v>
      </c>
      <c r="K199" s="103">
        <f t="shared" si="2"/>
        <v>38267.85</v>
      </c>
      <c r="L199" s="103">
        <f t="shared" si="2"/>
        <v>0</v>
      </c>
      <c r="M199" s="103">
        <f t="shared" si="2"/>
        <v>3820</v>
      </c>
      <c r="N199" s="103">
        <f t="shared" si="2"/>
        <v>9198</v>
      </c>
      <c r="O199" s="103">
        <f t="shared" si="2"/>
        <v>22174.57</v>
      </c>
      <c r="P199" s="103">
        <f t="shared" si="2"/>
        <v>1158202.4771999998</v>
      </c>
      <c r="Q199" s="103">
        <f t="shared" si="2"/>
        <v>139507.01279999997</v>
      </c>
      <c r="R199" s="103">
        <f t="shared" si="2"/>
        <v>153035.79</v>
      </c>
      <c r="S199" s="103">
        <f t="shared" si="2"/>
        <v>0</v>
      </c>
      <c r="T199" s="103">
        <f t="shared" si="2"/>
        <v>0</v>
      </c>
      <c r="U199" s="103">
        <f t="shared" si="2"/>
        <v>0</v>
      </c>
      <c r="V199" s="103">
        <f t="shared" si="2"/>
        <v>9146927.5999999996</v>
      </c>
      <c r="W199" s="103">
        <f t="shared" si="2"/>
        <v>2066954.9</v>
      </c>
      <c r="X199" s="103">
        <f t="shared" si="2"/>
        <v>729948.18</v>
      </c>
      <c r="Y199" s="103">
        <f t="shared" si="2"/>
        <v>140578.54999999999</v>
      </c>
      <c r="Z199" s="103">
        <f t="shared" si="2"/>
        <v>240838.9</v>
      </c>
      <c r="AA199" s="103">
        <f t="shared" si="2"/>
        <v>0</v>
      </c>
      <c r="AB199" s="103">
        <f t="shared" si="2"/>
        <v>0</v>
      </c>
      <c r="AC199" s="103">
        <f t="shared" si="2"/>
        <v>0</v>
      </c>
      <c r="AD199" s="103">
        <f t="shared" si="2"/>
        <v>0</v>
      </c>
      <c r="AE199" s="103">
        <f t="shared" si="2"/>
        <v>8500</v>
      </c>
      <c r="AF199" s="103">
        <f t="shared" si="2"/>
        <v>64690</v>
      </c>
      <c r="AG199" s="103">
        <f t="shared" si="2"/>
        <v>11950</v>
      </c>
      <c r="AH199" s="103">
        <f t="shared" si="2"/>
        <v>19500</v>
      </c>
      <c r="AI199" s="103">
        <f t="shared" si="2"/>
        <v>55260</v>
      </c>
      <c r="AJ199" s="103">
        <f t="shared" si="2"/>
        <v>6820</v>
      </c>
      <c r="AK199" s="103">
        <f t="shared" si="2"/>
        <v>2850</v>
      </c>
      <c r="AL199" s="103">
        <f t="shared" si="2"/>
        <v>54035.5</v>
      </c>
      <c r="AM199" s="103">
        <f t="shared" si="2"/>
        <v>44063.5</v>
      </c>
      <c r="AN199" s="103">
        <f t="shared" si="2"/>
        <v>4050</v>
      </c>
      <c r="AO199" s="103">
        <f t="shared" si="2"/>
        <v>76247.27</v>
      </c>
      <c r="AP199" s="103">
        <f t="shared" si="2"/>
        <v>23481.63</v>
      </c>
      <c r="AQ199" s="103">
        <f t="shared" si="2"/>
        <v>20000</v>
      </c>
      <c r="AR199" s="103">
        <f t="shared" si="2"/>
        <v>1258220.6000000001</v>
      </c>
      <c r="AS199" s="103">
        <f t="shared" si="2"/>
        <v>453410.36</v>
      </c>
      <c r="AT199" s="103">
        <f t="shared" si="2"/>
        <v>435127.37</v>
      </c>
      <c r="AU199" s="103">
        <f t="shared" si="2"/>
        <v>7326.5599999999995</v>
      </c>
      <c r="AV199" s="103">
        <f t="shared" si="2"/>
        <v>0</v>
      </c>
      <c r="AW199" s="103">
        <f t="shared" si="2"/>
        <v>14764.31</v>
      </c>
      <c r="AX199" s="103">
        <f t="shared" si="2"/>
        <v>68200.81</v>
      </c>
      <c r="AY199" s="103">
        <f t="shared" si="2"/>
        <v>0</v>
      </c>
      <c r="AZ199" s="103">
        <f t="shared" si="2"/>
        <v>3701.25</v>
      </c>
      <c r="BA199" s="103">
        <f t="shared" si="2"/>
        <v>0</v>
      </c>
      <c r="BB199" s="117">
        <f>SUM(J199:BA199)</f>
        <v>16481652.99</v>
      </c>
    </row>
    <row r="200" spans="1:54" ht="16.5" thickTop="1" thickBot="1" x14ac:dyDescent="0.3">
      <c r="A200" s="24"/>
      <c r="B200" s="25"/>
      <c r="C200" s="25"/>
      <c r="D200" s="25"/>
      <c r="E200" s="25"/>
      <c r="F200" s="25"/>
      <c r="G200" s="63"/>
      <c r="H200" s="25"/>
      <c r="I200" s="24"/>
      <c r="J200" s="26"/>
      <c r="P200" s="119"/>
      <c r="Q200" s="119"/>
    </row>
    <row r="201" spans="1:54" x14ac:dyDescent="0.25">
      <c r="A201" s="26"/>
      <c r="B201" s="27"/>
      <c r="C201" s="27"/>
      <c r="D201" s="27"/>
      <c r="E201" s="27"/>
      <c r="F201" s="27"/>
      <c r="G201" s="64"/>
      <c r="H201" s="27"/>
      <c r="I201" s="26"/>
      <c r="J201" s="111">
        <f>SUM(J199:AZ199)</f>
        <v>16481652.99</v>
      </c>
      <c r="P201" s="119"/>
      <c r="Q201" s="119"/>
      <c r="R201" t="s">
        <v>192</v>
      </c>
      <c r="V201" s="117">
        <f>V199+W199</f>
        <v>11213882.5</v>
      </c>
    </row>
    <row r="202" spans="1:54" x14ac:dyDescent="0.25">
      <c r="A202" s="28" t="s">
        <v>10</v>
      </c>
      <c r="B202" s="29"/>
      <c r="C202" s="29"/>
      <c r="D202" s="203" t="s">
        <v>11</v>
      </c>
      <c r="E202" s="203"/>
      <c r="F202" s="27"/>
      <c r="G202" s="204"/>
      <c r="H202" s="204"/>
      <c r="I202" s="17"/>
      <c r="J202" s="112"/>
      <c r="P202" s="119"/>
      <c r="Q202" s="119"/>
      <c r="R202" t="s">
        <v>193</v>
      </c>
      <c r="V202" s="118">
        <f>V199/V201</f>
        <v>0.81567892297783573</v>
      </c>
      <c r="W202" s="118">
        <f>W199/V201</f>
        <v>0.18432107702216427</v>
      </c>
    </row>
    <row r="203" spans="1:54" ht="15.75" thickBot="1" x14ac:dyDescent="0.3">
      <c r="A203" s="17"/>
      <c r="B203" s="18"/>
      <c r="C203" s="18"/>
      <c r="D203" s="27"/>
      <c r="E203" s="27"/>
      <c r="F203" s="27"/>
      <c r="G203" s="64"/>
      <c r="H203" s="21"/>
      <c r="I203" s="17"/>
      <c r="J203" s="113">
        <f>J201-G199</f>
        <v>0</v>
      </c>
      <c r="K203" t="s">
        <v>186</v>
      </c>
      <c r="P203" s="119"/>
      <c r="Q203" s="119"/>
      <c r="R203" t="s">
        <v>194</v>
      </c>
    </row>
    <row r="204" spans="1:54" x14ac:dyDescent="0.25">
      <c r="A204" s="17"/>
      <c r="B204" s="18"/>
      <c r="C204" s="18"/>
      <c r="D204" s="18" t="s">
        <v>155</v>
      </c>
      <c r="E204" s="19">
        <v>52000000</v>
      </c>
      <c r="F204" s="18"/>
      <c r="G204" s="166"/>
      <c r="H204" s="56"/>
      <c r="I204" s="17"/>
      <c r="J204" s="17"/>
      <c r="P204" s="119"/>
      <c r="Q204" s="119"/>
      <c r="R204" t="s">
        <v>195</v>
      </c>
    </row>
    <row r="205" spans="1:54" x14ac:dyDescent="0.25">
      <c r="A205" s="17"/>
      <c r="B205" s="18"/>
      <c r="C205" s="18"/>
      <c r="D205" s="30" t="s">
        <v>51</v>
      </c>
      <c r="E205" s="31">
        <f>-SUM(E12:E48)</f>
        <v>-996279.33000000007</v>
      </c>
      <c r="F205" s="18"/>
      <c r="G205" s="166"/>
      <c r="H205" s="167"/>
      <c r="I205" s="17"/>
      <c r="J205" s="17"/>
      <c r="P205" s="119"/>
      <c r="Q205" s="119"/>
      <c r="R205" t="s">
        <v>196</v>
      </c>
    </row>
    <row r="206" spans="1:54" x14ac:dyDescent="0.25">
      <c r="A206" s="18"/>
      <c r="B206" s="18"/>
      <c r="C206" s="18"/>
      <c r="D206" s="30" t="s">
        <v>96</v>
      </c>
      <c r="E206" s="31">
        <f>-SUM(E50:E153)</f>
        <v>-7362316.7999999989</v>
      </c>
      <c r="F206" s="33"/>
      <c r="G206" s="166"/>
      <c r="H206" s="168"/>
      <c r="I206" s="17"/>
      <c r="J206" s="17"/>
      <c r="P206" s="119"/>
      <c r="Q206" s="119"/>
    </row>
    <row r="207" spans="1:54" x14ac:dyDescent="0.25">
      <c r="A207" s="18"/>
      <c r="B207" s="18"/>
      <c r="C207" s="18"/>
      <c r="D207" s="30" t="s">
        <v>288</v>
      </c>
      <c r="E207" s="31">
        <f>-SUM(E155:E188)</f>
        <v>-8656133.1400000006</v>
      </c>
      <c r="F207" s="33"/>
      <c r="G207" s="166"/>
      <c r="H207" s="167"/>
      <c r="I207" s="17"/>
      <c r="J207" s="17"/>
      <c r="P207" s="119"/>
      <c r="Q207" s="119"/>
    </row>
    <row r="208" spans="1:54" ht="15.75" thickBot="1" x14ac:dyDescent="0.3">
      <c r="A208" s="18"/>
      <c r="B208" s="18"/>
      <c r="C208" s="18"/>
      <c r="D208" s="30" t="s">
        <v>337</v>
      </c>
      <c r="E208" s="31">
        <f>-SUM(E190:E191)</f>
        <v>-57128.06</v>
      </c>
      <c r="F208" s="33"/>
      <c r="G208" s="166"/>
      <c r="H208" s="167"/>
      <c r="I208" s="17"/>
      <c r="J208" s="17"/>
      <c r="P208" s="119"/>
      <c r="Q208" s="119"/>
    </row>
    <row r="209" spans="1:53" x14ac:dyDescent="0.25">
      <c r="A209" s="18"/>
      <c r="B209" s="18"/>
      <c r="C209" s="18"/>
      <c r="D209" s="34" t="s">
        <v>243</v>
      </c>
      <c r="E209" s="31">
        <v>1741977.37</v>
      </c>
      <c r="F209" s="33"/>
      <c r="G209" s="166"/>
      <c r="H209" s="167"/>
      <c r="I209" s="185" t="s">
        <v>198</v>
      </c>
      <c r="J209" s="186" t="s">
        <v>200</v>
      </c>
      <c r="K209" s="127">
        <f t="shared" ref="K209:BA209" si="3">K5-K199</f>
        <v>1.1500000000014552</v>
      </c>
      <c r="L209" s="127">
        <f t="shared" si="3"/>
        <v>1500</v>
      </c>
      <c r="M209" s="127">
        <f t="shared" si="3"/>
        <v>80</v>
      </c>
      <c r="N209" s="135">
        <f t="shared" si="3"/>
        <v>0</v>
      </c>
      <c r="O209" s="135">
        <f t="shared" si="3"/>
        <v>0</v>
      </c>
      <c r="P209" s="157">
        <f t="shared" si="3"/>
        <v>-448527.25719999988</v>
      </c>
      <c r="Q209" s="158">
        <f t="shared" si="3"/>
        <v>23369.26720000006</v>
      </c>
      <c r="R209" s="159">
        <f t="shared" si="3"/>
        <v>137814.71</v>
      </c>
      <c r="S209" s="127">
        <f t="shared" si="3"/>
        <v>300955</v>
      </c>
      <c r="T209" s="127">
        <f t="shared" si="3"/>
        <v>346640</v>
      </c>
      <c r="U209" s="135">
        <f t="shared" si="3"/>
        <v>3982900</v>
      </c>
      <c r="V209" s="127">
        <f t="shared" si="3"/>
        <v>18140606.200000003</v>
      </c>
      <c r="W209" s="127">
        <f t="shared" si="3"/>
        <v>4174472.1</v>
      </c>
      <c r="X209" s="127">
        <f t="shared" si="3"/>
        <v>666051.81999999995</v>
      </c>
      <c r="Y209" s="127">
        <f t="shared" si="3"/>
        <v>-15328.549999999988</v>
      </c>
      <c r="Z209" s="127">
        <f t="shared" si="3"/>
        <v>55661.100000000006</v>
      </c>
      <c r="AA209" s="127">
        <f t="shared" si="3"/>
        <v>99360</v>
      </c>
      <c r="AB209" s="127">
        <f t="shared" si="3"/>
        <v>162720</v>
      </c>
      <c r="AC209" s="135">
        <f t="shared" si="3"/>
        <v>0</v>
      </c>
      <c r="AD209" s="135">
        <f t="shared" si="3"/>
        <v>0</v>
      </c>
      <c r="AE209" s="127">
        <f t="shared" si="3"/>
        <v>0</v>
      </c>
      <c r="AF209" s="127">
        <f t="shared" si="3"/>
        <v>8150</v>
      </c>
      <c r="AG209" s="127">
        <f t="shared" si="3"/>
        <v>0</v>
      </c>
      <c r="AH209" s="127">
        <f t="shared" si="3"/>
        <v>0</v>
      </c>
      <c r="AI209" s="127">
        <f t="shared" si="3"/>
        <v>-36695</v>
      </c>
      <c r="AJ209" s="127">
        <f t="shared" si="3"/>
        <v>38280</v>
      </c>
      <c r="AK209" s="127">
        <f t="shared" si="3"/>
        <v>33450</v>
      </c>
      <c r="AL209" s="127">
        <f t="shared" si="3"/>
        <v>49314.5</v>
      </c>
      <c r="AM209" s="127">
        <f t="shared" si="3"/>
        <v>-11163.5</v>
      </c>
      <c r="AN209" s="127">
        <f t="shared" si="3"/>
        <v>34250</v>
      </c>
      <c r="AO209" s="127">
        <f t="shared" si="3"/>
        <v>91585.73</v>
      </c>
      <c r="AP209" s="127">
        <f t="shared" si="3"/>
        <v>41788.369999999995</v>
      </c>
      <c r="AQ209" s="127">
        <f t="shared" si="3"/>
        <v>0</v>
      </c>
      <c r="AR209" s="135">
        <f t="shared" si="3"/>
        <v>0.39999999990686774</v>
      </c>
      <c r="AS209" s="135">
        <f t="shared" si="3"/>
        <v>-57128.06</v>
      </c>
      <c r="AT209" s="135">
        <f t="shared" si="3"/>
        <v>0</v>
      </c>
      <c r="AU209" s="135">
        <f t="shared" si="3"/>
        <v>0</v>
      </c>
      <c r="AV209" s="135">
        <f t="shared" si="3"/>
        <v>0</v>
      </c>
      <c r="AW209" s="135">
        <f t="shared" si="3"/>
        <v>-3</v>
      </c>
      <c r="AX209" s="135">
        <f t="shared" si="3"/>
        <v>0</v>
      </c>
      <c r="AY209" s="135">
        <f t="shared" si="3"/>
        <v>15000</v>
      </c>
      <c r="AZ209" s="127">
        <f t="shared" si="3"/>
        <v>110898.75</v>
      </c>
      <c r="BA209" s="127">
        <f t="shared" si="3"/>
        <v>41340</v>
      </c>
    </row>
    <row r="210" spans="1:53" x14ac:dyDescent="0.25">
      <c r="A210" s="18"/>
      <c r="B210" s="18"/>
      <c r="C210" s="18"/>
      <c r="D210" s="34"/>
      <c r="E210" s="31"/>
      <c r="F210" s="33"/>
      <c r="G210" s="38"/>
      <c r="H210" s="21"/>
      <c r="I210" s="17"/>
      <c r="J210" s="17"/>
      <c r="P210" s="160" t="s">
        <v>308</v>
      </c>
      <c r="Q210" s="161"/>
      <c r="R210" s="74"/>
    </row>
    <row r="211" spans="1:53" x14ac:dyDescent="0.25">
      <c r="A211" s="18"/>
      <c r="B211" s="18"/>
      <c r="C211" s="18"/>
      <c r="D211" s="155"/>
      <c r="E211" s="32"/>
      <c r="F211" s="33"/>
      <c r="G211" s="179"/>
      <c r="H211" s="180"/>
      <c r="I211" s="181"/>
      <c r="J211" s="181"/>
      <c r="P211" s="160" t="s">
        <v>309</v>
      </c>
      <c r="Q211" s="161"/>
      <c r="R211" s="74"/>
    </row>
    <row r="212" spans="1:53" ht="21.75" thickBot="1" x14ac:dyDescent="0.4">
      <c r="A212" s="18"/>
      <c r="B212" s="18"/>
      <c r="C212" s="18"/>
      <c r="D212" s="34"/>
      <c r="E212" s="32"/>
      <c r="F212" s="33"/>
      <c r="G212" s="182">
        <f>SUM(K209:BA209)</f>
        <v>27987343.730000008</v>
      </c>
      <c r="H212" s="183" t="s">
        <v>310</v>
      </c>
      <c r="I212" s="184"/>
      <c r="J212" s="183"/>
      <c r="P212" s="162"/>
      <c r="Q212" s="163"/>
      <c r="R212" s="76"/>
    </row>
    <row r="213" spans="1:53" ht="21.75" thickBot="1" x14ac:dyDescent="0.4">
      <c r="A213" s="18"/>
      <c r="B213" s="18"/>
      <c r="C213" s="18"/>
      <c r="D213" s="34"/>
      <c r="E213" s="32"/>
      <c r="F213" s="18"/>
      <c r="G213" s="170"/>
      <c r="H213" s="170"/>
      <c r="I213" s="134"/>
      <c r="J213" s="170"/>
      <c r="P213" s="119"/>
      <c r="Q213" s="119"/>
    </row>
    <row r="214" spans="1:53" ht="21.75" thickBot="1" x14ac:dyDescent="0.4">
      <c r="A214" s="37" t="s">
        <v>17</v>
      </c>
      <c r="B214" s="18"/>
      <c r="C214" s="18"/>
      <c r="D214" s="173" t="s">
        <v>16</v>
      </c>
      <c r="E214" s="174">
        <f>SUM(E204:E213)</f>
        <v>36670120.039999999</v>
      </c>
      <c r="F214" s="175"/>
      <c r="G214" s="176">
        <f>E214</f>
        <v>36670120.039999999</v>
      </c>
      <c r="H214" s="177" t="s">
        <v>338</v>
      </c>
      <c r="I214" s="94"/>
      <c r="J214" s="178"/>
      <c r="P214" s="119"/>
      <c r="Q214" s="119"/>
    </row>
    <row r="215" spans="1:53" ht="21" x14ac:dyDescent="0.35">
      <c r="A215" s="18"/>
      <c r="B215" s="18"/>
      <c r="C215" s="18"/>
      <c r="D215" s="18"/>
      <c r="E215" s="38"/>
      <c r="F215" s="18"/>
      <c r="G215" s="170"/>
      <c r="H215" s="170"/>
      <c r="I215" s="170"/>
      <c r="J215" s="170"/>
      <c r="P215" s="119"/>
      <c r="Q215" s="119"/>
    </row>
    <row r="216" spans="1:53" ht="21" x14ac:dyDescent="0.35">
      <c r="A216" s="18"/>
      <c r="B216" s="18"/>
      <c r="C216" s="18"/>
      <c r="D216" s="18"/>
      <c r="E216" s="18"/>
      <c r="F216" s="18"/>
      <c r="G216" s="172">
        <f>G214-G212</f>
        <v>8682776.3099999912</v>
      </c>
      <c r="H216" s="171" t="s">
        <v>311</v>
      </c>
      <c r="I216" s="169"/>
      <c r="J216" s="169"/>
      <c r="L216" s="165"/>
      <c r="M216" s="164"/>
      <c r="N216" s="164"/>
      <c r="P216" s="119"/>
      <c r="Q216" s="119"/>
    </row>
    <row r="217" spans="1:53" ht="21" x14ac:dyDescent="0.35">
      <c r="A217" s="18"/>
      <c r="B217" s="18"/>
      <c r="C217" s="18"/>
      <c r="D217" s="18"/>
      <c r="E217" s="39"/>
      <c r="F217" s="18"/>
      <c r="G217" s="62"/>
      <c r="H217" s="18"/>
      <c r="I217" s="17"/>
      <c r="J217" s="17"/>
      <c r="K217" s="164"/>
      <c r="L217" s="164"/>
      <c r="M217" s="164"/>
      <c r="N217" s="164"/>
    </row>
    <row r="218" spans="1:53" ht="21" x14ac:dyDescent="0.35">
      <c r="A218" s="18"/>
      <c r="B218" s="18"/>
      <c r="C218" s="18"/>
      <c r="D218" s="18"/>
      <c r="E218" s="18"/>
      <c r="F218" s="18"/>
      <c r="G218" s="62"/>
      <c r="H218" s="18"/>
      <c r="I218" s="17"/>
      <c r="J218" s="17"/>
      <c r="K218" s="164"/>
      <c r="L218" s="164"/>
      <c r="M218" s="164"/>
      <c r="N218" s="164"/>
    </row>
    <row r="219" spans="1:53" x14ac:dyDescent="0.25">
      <c r="A219" s="18"/>
      <c r="B219" s="18"/>
      <c r="C219" s="18"/>
      <c r="D219" s="18"/>
      <c r="E219" s="18"/>
      <c r="F219" s="18"/>
      <c r="G219" s="62"/>
      <c r="H219" s="18"/>
      <c r="I219" s="17"/>
      <c r="J219" s="17"/>
    </row>
    <row r="220" spans="1:53" ht="15.75" thickBot="1" x14ac:dyDescent="0.3">
      <c r="D220" s="18"/>
      <c r="E220" s="18"/>
    </row>
    <row r="221" spans="1:53" x14ac:dyDescent="0.25">
      <c r="P221" s="139" t="s">
        <v>240</v>
      </c>
      <c r="Q221" s="140" t="s">
        <v>237</v>
      </c>
      <c r="R221" s="140" t="s">
        <v>238</v>
      </c>
      <c r="S221" s="140"/>
      <c r="T221" s="140"/>
      <c r="U221" s="140"/>
      <c r="V221" s="141" t="s">
        <v>239</v>
      </c>
    </row>
    <row r="222" spans="1:53" x14ac:dyDescent="0.25">
      <c r="P222" s="142">
        <f>SUM(Q222:V222)</f>
        <v>44891640.799999997</v>
      </c>
      <c r="Q222" s="143">
        <v>27287533.800000001</v>
      </c>
      <c r="R222" s="143">
        <v>6204107</v>
      </c>
      <c r="S222" s="143"/>
      <c r="T222" s="143"/>
      <c r="U222" s="143"/>
      <c r="V222" s="144">
        <v>11400000</v>
      </c>
    </row>
    <row r="223" spans="1:53" x14ac:dyDescent="0.25">
      <c r="P223" s="145" t="s">
        <v>241</v>
      </c>
      <c r="Q223" s="146">
        <f>Q222/P222</f>
        <v>0.60785334003652636</v>
      </c>
      <c r="R223" s="146">
        <f>R222/P222</f>
        <v>0.13820183199897654</v>
      </c>
      <c r="S223" s="146"/>
      <c r="T223" s="146"/>
      <c r="U223" s="146"/>
      <c r="V223" s="147">
        <f>V222/P222</f>
        <v>0.25394482796449713</v>
      </c>
    </row>
    <row r="224" spans="1:53" x14ac:dyDescent="0.25">
      <c r="P224" s="145" t="s">
        <v>242</v>
      </c>
      <c r="Q224" s="148"/>
      <c r="R224" s="148"/>
      <c r="S224" s="148"/>
      <c r="T224" s="148"/>
      <c r="U224" s="148"/>
      <c r="V224" s="149"/>
    </row>
    <row r="225" spans="16:22" ht="15.75" thickBot="1" x14ac:dyDescent="0.3">
      <c r="P225" s="150"/>
      <c r="Q225" s="151"/>
      <c r="R225" s="151"/>
      <c r="S225" s="151"/>
      <c r="T225" s="151"/>
      <c r="U225" s="151"/>
      <c r="V225" s="152"/>
    </row>
  </sheetData>
  <mergeCells count="2">
    <mergeCell ref="D202:E202"/>
    <mergeCell ref="G202:H202"/>
  </mergeCells>
  <printOptions horizontalCentered="1"/>
  <pageMargins left="0.25" right="0.2" top="0.25" bottom="0.2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5BEB-6E2F-4EEF-8813-E100C4713124}">
  <dimension ref="A1:AI49"/>
  <sheetViews>
    <sheetView workbookViewId="0">
      <selection activeCell="H15" sqref="H15"/>
    </sheetView>
  </sheetViews>
  <sheetFormatPr defaultRowHeight="15" x14ac:dyDescent="0.25"/>
  <cols>
    <col min="1" max="1" width="14.7109375" customWidth="1"/>
    <col min="2" max="2" width="12.85546875" customWidth="1"/>
    <col min="3" max="3" width="9.140625" customWidth="1"/>
    <col min="4" max="4" width="33" customWidth="1"/>
    <col min="5" max="5" width="18.42578125" customWidth="1"/>
    <col min="6" max="6" width="15" customWidth="1"/>
    <col min="7" max="7" width="18.28515625" style="65" customWidth="1"/>
    <col min="8" max="8" width="30.85546875" customWidth="1"/>
    <col min="9" max="10" width="14.5703125" customWidth="1"/>
    <col min="11" max="11" width="10.85546875" bestFit="1" customWidth="1"/>
    <col min="12" max="12" width="13.42578125" bestFit="1" customWidth="1"/>
    <col min="13" max="13" width="11.85546875" bestFit="1" customWidth="1"/>
    <col min="14" max="14" width="12.7109375" bestFit="1" customWidth="1"/>
    <col min="15" max="15" width="11.85546875" customWidth="1"/>
    <col min="16" max="16" width="11.42578125" bestFit="1" customWidth="1"/>
    <col min="17" max="17" width="10.5703125" customWidth="1"/>
    <col min="18" max="18" width="9.85546875" bestFit="1" customWidth="1"/>
    <col min="19" max="19" width="10.85546875" bestFit="1" customWidth="1"/>
    <col min="20" max="21" width="10.85546875" customWidth="1"/>
    <col min="22" max="22" width="10.85546875" bestFit="1" customWidth="1"/>
    <col min="23" max="23" width="10.85546875" customWidth="1"/>
    <col min="24" max="24" width="13.28515625" customWidth="1"/>
    <col min="25" max="25" width="11.85546875" bestFit="1" customWidth="1"/>
    <col min="26" max="27" width="11.85546875" customWidth="1"/>
    <col min="28" max="28" width="13.42578125" bestFit="1" customWidth="1"/>
    <col min="29" max="30" width="11.85546875" bestFit="1" customWidth="1"/>
    <col min="31" max="31" width="9.85546875" bestFit="1" customWidth="1"/>
    <col min="33" max="33" width="9.85546875" bestFit="1" customWidth="1"/>
    <col min="34" max="34" width="10.85546875" bestFit="1" customWidth="1"/>
    <col min="35" max="35" width="9.85546875" bestFit="1" customWidth="1"/>
  </cols>
  <sheetData>
    <row r="1" spans="1:35" ht="19.5" thickBot="1" x14ac:dyDescent="0.35">
      <c r="A1" s="66" t="s">
        <v>151</v>
      </c>
      <c r="AE1" t="s">
        <v>181</v>
      </c>
      <c r="AF1" t="s">
        <v>181</v>
      </c>
      <c r="AG1" t="s">
        <v>181</v>
      </c>
    </row>
    <row r="2" spans="1:35" ht="19.5" thickBot="1" x14ac:dyDescent="0.35">
      <c r="A2" s="66" t="s">
        <v>152</v>
      </c>
      <c r="L2" s="67" t="s">
        <v>161</v>
      </c>
      <c r="M2" s="67" t="s">
        <v>161</v>
      </c>
      <c r="N2" s="71"/>
      <c r="O2" s="78"/>
      <c r="P2" s="72"/>
      <c r="R2" t="s">
        <v>162</v>
      </c>
      <c r="S2" t="s">
        <v>166</v>
      </c>
      <c r="T2" t="s">
        <v>166</v>
      </c>
      <c r="U2" t="s">
        <v>166</v>
      </c>
      <c r="V2" s="67" t="s">
        <v>167</v>
      </c>
      <c r="W2" s="67" t="s">
        <v>167</v>
      </c>
      <c r="X2" s="67" t="s">
        <v>167</v>
      </c>
      <c r="Y2" t="s">
        <v>169</v>
      </c>
      <c r="Z2" t="s">
        <v>169</v>
      </c>
      <c r="AA2" t="s">
        <v>169</v>
      </c>
      <c r="AB2" t="s">
        <v>170</v>
      </c>
      <c r="AE2" t="s">
        <v>179</v>
      </c>
      <c r="AF2" t="s">
        <v>179</v>
      </c>
      <c r="AG2" t="s">
        <v>179</v>
      </c>
      <c r="AH2" t="s">
        <v>183</v>
      </c>
      <c r="AI2" t="s">
        <v>184</v>
      </c>
    </row>
    <row r="3" spans="1:35" ht="18.75" x14ac:dyDescent="0.3">
      <c r="A3" s="66" t="s">
        <v>153</v>
      </c>
      <c r="K3" s="69" t="s">
        <v>164</v>
      </c>
      <c r="L3" s="69" t="s">
        <v>14</v>
      </c>
      <c r="M3" s="69" t="s">
        <v>14</v>
      </c>
      <c r="N3" s="73" t="s">
        <v>156</v>
      </c>
      <c r="O3" s="79" t="s">
        <v>158</v>
      </c>
      <c r="P3" s="74" t="s">
        <v>158</v>
      </c>
      <c r="R3" s="81" t="s">
        <v>163</v>
      </c>
      <c r="S3" s="81" t="s">
        <v>159</v>
      </c>
      <c r="T3" s="81" t="s">
        <v>159</v>
      </c>
      <c r="U3" s="81" t="s">
        <v>159</v>
      </c>
      <c r="Y3" t="s">
        <v>168</v>
      </c>
      <c r="Z3" t="s">
        <v>168</v>
      </c>
      <c r="AA3" t="s">
        <v>168</v>
      </c>
      <c r="AB3" s="67" t="s">
        <v>171</v>
      </c>
      <c r="AC3" s="67" t="s">
        <v>176</v>
      </c>
      <c r="AD3" s="67" t="s">
        <v>178</v>
      </c>
      <c r="AE3" s="67" t="s">
        <v>180</v>
      </c>
      <c r="AF3" s="67" t="s">
        <v>180</v>
      </c>
      <c r="AG3" s="67" t="s">
        <v>180</v>
      </c>
      <c r="AH3" s="67" t="s">
        <v>182</v>
      </c>
      <c r="AI3" s="67" t="s">
        <v>185</v>
      </c>
    </row>
    <row r="4" spans="1:35" ht="15.75" thickBot="1" x14ac:dyDescent="0.3">
      <c r="K4" s="70" t="s">
        <v>165</v>
      </c>
      <c r="L4" s="70" t="s">
        <v>160</v>
      </c>
      <c r="M4" s="75" t="s">
        <v>154</v>
      </c>
      <c r="N4" s="75" t="s">
        <v>157</v>
      </c>
      <c r="O4" s="80" t="s">
        <v>40</v>
      </c>
      <c r="P4" s="76" t="s">
        <v>154</v>
      </c>
      <c r="Q4" s="67" t="s">
        <v>159</v>
      </c>
      <c r="R4" s="81" t="s">
        <v>157</v>
      </c>
      <c r="S4" s="81" t="s">
        <v>157</v>
      </c>
      <c r="T4" s="81" t="s">
        <v>40</v>
      </c>
      <c r="U4" s="81" t="s">
        <v>173</v>
      </c>
      <c r="V4" s="81" t="s">
        <v>157</v>
      </c>
      <c r="W4" s="81" t="s">
        <v>40</v>
      </c>
      <c r="X4" s="81" t="s">
        <v>154</v>
      </c>
      <c r="Y4" s="81" t="s">
        <v>157</v>
      </c>
      <c r="Z4" s="81" t="s">
        <v>173</v>
      </c>
      <c r="AA4" s="81" t="s">
        <v>174</v>
      </c>
      <c r="AB4" s="81" t="s">
        <v>172</v>
      </c>
      <c r="AC4" s="81" t="s">
        <v>175</v>
      </c>
      <c r="AD4" s="81" t="s">
        <v>177</v>
      </c>
      <c r="AE4" s="81" t="s">
        <v>157</v>
      </c>
      <c r="AF4" s="81" t="s">
        <v>40</v>
      </c>
      <c r="AG4" s="81" t="s">
        <v>173</v>
      </c>
      <c r="AH4" s="81" t="s">
        <v>157</v>
      </c>
    </row>
    <row r="5" spans="1:35" ht="15.75" thickBot="1" x14ac:dyDescent="0.3">
      <c r="A5" s="85" t="s">
        <v>0</v>
      </c>
      <c r="B5" s="85" t="s">
        <v>1</v>
      </c>
      <c r="C5" s="85" t="s">
        <v>18</v>
      </c>
      <c r="D5" s="85" t="s">
        <v>2</v>
      </c>
      <c r="E5" s="85" t="s">
        <v>3</v>
      </c>
      <c r="F5" s="85" t="s">
        <v>4</v>
      </c>
      <c r="G5" s="86" t="s">
        <v>5</v>
      </c>
      <c r="H5" s="85" t="s">
        <v>6</v>
      </c>
      <c r="I5" s="85" t="s">
        <v>7</v>
      </c>
      <c r="J5" s="104"/>
    </row>
    <row r="6" spans="1:35" ht="15.75" thickBot="1" x14ac:dyDescent="0.3">
      <c r="A6" s="90"/>
      <c r="B6" s="92"/>
      <c r="C6" s="100"/>
      <c r="D6" s="92"/>
      <c r="E6" s="99"/>
      <c r="F6" s="90"/>
      <c r="G6" s="91"/>
      <c r="H6" s="92"/>
      <c r="I6" s="93"/>
      <c r="J6" s="105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5"/>
    </row>
    <row r="7" spans="1:35" s="42" customFormat="1" x14ac:dyDescent="0.25">
      <c r="A7" s="40" t="s">
        <v>33</v>
      </c>
      <c r="B7" s="6">
        <v>43343</v>
      </c>
      <c r="C7" s="41"/>
      <c r="D7" s="40" t="s">
        <v>34</v>
      </c>
      <c r="E7" s="51">
        <v>80621.25</v>
      </c>
      <c r="F7" s="50">
        <v>0</v>
      </c>
      <c r="G7" s="82">
        <f>E7-F7</f>
        <v>80621.25</v>
      </c>
      <c r="H7" s="83"/>
      <c r="I7" s="84" t="s">
        <v>41</v>
      </c>
      <c r="J7" s="108">
        <f>G7</f>
        <v>80621.25</v>
      </c>
      <c r="K7"/>
      <c r="L7"/>
      <c r="M7"/>
      <c r="N7"/>
      <c r="O7"/>
      <c r="P7"/>
      <c r="Q7"/>
      <c r="R7"/>
      <c r="S7"/>
      <c r="T7"/>
      <c r="U7"/>
    </row>
    <row r="8" spans="1:35" x14ac:dyDescent="0.25">
      <c r="A8" s="1" t="s">
        <v>38</v>
      </c>
      <c r="B8" s="6">
        <v>43343</v>
      </c>
      <c r="C8" s="3"/>
      <c r="D8" s="1" t="s">
        <v>39</v>
      </c>
      <c r="E8" s="4">
        <v>134238.70000000001</v>
      </c>
      <c r="F8" s="4">
        <v>0</v>
      </c>
      <c r="G8" s="82">
        <f>E8-F8</f>
        <v>134238.70000000001</v>
      </c>
      <c r="H8" s="83" t="s">
        <v>37</v>
      </c>
      <c r="I8" s="84" t="s">
        <v>41</v>
      </c>
      <c r="J8" s="108">
        <f t="shared" ref="J8" si="0">G8</f>
        <v>134238.70000000001</v>
      </c>
    </row>
    <row r="9" spans="1:35" x14ac:dyDescent="0.25">
      <c r="A9" s="1" t="s">
        <v>82</v>
      </c>
      <c r="B9" s="6">
        <v>43420</v>
      </c>
      <c r="C9" s="3"/>
      <c r="D9" s="12" t="s">
        <v>83</v>
      </c>
      <c r="E9" s="52">
        <f>67119.35+341.55</f>
        <v>67460.900000000009</v>
      </c>
      <c r="F9" s="52">
        <v>0</v>
      </c>
      <c r="G9" s="82">
        <f>E9+F9</f>
        <v>67460.900000000009</v>
      </c>
      <c r="H9" s="83" t="s">
        <v>84</v>
      </c>
      <c r="I9" s="84"/>
      <c r="J9" s="108">
        <f t="shared" ref="J9" si="1">G9</f>
        <v>67460.900000000009</v>
      </c>
    </row>
    <row r="10" spans="1:35" x14ac:dyDescent="0.25">
      <c r="A10" s="1" t="s">
        <v>85</v>
      </c>
      <c r="B10" s="6">
        <v>43434</v>
      </c>
      <c r="C10" s="3"/>
      <c r="D10" s="12" t="s">
        <v>83</v>
      </c>
      <c r="E10" s="52">
        <v>67119.350000000006</v>
      </c>
      <c r="F10" s="52">
        <v>0</v>
      </c>
      <c r="G10" s="82">
        <f>E10+F10</f>
        <v>67119.350000000006</v>
      </c>
      <c r="H10" s="83" t="s">
        <v>84</v>
      </c>
      <c r="I10" s="84"/>
      <c r="J10" s="108">
        <f t="shared" ref="J10:J15" si="2">G10</f>
        <v>67119.350000000006</v>
      </c>
    </row>
    <row r="11" spans="1:35" x14ac:dyDescent="0.25">
      <c r="A11" s="1" t="s">
        <v>86</v>
      </c>
      <c r="B11" s="6">
        <v>43469</v>
      </c>
      <c r="C11" s="3"/>
      <c r="D11" s="12" t="s">
        <v>83</v>
      </c>
      <c r="E11" s="52">
        <f>67119.35+67119.35+81.59+1120.36+1229.97</f>
        <v>136670.62</v>
      </c>
      <c r="F11" s="52">
        <v>0</v>
      </c>
      <c r="G11" s="82">
        <f>E11+F11</f>
        <v>136670.62</v>
      </c>
      <c r="H11" s="83" t="s">
        <v>84</v>
      </c>
      <c r="I11" s="84"/>
      <c r="J11" s="108">
        <f t="shared" si="2"/>
        <v>136670.62</v>
      </c>
    </row>
    <row r="12" spans="1:35" x14ac:dyDescent="0.25">
      <c r="A12" s="1" t="s">
        <v>87</v>
      </c>
      <c r="B12" s="6">
        <v>43525</v>
      </c>
      <c r="C12" s="3"/>
      <c r="D12" s="12" t="s">
        <v>83</v>
      </c>
      <c r="E12" s="52">
        <f>67119.35+443.03</f>
        <v>67562.38</v>
      </c>
      <c r="F12" s="52">
        <v>0</v>
      </c>
      <c r="G12" s="82">
        <f>E12+F12</f>
        <v>67562.38</v>
      </c>
      <c r="H12" s="83" t="s">
        <v>84</v>
      </c>
      <c r="I12" s="84"/>
      <c r="J12" s="108">
        <f t="shared" si="2"/>
        <v>67562.38</v>
      </c>
    </row>
    <row r="13" spans="1:35" x14ac:dyDescent="0.25">
      <c r="A13" s="1" t="s">
        <v>145</v>
      </c>
      <c r="B13" s="6">
        <v>43546</v>
      </c>
      <c r="C13" s="3"/>
      <c r="D13" s="12" t="s">
        <v>146</v>
      </c>
      <c r="E13" s="52">
        <v>174295.8</v>
      </c>
      <c r="F13" s="52">
        <v>0</v>
      </c>
      <c r="G13" s="82">
        <f>E13+F13</f>
        <v>174295.8</v>
      </c>
      <c r="H13" s="83"/>
      <c r="I13" s="84"/>
      <c r="J13" s="108">
        <f t="shared" si="2"/>
        <v>174295.8</v>
      </c>
    </row>
    <row r="14" spans="1:35" x14ac:dyDescent="0.25">
      <c r="A14" s="1" t="s">
        <v>112</v>
      </c>
      <c r="B14" s="6">
        <v>43553</v>
      </c>
      <c r="C14" s="3"/>
      <c r="D14" s="12" t="s">
        <v>113</v>
      </c>
      <c r="E14" s="52">
        <v>19880</v>
      </c>
      <c r="F14" s="52">
        <v>0</v>
      </c>
      <c r="G14" s="82">
        <f t="shared" ref="G14" si="3">E14+F14</f>
        <v>19880</v>
      </c>
      <c r="H14" s="83" t="s">
        <v>114</v>
      </c>
      <c r="I14" s="84"/>
      <c r="J14" s="108">
        <f t="shared" si="2"/>
        <v>19880</v>
      </c>
    </row>
    <row r="15" spans="1:35" x14ac:dyDescent="0.25">
      <c r="A15" s="1" t="s">
        <v>88</v>
      </c>
      <c r="B15" s="6">
        <v>43560</v>
      </c>
      <c r="C15" s="3"/>
      <c r="D15" s="12" t="s">
        <v>83</v>
      </c>
      <c r="E15" s="52">
        <f>76239.19+49990+1446.33</f>
        <v>127675.52</v>
      </c>
      <c r="F15" s="52">
        <v>0</v>
      </c>
      <c r="G15" s="82">
        <f>E15+F15</f>
        <v>127675.52</v>
      </c>
      <c r="H15" s="83" t="s">
        <v>84</v>
      </c>
      <c r="I15" s="84"/>
      <c r="J15" s="108">
        <f t="shared" si="2"/>
        <v>127675.52</v>
      </c>
    </row>
    <row r="16" spans="1:35" x14ac:dyDescent="0.25">
      <c r="A16" s="1"/>
      <c r="B16" s="6"/>
      <c r="C16" s="3"/>
      <c r="D16" s="12"/>
      <c r="E16" s="52"/>
      <c r="F16" s="52"/>
      <c r="G16" s="101"/>
      <c r="H16" s="83"/>
      <c r="I16" s="84"/>
      <c r="J16" s="106"/>
    </row>
    <row r="17" spans="1:35" x14ac:dyDescent="0.25">
      <c r="A17" s="1" t="s">
        <v>115</v>
      </c>
      <c r="B17" s="6">
        <v>43565</v>
      </c>
      <c r="C17" s="3"/>
      <c r="D17" s="12" t="s">
        <v>116</v>
      </c>
      <c r="E17" s="52">
        <v>5520</v>
      </c>
      <c r="F17" s="52">
        <v>0</v>
      </c>
      <c r="G17" s="82">
        <f>E17+F17</f>
        <v>5520</v>
      </c>
      <c r="H17" s="83" t="s">
        <v>117</v>
      </c>
      <c r="I17" s="84"/>
      <c r="J17" s="108">
        <f>G17</f>
        <v>5520</v>
      </c>
    </row>
    <row r="18" spans="1:35" x14ac:dyDescent="0.25">
      <c r="A18" s="1"/>
      <c r="B18" s="6"/>
      <c r="C18" s="3"/>
      <c r="D18" s="12"/>
      <c r="E18" s="52"/>
      <c r="F18" s="52"/>
      <c r="G18" s="101"/>
      <c r="H18" s="83"/>
      <c r="I18" s="84"/>
      <c r="J18" s="106"/>
    </row>
    <row r="19" spans="1:35" x14ac:dyDescent="0.25">
      <c r="A19" s="1" t="s">
        <v>120</v>
      </c>
      <c r="B19" s="6">
        <v>43573</v>
      </c>
      <c r="C19" s="3"/>
      <c r="D19" s="12" t="s">
        <v>116</v>
      </c>
      <c r="E19" s="52">
        <f>300+3378</f>
        <v>3678</v>
      </c>
      <c r="F19" s="52">
        <v>0</v>
      </c>
      <c r="G19" s="82">
        <f>E19+F19</f>
        <v>3678</v>
      </c>
      <c r="H19" s="83" t="s">
        <v>121</v>
      </c>
      <c r="I19" s="84"/>
      <c r="J19" s="108">
        <f>G19</f>
        <v>3678</v>
      </c>
    </row>
    <row r="20" spans="1:35" x14ac:dyDescent="0.25">
      <c r="A20" s="1" t="s">
        <v>89</v>
      </c>
      <c r="B20" s="6">
        <v>43581</v>
      </c>
      <c r="C20" s="3"/>
      <c r="D20" s="12" t="s">
        <v>83</v>
      </c>
      <c r="E20" s="52">
        <f>76239.19+226.2</f>
        <v>76465.39</v>
      </c>
      <c r="F20" s="52">
        <v>0</v>
      </c>
      <c r="G20" s="82">
        <f>E20+F20</f>
        <v>76465.39</v>
      </c>
      <c r="H20" s="83" t="s">
        <v>84</v>
      </c>
      <c r="I20" s="84"/>
      <c r="J20" s="108">
        <f>G20</f>
        <v>76465.39</v>
      </c>
    </row>
    <row r="21" spans="1:35" x14ac:dyDescent="0.25">
      <c r="A21" s="1" t="s">
        <v>90</v>
      </c>
      <c r="B21" s="6">
        <v>43588</v>
      </c>
      <c r="C21" s="3"/>
      <c r="D21" s="12" t="s">
        <v>83</v>
      </c>
      <c r="E21" s="52">
        <f>76239.19+786.06</f>
        <v>77025.25</v>
      </c>
      <c r="F21" s="52">
        <v>0</v>
      </c>
      <c r="G21" s="82">
        <f>E21+F21</f>
        <v>77025.25</v>
      </c>
      <c r="H21" s="83" t="s">
        <v>84</v>
      </c>
      <c r="I21" s="84"/>
      <c r="J21" s="108">
        <f>G21</f>
        <v>77025.25</v>
      </c>
    </row>
    <row r="22" spans="1:35" x14ac:dyDescent="0.25">
      <c r="A22" s="1" t="s">
        <v>91</v>
      </c>
      <c r="B22" s="6">
        <v>43629</v>
      </c>
      <c r="C22" s="3"/>
      <c r="D22" s="12" t="s">
        <v>83</v>
      </c>
      <c r="E22" s="52">
        <f>76239.19+539.66</f>
        <v>76778.850000000006</v>
      </c>
      <c r="F22" s="52">
        <v>0</v>
      </c>
      <c r="G22" s="82">
        <f>E22+F22</f>
        <v>76778.850000000006</v>
      </c>
      <c r="H22" s="83" t="s">
        <v>84</v>
      </c>
      <c r="I22" s="84"/>
      <c r="J22" s="108">
        <f>G22</f>
        <v>76778.850000000006</v>
      </c>
    </row>
    <row r="23" spans="1:35" x14ac:dyDescent="0.25">
      <c r="A23" s="1" t="s">
        <v>92</v>
      </c>
      <c r="B23" s="6">
        <v>43658</v>
      </c>
      <c r="C23" s="3"/>
      <c r="D23" s="12" t="s">
        <v>83</v>
      </c>
      <c r="E23" s="52">
        <f>76239.19+405.24</f>
        <v>76644.430000000008</v>
      </c>
      <c r="F23" s="52">
        <v>0</v>
      </c>
      <c r="G23" s="82">
        <f>E23+F23</f>
        <v>76644.430000000008</v>
      </c>
      <c r="H23" s="83" t="s">
        <v>84</v>
      </c>
      <c r="I23" s="84"/>
      <c r="J23" s="108">
        <f>G23</f>
        <v>76644.430000000008</v>
      </c>
    </row>
    <row r="24" spans="1:35" x14ac:dyDescent="0.25">
      <c r="A24" s="1"/>
      <c r="B24" s="6"/>
      <c r="C24" s="3"/>
      <c r="D24" s="12"/>
      <c r="E24" s="52"/>
      <c r="F24" s="52"/>
      <c r="G24" s="58"/>
      <c r="H24" s="43"/>
      <c r="I24" s="1"/>
      <c r="J24" s="20"/>
    </row>
    <row r="25" spans="1:35" x14ac:dyDescent="0.25">
      <c r="A25" s="1"/>
      <c r="B25" s="6"/>
      <c r="C25" s="3"/>
      <c r="D25" s="12"/>
      <c r="E25" s="13"/>
      <c r="F25" s="52"/>
      <c r="G25" s="58"/>
      <c r="H25" s="43"/>
      <c r="I25" s="1"/>
      <c r="J25" s="20"/>
    </row>
    <row r="26" spans="1:35" x14ac:dyDescent="0.25">
      <c r="A26" s="1"/>
      <c r="B26" s="6"/>
      <c r="C26" s="3"/>
      <c r="D26" s="12"/>
      <c r="E26" s="13"/>
      <c r="F26" s="52"/>
      <c r="G26" s="58"/>
      <c r="H26" s="43"/>
      <c r="I26" s="1"/>
      <c r="J26" s="20"/>
    </row>
    <row r="27" spans="1:35" x14ac:dyDescent="0.25">
      <c r="A27" s="1"/>
      <c r="B27" s="6"/>
      <c r="C27" s="3"/>
      <c r="D27" s="12"/>
      <c r="E27" s="52"/>
      <c r="F27" s="52"/>
      <c r="G27" s="58"/>
      <c r="H27" s="43"/>
      <c r="I27" s="1"/>
      <c r="J27" s="20"/>
    </row>
    <row r="28" spans="1:35" ht="15.75" thickBot="1" x14ac:dyDescent="0.3">
      <c r="A28" s="20"/>
      <c r="B28" s="54"/>
      <c r="C28" s="55"/>
      <c r="D28" s="21"/>
      <c r="E28" s="56"/>
      <c r="F28" s="56"/>
      <c r="G28" s="61"/>
      <c r="H28" s="57"/>
      <c r="I28" s="20"/>
      <c r="J28" s="20"/>
    </row>
    <row r="29" spans="1:35" x14ac:dyDescent="0.25">
      <c r="A29" s="17"/>
      <c r="B29" s="18"/>
      <c r="C29" s="18"/>
      <c r="D29" s="18"/>
      <c r="E29" s="18"/>
      <c r="F29" s="18"/>
      <c r="G29" s="114"/>
      <c r="H29" s="18"/>
      <c r="I29" s="17"/>
      <c r="J29" s="17"/>
    </row>
    <row r="30" spans="1:35" ht="15.75" thickBot="1" x14ac:dyDescent="0.3">
      <c r="A30" s="20"/>
      <c r="B30" s="21"/>
      <c r="C30" s="21"/>
      <c r="D30" s="22" t="s">
        <v>9</v>
      </c>
      <c r="E30" s="23">
        <f>SUM(E7:E27)</f>
        <v>1191636.44</v>
      </c>
      <c r="F30" s="23">
        <f>SUM(F7:F27)</f>
        <v>0</v>
      </c>
      <c r="G30" s="115">
        <f>SUM(G7:G27)</f>
        <v>1191636.44</v>
      </c>
      <c r="H30" s="21"/>
      <c r="I30" s="20"/>
      <c r="J30" s="103">
        <f t="shared" ref="J30:AI30" si="4">SUM(J7:J29)</f>
        <v>1191636.44</v>
      </c>
      <c r="K30" s="103">
        <f t="shared" si="4"/>
        <v>0</v>
      </c>
      <c r="L30" s="103">
        <f t="shared" si="4"/>
        <v>0</v>
      </c>
      <c r="M30" s="103">
        <f t="shared" si="4"/>
        <v>0</v>
      </c>
      <c r="N30" s="103">
        <f t="shared" si="4"/>
        <v>0</v>
      </c>
      <c r="O30" s="103">
        <f t="shared" si="4"/>
        <v>0</v>
      </c>
      <c r="P30" s="103">
        <f t="shared" si="4"/>
        <v>0</v>
      </c>
      <c r="Q30" s="103">
        <f t="shared" si="4"/>
        <v>0</v>
      </c>
      <c r="R30" s="103">
        <f t="shared" si="4"/>
        <v>0</v>
      </c>
      <c r="S30" s="103">
        <f t="shared" si="4"/>
        <v>0</v>
      </c>
      <c r="T30" s="103">
        <f t="shared" si="4"/>
        <v>0</v>
      </c>
      <c r="U30" s="103">
        <f t="shared" si="4"/>
        <v>0</v>
      </c>
      <c r="V30" s="103">
        <f t="shared" si="4"/>
        <v>0</v>
      </c>
      <c r="W30" s="103">
        <f t="shared" si="4"/>
        <v>0</v>
      </c>
      <c r="X30" s="103">
        <f t="shared" si="4"/>
        <v>0</v>
      </c>
      <c r="Y30" s="103">
        <f t="shared" si="4"/>
        <v>0</v>
      </c>
      <c r="Z30" s="103">
        <f t="shared" si="4"/>
        <v>0</v>
      </c>
      <c r="AA30" s="103">
        <f t="shared" si="4"/>
        <v>0</v>
      </c>
      <c r="AB30" s="103">
        <f t="shared" si="4"/>
        <v>0</v>
      </c>
      <c r="AC30" s="103">
        <f t="shared" si="4"/>
        <v>0</v>
      </c>
      <c r="AD30" s="103">
        <f t="shared" si="4"/>
        <v>0</v>
      </c>
      <c r="AE30" s="103">
        <f t="shared" si="4"/>
        <v>0</v>
      </c>
      <c r="AF30" s="103">
        <f t="shared" si="4"/>
        <v>0</v>
      </c>
      <c r="AG30" s="103">
        <f t="shared" si="4"/>
        <v>0</v>
      </c>
      <c r="AH30" s="103">
        <f t="shared" si="4"/>
        <v>0</v>
      </c>
      <c r="AI30" s="103">
        <f t="shared" si="4"/>
        <v>0</v>
      </c>
    </row>
    <row r="31" spans="1:35" ht="16.5" thickTop="1" thickBot="1" x14ac:dyDescent="0.3">
      <c r="A31" s="24"/>
      <c r="B31" s="25"/>
      <c r="C31" s="25"/>
      <c r="D31" s="25"/>
      <c r="E31" s="25"/>
      <c r="F31" s="25"/>
      <c r="G31" s="63"/>
      <c r="H31" s="25"/>
      <c r="I31" s="24"/>
      <c r="J31" s="26"/>
    </row>
    <row r="32" spans="1:35" x14ac:dyDescent="0.25">
      <c r="A32" s="26"/>
      <c r="B32" s="27"/>
      <c r="C32" s="27"/>
      <c r="D32" s="27"/>
      <c r="E32" s="27"/>
      <c r="F32" s="27"/>
      <c r="G32" s="64"/>
      <c r="H32" s="27"/>
      <c r="I32" s="26"/>
      <c r="J32" s="111">
        <f>SUM(J30:AI30)</f>
        <v>1191636.44</v>
      </c>
    </row>
    <row r="33" spans="1:11" x14ac:dyDescent="0.25">
      <c r="A33" s="28" t="s">
        <v>10</v>
      </c>
      <c r="B33" s="29"/>
      <c r="C33" s="29"/>
      <c r="D33" s="203" t="s">
        <v>11</v>
      </c>
      <c r="E33" s="203"/>
      <c r="F33" s="27"/>
      <c r="G33" s="203" t="s">
        <v>12</v>
      </c>
      <c r="H33" s="203"/>
      <c r="I33" s="17"/>
      <c r="J33" s="112"/>
    </row>
    <row r="34" spans="1:11" ht="15.75" thickBot="1" x14ac:dyDescent="0.3">
      <c r="A34" s="17"/>
      <c r="B34" s="18"/>
      <c r="C34" s="18"/>
      <c r="D34" s="27"/>
      <c r="E34" s="27"/>
      <c r="F34" s="27"/>
      <c r="G34" s="64"/>
      <c r="H34" s="18"/>
      <c r="I34" s="17"/>
      <c r="J34" s="113">
        <f>J32-G30</f>
        <v>0</v>
      </c>
      <c r="K34" t="s">
        <v>186</v>
      </c>
    </row>
    <row r="35" spans="1:11" x14ac:dyDescent="0.25">
      <c r="A35" s="17"/>
      <c r="B35" s="18"/>
      <c r="C35" s="18"/>
      <c r="D35" s="18" t="s">
        <v>155</v>
      </c>
      <c r="E35" s="19">
        <v>52000000</v>
      </c>
      <c r="F35" s="18"/>
      <c r="G35" s="29"/>
      <c r="H35" s="19"/>
      <c r="I35" s="17"/>
      <c r="J35" s="17"/>
    </row>
    <row r="36" spans="1:11" x14ac:dyDescent="0.25">
      <c r="A36" s="17"/>
      <c r="B36" s="18"/>
      <c r="C36" s="18"/>
      <c r="D36" s="30" t="s">
        <v>51</v>
      </c>
      <c r="E36" s="31">
        <f>-SUM(E7:E8)</f>
        <v>-214859.95</v>
      </c>
      <c r="F36" s="18"/>
      <c r="G36" s="29" t="s">
        <v>13</v>
      </c>
      <c r="H36" s="32"/>
      <c r="I36" s="17"/>
      <c r="J36" s="17"/>
    </row>
    <row r="37" spans="1:11" x14ac:dyDescent="0.25">
      <c r="A37" s="18"/>
      <c r="B37" s="18"/>
      <c r="C37" s="18"/>
      <c r="D37" s="30" t="s">
        <v>96</v>
      </c>
      <c r="E37" s="31">
        <f>-SUM(E9:E25)</f>
        <v>-976776.49000000011</v>
      </c>
      <c r="F37" s="33"/>
      <c r="G37" s="29" t="s">
        <v>14</v>
      </c>
      <c r="H37" s="33"/>
      <c r="I37" s="17"/>
      <c r="J37" s="17"/>
    </row>
    <row r="38" spans="1:11" x14ac:dyDescent="0.25">
      <c r="A38" s="18"/>
      <c r="B38" s="18"/>
      <c r="C38" s="18"/>
      <c r="D38" s="34"/>
      <c r="E38" s="31"/>
      <c r="F38" s="33"/>
      <c r="G38" s="29" t="s">
        <v>15</v>
      </c>
      <c r="H38" s="32"/>
      <c r="I38" s="17"/>
      <c r="J38" s="17"/>
    </row>
    <row r="39" spans="1:11" x14ac:dyDescent="0.25">
      <c r="A39" s="18"/>
      <c r="B39" s="18"/>
      <c r="C39" s="18"/>
      <c r="D39" s="34"/>
      <c r="E39" s="31"/>
      <c r="F39" s="33"/>
      <c r="G39" s="29"/>
      <c r="H39" s="32"/>
      <c r="I39" s="17"/>
      <c r="J39" s="17"/>
    </row>
    <row r="40" spans="1:11" x14ac:dyDescent="0.25">
      <c r="A40" s="18"/>
      <c r="B40" s="18"/>
      <c r="C40" s="18"/>
      <c r="D40" s="34"/>
      <c r="E40" s="32"/>
      <c r="F40" s="33"/>
      <c r="G40" s="62"/>
      <c r="H40" s="18"/>
      <c r="I40" s="17"/>
      <c r="J40" s="17"/>
    </row>
    <row r="41" spans="1:11" x14ac:dyDescent="0.25">
      <c r="A41" s="18"/>
      <c r="B41" s="18"/>
      <c r="C41" s="18"/>
      <c r="D41" s="34"/>
      <c r="E41" s="32"/>
      <c r="F41" s="33"/>
      <c r="G41" s="62"/>
      <c r="H41" s="18"/>
      <c r="I41" s="17"/>
      <c r="J41" s="17"/>
    </row>
    <row r="42" spans="1:11" x14ac:dyDescent="0.25">
      <c r="A42" s="18"/>
      <c r="B42" s="18"/>
      <c r="C42" s="18"/>
      <c r="D42" s="34"/>
      <c r="E42" s="32"/>
      <c r="F42" s="33"/>
      <c r="G42" s="62"/>
      <c r="H42" s="18"/>
      <c r="I42" s="17"/>
      <c r="J42" s="17"/>
    </row>
    <row r="43" spans="1:11" ht="15.75" thickBot="1" x14ac:dyDescent="0.3">
      <c r="A43" s="18"/>
      <c r="B43" s="18"/>
      <c r="C43" s="18"/>
      <c r="D43" s="35" t="s">
        <v>16</v>
      </c>
      <c r="E43" s="36">
        <f>SUM(E35:E42)</f>
        <v>50808363.559999995</v>
      </c>
      <c r="F43" s="18"/>
      <c r="G43" s="35" t="s">
        <v>16</v>
      </c>
      <c r="H43" s="36">
        <f>SUM(H35:H38)</f>
        <v>0</v>
      </c>
      <c r="I43" s="17"/>
      <c r="J43" s="17"/>
    </row>
    <row r="44" spans="1:11" ht="15.75" thickTop="1" x14ac:dyDescent="0.25">
      <c r="A44" s="37" t="s">
        <v>17</v>
      </c>
      <c r="B44" s="18"/>
      <c r="C44" s="18"/>
      <c r="D44" s="18"/>
      <c r="E44" s="38"/>
      <c r="F44" s="18"/>
      <c r="G44" s="62"/>
      <c r="H44" s="18"/>
      <c r="I44" s="17"/>
      <c r="J44" s="17"/>
    </row>
    <row r="45" spans="1:11" x14ac:dyDescent="0.25">
      <c r="A45" s="18"/>
      <c r="B45" s="18"/>
      <c r="C45" s="18"/>
      <c r="D45" s="18"/>
      <c r="E45" s="18"/>
      <c r="F45" s="18"/>
      <c r="G45" s="62"/>
      <c r="H45" s="18"/>
      <c r="I45" s="17"/>
      <c r="J45" s="17"/>
    </row>
    <row r="46" spans="1:11" x14ac:dyDescent="0.25">
      <c r="A46" s="18"/>
      <c r="B46" s="18"/>
      <c r="C46" s="18"/>
      <c r="D46" s="18"/>
      <c r="E46" s="39"/>
      <c r="F46" s="18"/>
      <c r="G46" s="62"/>
      <c r="H46" s="18"/>
      <c r="I46" s="17"/>
      <c r="J46" s="17"/>
    </row>
    <row r="47" spans="1:11" x14ac:dyDescent="0.25">
      <c r="A47" s="18"/>
      <c r="B47" s="18"/>
      <c r="C47" s="18"/>
      <c r="D47" s="18"/>
      <c r="E47" s="18"/>
      <c r="F47" s="18"/>
      <c r="G47" s="62"/>
      <c r="H47" s="18"/>
      <c r="I47" s="17"/>
      <c r="J47" s="17"/>
    </row>
    <row r="48" spans="1:11" x14ac:dyDescent="0.25">
      <c r="A48" s="18"/>
      <c r="B48" s="18"/>
      <c r="C48" s="18"/>
      <c r="D48" s="18"/>
      <c r="E48" s="18"/>
      <c r="F48" s="18"/>
      <c r="G48" s="62"/>
      <c r="H48" s="18"/>
      <c r="I48" s="17"/>
      <c r="J48" s="17"/>
    </row>
    <row r="49" spans="1:10" x14ac:dyDescent="0.25">
      <c r="A49" s="18"/>
      <c r="B49" s="18"/>
      <c r="C49" s="18"/>
      <c r="D49" s="18"/>
      <c r="E49" s="18"/>
      <c r="F49" s="18"/>
      <c r="G49" s="62"/>
      <c r="H49" s="18"/>
      <c r="I49" s="17"/>
      <c r="J49" s="17"/>
    </row>
  </sheetData>
  <mergeCells count="2">
    <mergeCell ref="D33:E33"/>
    <mergeCell ref="G33:H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Weber, John</dc:creator>
  <cp:lastModifiedBy>Weber, John</cp:lastModifiedBy>
  <cp:lastPrinted>2019-10-31T20:43:07Z</cp:lastPrinted>
  <dcterms:created xsi:type="dcterms:W3CDTF">2019-08-05T17:34:04Z</dcterms:created>
  <dcterms:modified xsi:type="dcterms:W3CDTF">2019-10-31T20:43:12Z</dcterms:modified>
</cp:coreProperties>
</file>